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codeName="ThisWorkbook"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6_RevsExpends/"/>
    </mc:Choice>
  </mc:AlternateContent>
  <xr:revisionPtr revIDLastSave="1702" documentId="8_{E6952E9A-454B-425F-BB61-3A4E67B403DD}" xr6:coauthVersionLast="47" xr6:coauthVersionMax="47" xr10:uidLastSave="{8A1D0ABC-B562-4CFE-B126-B9311A662121}"/>
  <bookViews>
    <workbookView xWindow="28680" yWindow="4755" windowWidth="29040" windowHeight="15840" tabRatio="766" activeTab="1" xr2:uid="{00000000-000D-0000-FFFF-FFFF00000000}"/>
  </bookViews>
  <sheets>
    <sheet name="TABLE 94" sheetId="16" r:id="rId1"/>
    <sheet name="TABLE 95" sheetId="17" r:id="rId2"/>
    <sheet name="Total E&amp;G-4yr" sheetId="13" r:id="rId3"/>
    <sheet name="Total E&amp;G-2Yr" sheetId="26" r:id="rId4"/>
    <sheet name="Tuition-4Yr" sheetId="1" r:id="rId5"/>
    <sheet name="State Appropriations-4Yr" sheetId="2" r:id="rId6"/>
    <sheet name="Local Appropriations-4Yr" sheetId="3" r:id="rId7"/>
    <sheet name="Fed Contracts Grnts-4Yr" sheetId="4" r:id="rId8"/>
    <sheet name="Other Contract Grnts-4Yr" sheetId="5" r:id="rId9"/>
    <sheet name="Investment Income-4Yr" sheetId="9" r:id="rId10"/>
    <sheet name="All Other E&amp;G-4Yr" sheetId="10" r:id="rId11"/>
    <sheet name="Tuition-2Yr" sheetId="18" r:id="rId12"/>
    <sheet name="Local Appropriations-2Yr" sheetId="20" r:id="rId13"/>
    <sheet name="State Appropriations-2Yr" sheetId="19" r:id="rId14"/>
    <sheet name="Fed Contracts Grnts-2Yr" sheetId="21" r:id="rId15"/>
    <sheet name="Other Contracts Grnts-2Yr" sheetId="22" r:id="rId16"/>
    <sheet name="Investment Income-2Yr" sheetId="24" r:id="rId17"/>
    <sheet name="All Other E&amp;G-2Yr" sheetId="25" r:id="rId18"/>
    <sheet name="Sheet1" sheetId="27" r:id="rId19"/>
  </sheets>
  <definedNames>
    <definedName name="A">'Tuition-4Yr'!#REF!</definedName>
    <definedName name="DATA">'Tuition-4Yr'!$A$1</definedName>
    <definedName name="_xlnm.Print_Area" localSheetId="0">'TABLE 94'!$A$1:$N$74</definedName>
    <definedName name="_xlnm.Print_Area" localSheetId="1">'TABLE 95'!$A$1:$N$75</definedName>
    <definedName name="T_76">#REF!</definedName>
    <definedName name="T_78">'TABLE 94'!$A$1:$Q$29</definedName>
    <definedName name="T_79">'TABLE 95'!$A$1:$N$73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7" l="1"/>
  <c r="U12" i="17"/>
  <c r="U13" i="17"/>
  <c r="U14" i="17"/>
  <c r="U15" i="17"/>
  <c r="U16" i="17"/>
  <c r="U17" i="17"/>
  <c r="U18" i="17"/>
  <c r="U19" i="17"/>
  <c r="U20" i="17"/>
  <c r="U21" i="17"/>
  <c r="U22" i="17"/>
  <c r="U23" i="17"/>
  <c r="U24" i="17"/>
  <c r="U25" i="17"/>
  <c r="U26" i="17"/>
  <c r="U27" i="17"/>
  <c r="U28" i="17"/>
  <c r="U31" i="17"/>
  <c r="U32" i="17"/>
  <c r="U33" i="17"/>
  <c r="U34" i="17"/>
  <c r="U35" i="17"/>
  <c r="U36" i="17"/>
  <c r="U37" i="17"/>
  <c r="U38" i="17"/>
  <c r="U39" i="17"/>
  <c r="U40" i="17"/>
  <c r="U41" i="17"/>
  <c r="U42" i="17"/>
  <c r="U43" i="17"/>
  <c r="U45" i="17"/>
  <c r="U46" i="17"/>
  <c r="U47" i="17"/>
  <c r="U48" i="17"/>
  <c r="U49" i="17"/>
  <c r="U50" i="17"/>
  <c r="U51" i="17"/>
  <c r="U52" i="17"/>
  <c r="U53" i="17"/>
  <c r="U54" i="17"/>
  <c r="U55" i="17"/>
  <c r="U56" i="17"/>
  <c r="U57" i="17"/>
  <c r="U59" i="17"/>
  <c r="U60" i="17"/>
  <c r="U61" i="17"/>
  <c r="U62" i="17"/>
  <c r="U63" i="17"/>
  <c r="U64" i="17"/>
  <c r="U65" i="17"/>
  <c r="U66" i="17"/>
  <c r="U67" i="17"/>
  <c r="U9" i="17"/>
  <c r="T10" i="17"/>
  <c r="T12" i="17"/>
  <c r="T13" i="17"/>
  <c r="T14" i="17"/>
  <c r="T15" i="17"/>
  <c r="T16" i="17"/>
  <c r="T17" i="17"/>
  <c r="T18" i="17"/>
  <c r="T19" i="17"/>
  <c r="T20" i="17"/>
  <c r="T21" i="17"/>
  <c r="T22" i="17"/>
  <c r="T23" i="17"/>
  <c r="T24" i="17"/>
  <c r="T25" i="17"/>
  <c r="T26" i="17"/>
  <c r="T27" i="17"/>
  <c r="T28" i="17"/>
  <c r="T31" i="17"/>
  <c r="T32" i="17"/>
  <c r="T33" i="17"/>
  <c r="T34" i="17"/>
  <c r="T35" i="17"/>
  <c r="T36" i="17"/>
  <c r="T37" i="17"/>
  <c r="T38" i="17"/>
  <c r="T39" i="17"/>
  <c r="T40" i="17"/>
  <c r="T41" i="17"/>
  <c r="T42" i="17"/>
  <c r="T43" i="17"/>
  <c r="T45" i="17"/>
  <c r="T46" i="17"/>
  <c r="T47" i="17"/>
  <c r="T48" i="17"/>
  <c r="T49" i="17"/>
  <c r="T50" i="17"/>
  <c r="T51" i="17"/>
  <c r="T52" i="17"/>
  <c r="T53" i="17"/>
  <c r="T54" i="17"/>
  <c r="T55" i="17"/>
  <c r="T56" i="17"/>
  <c r="T57" i="17"/>
  <c r="T59" i="17"/>
  <c r="T60" i="17"/>
  <c r="T61" i="17"/>
  <c r="T62" i="17"/>
  <c r="T63" i="17"/>
  <c r="T64" i="17"/>
  <c r="T65" i="17"/>
  <c r="T66" i="17"/>
  <c r="T67" i="17"/>
  <c r="T9" i="17"/>
  <c r="S10" i="17"/>
  <c r="S12" i="17"/>
  <c r="S13" i="17"/>
  <c r="S14" i="17"/>
  <c r="S15" i="17"/>
  <c r="S16" i="17"/>
  <c r="S17" i="17"/>
  <c r="S18" i="17"/>
  <c r="S19" i="17"/>
  <c r="S20" i="17"/>
  <c r="S21" i="17"/>
  <c r="S22" i="17"/>
  <c r="S23" i="17"/>
  <c r="S24" i="17"/>
  <c r="S25" i="17"/>
  <c r="S26" i="17"/>
  <c r="S27" i="17"/>
  <c r="S28" i="17"/>
  <c r="S31" i="17"/>
  <c r="S32" i="17"/>
  <c r="S33" i="17"/>
  <c r="S34" i="17"/>
  <c r="S35" i="17"/>
  <c r="S36" i="17"/>
  <c r="S37" i="17"/>
  <c r="S38" i="17"/>
  <c r="S39" i="17"/>
  <c r="S40" i="17"/>
  <c r="S41" i="17"/>
  <c r="S42" i="17"/>
  <c r="S43" i="17"/>
  <c r="S45" i="17"/>
  <c r="S46" i="17"/>
  <c r="S47" i="17"/>
  <c r="S48" i="17"/>
  <c r="S49" i="17"/>
  <c r="S50" i="17"/>
  <c r="S51" i="17"/>
  <c r="S52" i="17"/>
  <c r="S53" i="17"/>
  <c r="S54" i="17"/>
  <c r="S55" i="17"/>
  <c r="S56" i="17"/>
  <c r="S57" i="17"/>
  <c r="S59" i="17"/>
  <c r="S60" i="17"/>
  <c r="S61" i="17"/>
  <c r="S62" i="17"/>
  <c r="S63" i="17"/>
  <c r="S64" i="17"/>
  <c r="S65" i="17"/>
  <c r="S66" i="17"/>
  <c r="S67" i="17"/>
  <c r="S9" i="17"/>
  <c r="R10" i="17"/>
  <c r="R12" i="17"/>
  <c r="R13" i="17"/>
  <c r="R14" i="17"/>
  <c r="R15" i="17"/>
  <c r="R16" i="17"/>
  <c r="R17" i="17"/>
  <c r="R18" i="17"/>
  <c r="R19" i="17"/>
  <c r="R20" i="17"/>
  <c r="R21" i="17"/>
  <c r="R22" i="17"/>
  <c r="R23" i="17"/>
  <c r="R24" i="17"/>
  <c r="R25" i="17"/>
  <c r="R26" i="17"/>
  <c r="R27" i="17"/>
  <c r="R28" i="17"/>
  <c r="R31" i="17"/>
  <c r="R32" i="17"/>
  <c r="R33" i="17"/>
  <c r="R34" i="17"/>
  <c r="R35" i="17"/>
  <c r="R36" i="17"/>
  <c r="R37" i="17"/>
  <c r="R38" i="17"/>
  <c r="R39" i="17"/>
  <c r="R40" i="17"/>
  <c r="R41" i="17"/>
  <c r="R42" i="17"/>
  <c r="R43" i="17"/>
  <c r="R45" i="17"/>
  <c r="R46" i="17"/>
  <c r="R47" i="17"/>
  <c r="R48" i="17"/>
  <c r="R49" i="17"/>
  <c r="R50" i="17"/>
  <c r="R51" i="17"/>
  <c r="R52" i="17"/>
  <c r="R53" i="17"/>
  <c r="R54" i="17"/>
  <c r="R55" i="17"/>
  <c r="R56" i="17"/>
  <c r="R57" i="17"/>
  <c r="R59" i="17"/>
  <c r="R60" i="17"/>
  <c r="R61" i="17"/>
  <c r="R62" i="17"/>
  <c r="R63" i="17"/>
  <c r="R64" i="17"/>
  <c r="R65" i="17"/>
  <c r="R66" i="17"/>
  <c r="R67" i="17"/>
  <c r="R9" i="17"/>
  <c r="Q10" i="17"/>
  <c r="Q12" i="17"/>
  <c r="Q13" i="17"/>
  <c r="Q14" i="17"/>
  <c r="Q15" i="17"/>
  <c r="Q16" i="17"/>
  <c r="Q17" i="17"/>
  <c r="Q18" i="17"/>
  <c r="Q19" i="17"/>
  <c r="Q20" i="17"/>
  <c r="Q21" i="17"/>
  <c r="Q22" i="17"/>
  <c r="Q23" i="17"/>
  <c r="Q24" i="17"/>
  <c r="Q25" i="17"/>
  <c r="Q26" i="17"/>
  <c r="Q27" i="17"/>
  <c r="Q28" i="17"/>
  <c r="Q31" i="17"/>
  <c r="Q32" i="17"/>
  <c r="Q33" i="17"/>
  <c r="Q34" i="17"/>
  <c r="Q35" i="17"/>
  <c r="Q36" i="17"/>
  <c r="Q37" i="17"/>
  <c r="Q38" i="17"/>
  <c r="Q39" i="17"/>
  <c r="Q40" i="17"/>
  <c r="Q41" i="17"/>
  <c r="Q42" i="17"/>
  <c r="Q43" i="17"/>
  <c r="Q45" i="17"/>
  <c r="Q46" i="17"/>
  <c r="Q47" i="17"/>
  <c r="Q48" i="17"/>
  <c r="Q49" i="17"/>
  <c r="Q50" i="17"/>
  <c r="Q51" i="17"/>
  <c r="Q52" i="17"/>
  <c r="Q53" i="17"/>
  <c r="Q54" i="17"/>
  <c r="Q55" i="17"/>
  <c r="Q56" i="17"/>
  <c r="Q57" i="17"/>
  <c r="Q59" i="17"/>
  <c r="Q60" i="17"/>
  <c r="Q61" i="17"/>
  <c r="Q62" i="17"/>
  <c r="Q63" i="17"/>
  <c r="Q64" i="17"/>
  <c r="Q65" i="17"/>
  <c r="Q66" i="17"/>
  <c r="Q67" i="17"/>
  <c r="Q9" i="17"/>
  <c r="P10" i="17"/>
  <c r="P12" i="17"/>
  <c r="P13" i="17"/>
  <c r="P14" i="17"/>
  <c r="P15" i="17"/>
  <c r="P16" i="17"/>
  <c r="P17" i="17"/>
  <c r="P18" i="17"/>
  <c r="P19" i="17"/>
  <c r="P20" i="17"/>
  <c r="P21" i="17"/>
  <c r="P22" i="17"/>
  <c r="P23" i="17"/>
  <c r="P24" i="17"/>
  <c r="P25" i="17"/>
  <c r="P26" i="17"/>
  <c r="P27" i="17"/>
  <c r="P28" i="17"/>
  <c r="P31" i="17"/>
  <c r="P32" i="17"/>
  <c r="P33" i="17"/>
  <c r="P34" i="17"/>
  <c r="P35" i="17"/>
  <c r="P36" i="17"/>
  <c r="P37" i="17"/>
  <c r="P38" i="17"/>
  <c r="P39" i="17"/>
  <c r="P40" i="17"/>
  <c r="P41" i="17"/>
  <c r="P42" i="17"/>
  <c r="P43" i="17"/>
  <c r="P45" i="17"/>
  <c r="P46" i="17"/>
  <c r="P47" i="17"/>
  <c r="P48" i="17"/>
  <c r="P49" i="17"/>
  <c r="P50" i="17"/>
  <c r="P51" i="17"/>
  <c r="P52" i="17"/>
  <c r="P53" i="17"/>
  <c r="P54" i="17"/>
  <c r="P55" i="17"/>
  <c r="P56" i="17"/>
  <c r="P57" i="17"/>
  <c r="P59" i="17"/>
  <c r="P60" i="17"/>
  <c r="P61" i="17"/>
  <c r="P62" i="17"/>
  <c r="P63" i="17"/>
  <c r="P64" i="17"/>
  <c r="P65" i="17"/>
  <c r="P66" i="17"/>
  <c r="P67" i="17"/>
  <c r="P9" i="17"/>
  <c r="H10" i="17"/>
  <c r="H12" i="17"/>
  <c r="H13" i="17"/>
  <c r="H14" i="17"/>
  <c r="H15" i="17"/>
  <c r="H16" i="17"/>
  <c r="H17" i="17"/>
  <c r="H18" i="17"/>
  <c r="H19" i="17"/>
  <c r="H20" i="17"/>
  <c r="H21" i="17"/>
  <c r="H22" i="17"/>
  <c r="H23" i="17"/>
  <c r="H24" i="17"/>
  <c r="H25" i="17"/>
  <c r="H26" i="17"/>
  <c r="H27" i="17"/>
  <c r="H28" i="17"/>
  <c r="H30" i="17"/>
  <c r="H31" i="17"/>
  <c r="H32" i="17"/>
  <c r="H33" i="17"/>
  <c r="H34" i="17"/>
  <c r="H35" i="17"/>
  <c r="H36" i="17"/>
  <c r="H37" i="17"/>
  <c r="H38" i="17"/>
  <c r="H39" i="17"/>
  <c r="H40" i="17"/>
  <c r="H41" i="17"/>
  <c r="H42" i="17"/>
  <c r="H43" i="17"/>
  <c r="H45" i="17"/>
  <c r="H46" i="17"/>
  <c r="H47" i="17"/>
  <c r="H48" i="17"/>
  <c r="H49" i="17"/>
  <c r="H50" i="17"/>
  <c r="H51" i="17"/>
  <c r="H52" i="17"/>
  <c r="H53" i="17"/>
  <c r="H54" i="17"/>
  <c r="H55" i="17"/>
  <c r="H56" i="17"/>
  <c r="H57" i="17"/>
  <c r="H59" i="17"/>
  <c r="H60" i="17"/>
  <c r="H61" i="17"/>
  <c r="H62" i="17"/>
  <c r="H63" i="17"/>
  <c r="H64" i="17"/>
  <c r="H65" i="17"/>
  <c r="H66" i="17"/>
  <c r="H67" i="17"/>
  <c r="H9" i="17"/>
  <c r="G10" i="17"/>
  <c r="G12" i="17"/>
  <c r="G13" i="17"/>
  <c r="G14" i="17"/>
  <c r="G15" i="17"/>
  <c r="G16" i="17"/>
  <c r="G17" i="17"/>
  <c r="G18" i="17"/>
  <c r="G19" i="17"/>
  <c r="G20" i="17"/>
  <c r="G21" i="17"/>
  <c r="G22" i="17"/>
  <c r="G23" i="17"/>
  <c r="G24" i="17"/>
  <c r="G25" i="17"/>
  <c r="G26" i="17"/>
  <c r="G27" i="17"/>
  <c r="G28" i="17"/>
  <c r="G30" i="17"/>
  <c r="G31" i="17"/>
  <c r="G32" i="17"/>
  <c r="G33" i="17"/>
  <c r="G34" i="17"/>
  <c r="G35" i="17"/>
  <c r="G36" i="17"/>
  <c r="G37" i="17"/>
  <c r="G38" i="17"/>
  <c r="G39" i="17"/>
  <c r="G40" i="17"/>
  <c r="G41" i="17"/>
  <c r="G42" i="17"/>
  <c r="G43" i="17"/>
  <c r="G45" i="17"/>
  <c r="G46" i="17"/>
  <c r="G47" i="17"/>
  <c r="G48" i="17"/>
  <c r="G49" i="17"/>
  <c r="G50" i="17"/>
  <c r="G51" i="17"/>
  <c r="G52" i="17"/>
  <c r="G53" i="17"/>
  <c r="G54" i="17"/>
  <c r="G55" i="17"/>
  <c r="G56" i="17"/>
  <c r="G57" i="17"/>
  <c r="G59" i="17"/>
  <c r="G60" i="17"/>
  <c r="G61" i="17"/>
  <c r="G62" i="17"/>
  <c r="G63" i="17"/>
  <c r="G64" i="17"/>
  <c r="G65" i="17"/>
  <c r="G66" i="17"/>
  <c r="G67" i="17"/>
  <c r="G9" i="17"/>
  <c r="F10" i="17"/>
  <c r="F12" i="17"/>
  <c r="F13" i="17"/>
  <c r="F14" i="17"/>
  <c r="F15" i="17"/>
  <c r="F16" i="17"/>
  <c r="F17" i="17"/>
  <c r="F18" i="17"/>
  <c r="F19" i="17"/>
  <c r="F20" i="17"/>
  <c r="F21" i="17"/>
  <c r="F22" i="17"/>
  <c r="F23" i="17"/>
  <c r="F24" i="17"/>
  <c r="F25" i="17"/>
  <c r="F26" i="17"/>
  <c r="F27" i="17"/>
  <c r="F28" i="17"/>
  <c r="F30" i="17"/>
  <c r="F31" i="17"/>
  <c r="F32" i="17"/>
  <c r="F33" i="17"/>
  <c r="F34" i="17"/>
  <c r="F35" i="17"/>
  <c r="F36" i="17"/>
  <c r="F37" i="17"/>
  <c r="F38" i="17"/>
  <c r="F39" i="17"/>
  <c r="F40" i="17"/>
  <c r="F41" i="17"/>
  <c r="F42" i="17"/>
  <c r="F43" i="17"/>
  <c r="F45" i="17"/>
  <c r="F46" i="17"/>
  <c r="F47" i="17"/>
  <c r="F48" i="17"/>
  <c r="F49" i="17"/>
  <c r="F50" i="17"/>
  <c r="F51" i="17"/>
  <c r="F52" i="17"/>
  <c r="F53" i="17"/>
  <c r="F54" i="17"/>
  <c r="F55" i="17"/>
  <c r="F56" i="17"/>
  <c r="F57" i="17"/>
  <c r="F59" i="17"/>
  <c r="F60" i="17"/>
  <c r="F61" i="17"/>
  <c r="F62" i="17"/>
  <c r="F63" i="17"/>
  <c r="F64" i="17"/>
  <c r="F65" i="17"/>
  <c r="F66" i="17"/>
  <c r="F67" i="17"/>
  <c r="F9" i="17"/>
  <c r="E10" i="17"/>
  <c r="E12" i="17"/>
  <c r="E13" i="17"/>
  <c r="E14" i="17"/>
  <c r="E15" i="17"/>
  <c r="E16" i="17"/>
  <c r="E17" i="17"/>
  <c r="E18" i="17"/>
  <c r="E19" i="17"/>
  <c r="E20" i="17"/>
  <c r="E21" i="17"/>
  <c r="E22" i="17"/>
  <c r="E23" i="17"/>
  <c r="E24" i="17"/>
  <c r="E25" i="17"/>
  <c r="E26" i="17"/>
  <c r="E27" i="17"/>
  <c r="E28" i="17"/>
  <c r="E30" i="17"/>
  <c r="E31" i="17"/>
  <c r="E32" i="17"/>
  <c r="E33" i="17"/>
  <c r="E34" i="17"/>
  <c r="E35" i="17"/>
  <c r="E36" i="17"/>
  <c r="E37" i="17"/>
  <c r="E38" i="17"/>
  <c r="E39" i="17"/>
  <c r="E40" i="17"/>
  <c r="E41" i="17"/>
  <c r="E42" i="17"/>
  <c r="E43" i="17"/>
  <c r="E45" i="17"/>
  <c r="E46" i="17"/>
  <c r="E47" i="17"/>
  <c r="E48" i="17"/>
  <c r="E49" i="17"/>
  <c r="E50" i="17"/>
  <c r="E51" i="17"/>
  <c r="E52" i="17"/>
  <c r="E53" i="17"/>
  <c r="E54" i="17"/>
  <c r="E55" i="17"/>
  <c r="E56" i="17"/>
  <c r="E57" i="17"/>
  <c r="E59" i="17"/>
  <c r="E60" i="17"/>
  <c r="E61" i="17"/>
  <c r="E62" i="17"/>
  <c r="E63" i="17"/>
  <c r="E64" i="17"/>
  <c r="E65" i="17"/>
  <c r="E66" i="17"/>
  <c r="E67" i="17"/>
  <c r="E9" i="17"/>
  <c r="D10" i="17"/>
  <c r="D12" i="17"/>
  <c r="D13" i="17"/>
  <c r="D14" i="17"/>
  <c r="D15" i="17"/>
  <c r="D16" i="17"/>
  <c r="D17" i="17"/>
  <c r="D18" i="17"/>
  <c r="D19" i="17"/>
  <c r="D20" i="17"/>
  <c r="D21" i="17"/>
  <c r="D22" i="17"/>
  <c r="D23" i="17"/>
  <c r="D24" i="17"/>
  <c r="D25" i="17"/>
  <c r="D26" i="17"/>
  <c r="D27" i="17"/>
  <c r="D28" i="17"/>
  <c r="D30" i="17"/>
  <c r="D31" i="17"/>
  <c r="D32" i="17"/>
  <c r="D33" i="17"/>
  <c r="D34" i="17"/>
  <c r="D35" i="17"/>
  <c r="D36" i="17"/>
  <c r="D37" i="17"/>
  <c r="D38" i="17"/>
  <c r="D39" i="17"/>
  <c r="D40" i="17"/>
  <c r="D41" i="17"/>
  <c r="D42" i="17"/>
  <c r="D43" i="17"/>
  <c r="D45" i="17"/>
  <c r="D46" i="17"/>
  <c r="D47" i="17"/>
  <c r="D48" i="17"/>
  <c r="D49" i="17"/>
  <c r="D50" i="17"/>
  <c r="D51" i="17"/>
  <c r="D52" i="17"/>
  <c r="D53" i="17"/>
  <c r="D54" i="17"/>
  <c r="D55" i="17"/>
  <c r="D56" i="17"/>
  <c r="D57" i="17"/>
  <c r="D59" i="17"/>
  <c r="D60" i="17"/>
  <c r="D61" i="17"/>
  <c r="D62" i="17"/>
  <c r="D63" i="17"/>
  <c r="D64" i="17"/>
  <c r="D65" i="17"/>
  <c r="D66" i="17"/>
  <c r="D67" i="17"/>
  <c r="D9" i="17"/>
  <c r="C35" i="17"/>
  <c r="C36" i="17"/>
  <c r="C37" i="17"/>
  <c r="C38" i="17"/>
  <c r="C39" i="17"/>
  <c r="C40" i="17"/>
  <c r="C41" i="17"/>
  <c r="C42" i="17"/>
  <c r="C43" i="17"/>
  <c r="C45" i="17"/>
  <c r="C46" i="17"/>
  <c r="C47" i="17"/>
  <c r="C48" i="17"/>
  <c r="C49" i="17"/>
  <c r="C50" i="17"/>
  <c r="C51" i="17"/>
  <c r="C52" i="17"/>
  <c r="C53" i="17"/>
  <c r="C54" i="17"/>
  <c r="C55" i="17"/>
  <c r="C56" i="17"/>
  <c r="C57" i="17"/>
  <c r="C59" i="17"/>
  <c r="C60" i="17"/>
  <c r="C61" i="17"/>
  <c r="C62" i="17"/>
  <c r="C63" i="17"/>
  <c r="C64" i="17"/>
  <c r="C65" i="17"/>
  <c r="C66" i="17"/>
  <c r="C67" i="17"/>
  <c r="C10" i="17"/>
  <c r="C12" i="17"/>
  <c r="C13" i="17"/>
  <c r="C14" i="17"/>
  <c r="C15" i="17"/>
  <c r="C16" i="17"/>
  <c r="C17" i="17"/>
  <c r="C18" i="17"/>
  <c r="C19" i="17"/>
  <c r="C20" i="17"/>
  <c r="C21" i="17"/>
  <c r="C22" i="17"/>
  <c r="C23" i="17"/>
  <c r="C24" i="17"/>
  <c r="C25" i="17"/>
  <c r="C26" i="17"/>
  <c r="C27" i="17"/>
  <c r="C28" i="17"/>
  <c r="C30" i="17"/>
  <c r="C31" i="17"/>
  <c r="C32" i="17"/>
  <c r="C33" i="17"/>
  <c r="C34" i="17"/>
  <c r="C9" i="17"/>
  <c r="U11" i="16"/>
  <c r="U13" i="16"/>
  <c r="U14" i="16"/>
  <c r="U15" i="16"/>
  <c r="U16" i="16"/>
  <c r="U17" i="16"/>
  <c r="U18" i="16"/>
  <c r="U19" i="16"/>
  <c r="U20" i="16"/>
  <c r="U21" i="16"/>
  <c r="U22" i="16"/>
  <c r="U23" i="16"/>
  <c r="U24" i="16"/>
  <c r="U25" i="16"/>
  <c r="U26" i="16"/>
  <c r="U27" i="16"/>
  <c r="U28" i="16"/>
  <c r="U29" i="16"/>
  <c r="U31" i="16"/>
  <c r="U32" i="16"/>
  <c r="U33" i="16"/>
  <c r="U34" i="16"/>
  <c r="U35" i="16"/>
  <c r="U36" i="16"/>
  <c r="U37" i="16"/>
  <c r="U38" i="16"/>
  <c r="U39" i="16"/>
  <c r="U40" i="16"/>
  <c r="U41" i="16"/>
  <c r="U42" i="16"/>
  <c r="U43" i="16"/>
  <c r="U44" i="16"/>
  <c r="U46" i="16"/>
  <c r="U47" i="16"/>
  <c r="U48" i="16"/>
  <c r="U49" i="16"/>
  <c r="U50" i="16"/>
  <c r="U51" i="16"/>
  <c r="U52" i="16"/>
  <c r="U53" i="16"/>
  <c r="U54" i="16"/>
  <c r="U55" i="16"/>
  <c r="U56" i="16"/>
  <c r="U57" i="16"/>
  <c r="U58" i="16"/>
  <c r="U60" i="16"/>
  <c r="U61" i="16"/>
  <c r="U62" i="16"/>
  <c r="U63" i="16"/>
  <c r="U64" i="16"/>
  <c r="U65" i="16"/>
  <c r="U66" i="16"/>
  <c r="U67" i="16"/>
  <c r="U68" i="16"/>
  <c r="U69" i="16"/>
  <c r="U10" i="16"/>
  <c r="T11" i="16"/>
  <c r="T13" i="16"/>
  <c r="T14" i="16"/>
  <c r="T15" i="16"/>
  <c r="T16" i="16"/>
  <c r="T17" i="16"/>
  <c r="T18" i="16"/>
  <c r="T19" i="16"/>
  <c r="T20" i="16"/>
  <c r="T21" i="16"/>
  <c r="T22" i="16"/>
  <c r="T23" i="16"/>
  <c r="T24" i="16"/>
  <c r="T25" i="16"/>
  <c r="T26" i="16"/>
  <c r="T27" i="16"/>
  <c r="T28" i="16"/>
  <c r="T29" i="16"/>
  <c r="T31" i="16"/>
  <c r="T32" i="16"/>
  <c r="T33" i="16"/>
  <c r="T34" i="16"/>
  <c r="T35" i="16"/>
  <c r="T36" i="16"/>
  <c r="T37" i="16"/>
  <c r="T38" i="16"/>
  <c r="T39" i="16"/>
  <c r="T40" i="16"/>
  <c r="T41" i="16"/>
  <c r="T42" i="16"/>
  <c r="T43" i="16"/>
  <c r="T44" i="16"/>
  <c r="T46" i="16"/>
  <c r="T47" i="16"/>
  <c r="T48" i="16"/>
  <c r="T49" i="16"/>
  <c r="T50" i="16"/>
  <c r="T51" i="16"/>
  <c r="T52" i="16"/>
  <c r="T53" i="16"/>
  <c r="T54" i="16"/>
  <c r="T55" i="16"/>
  <c r="T56" i="16"/>
  <c r="T57" i="16"/>
  <c r="T58" i="16"/>
  <c r="T60" i="16"/>
  <c r="T61" i="16"/>
  <c r="T62" i="16"/>
  <c r="T63" i="16"/>
  <c r="T64" i="16"/>
  <c r="T65" i="16"/>
  <c r="T66" i="16"/>
  <c r="T67" i="16"/>
  <c r="T68" i="16"/>
  <c r="T69" i="16"/>
  <c r="T10" i="16"/>
  <c r="S11" i="16"/>
  <c r="S13" i="16"/>
  <c r="S14" i="16"/>
  <c r="S15" i="16"/>
  <c r="S16" i="16"/>
  <c r="S17" i="16"/>
  <c r="S18" i="16"/>
  <c r="S19" i="16"/>
  <c r="S20" i="16"/>
  <c r="S21" i="16"/>
  <c r="S22" i="16"/>
  <c r="S23" i="16"/>
  <c r="S24" i="16"/>
  <c r="S25" i="16"/>
  <c r="S26" i="16"/>
  <c r="S27" i="16"/>
  <c r="S28" i="16"/>
  <c r="S29" i="16"/>
  <c r="S31" i="16"/>
  <c r="S32" i="16"/>
  <c r="S33" i="16"/>
  <c r="S34" i="16"/>
  <c r="S35" i="16"/>
  <c r="S36" i="16"/>
  <c r="S37" i="16"/>
  <c r="S38" i="16"/>
  <c r="S39" i="16"/>
  <c r="S40" i="16"/>
  <c r="S41" i="16"/>
  <c r="S42" i="16"/>
  <c r="S43" i="16"/>
  <c r="S44" i="16"/>
  <c r="S46" i="16"/>
  <c r="S47" i="16"/>
  <c r="S48" i="16"/>
  <c r="S49" i="16"/>
  <c r="S50" i="16"/>
  <c r="S51" i="16"/>
  <c r="S52" i="16"/>
  <c r="S53" i="16"/>
  <c r="S54" i="16"/>
  <c r="S55" i="16"/>
  <c r="S56" i="16"/>
  <c r="S57" i="16"/>
  <c r="S58" i="16"/>
  <c r="S60" i="16"/>
  <c r="S61" i="16"/>
  <c r="S62" i="16"/>
  <c r="S63" i="16"/>
  <c r="S64" i="16"/>
  <c r="S65" i="16"/>
  <c r="S66" i="16"/>
  <c r="S67" i="16"/>
  <c r="S68" i="16"/>
  <c r="S69" i="16"/>
  <c r="S10" i="16"/>
  <c r="R11" i="16"/>
  <c r="R13" i="16"/>
  <c r="R14" i="16"/>
  <c r="R15" i="16"/>
  <c r="R16" i="16"/>
  <c r="R17" i="16"/>
  <c r="R18" i="16"/>
  <c r="R19" i="16"/>
  <c r="R20" i="16"/>
  <c r="R21" i="16"/>
  <c r="R22" i="16"/>
  <c r="R23" i="16"/>
  <c r="R24" i="16"/>
  <c r="R25" i="16"/>
  <c r="R26" i="16"/>
  <c r="R27" i="16"/>
  <c r="R28" i="16"/>
  <c r="R29" i="16"/>
  <c r="R31" i="16"/>
  <c r="R32" i="16"/>
  <c r="R33" i="16"/>
  <c r="R34" i="16"/>
  <c r="R35" i="16"/>
  <c r="R36" i="16"/>
  <c r="R37" i="16"/>
  <c r="R38" i="16"/>
  <c r="R39" i="16"/>
  <c r="R40" i="16"/>
  <c r="R41" i="16"/>
  <c r="R42" i="16"/>
  <c r="R43" i="16"/>
  <c r="R44" i="16"/>
  <c r="R46" i="16"/>
  <c r="R47" i="16"/>
  <c r="R48" i="16"/>
  <c r="R49" i="16"/>
  <c r="R50" i="16"/>
  <c r="R51" i="16"/>
  <c r="R52" i="16"/>
  <c r="R53" i="16"/>
  <c r="R54" i="16"/>
  <c r="R55" i="16"/>
  <c r="R56" i="16"/>
  <c r="R57" i="16"/>
  <c r="R58" i="16"/>
  <c r="R60" i="16"/>
  <c r="R61" i="16"/>
  <c r="R62" i="16"/>
  <c r="R63" i="16"/>
  <c r="R64" i="16"/>
  <c r="R65" i="16"/>
  <c r="R66" i="16"/>
  <c r="R67" i="16"/>
  <c r="R68" i="16"/>
  <c r="R69" i="16"/>
  <c r="R10" i="16"/>
  <c r="Q11" i="16"/>
  <c r="Q13" i="16"/>
  <c r="Q14" i="16"/>
  <c r="Q15" i="16"/>
  <c r="Q16" i="16"/>
  <c r="Q17" i="16"/>
  <c r="Q18" i="16"/>
  <c r="Q19" i="16"/>
  <c r="Q20" i="16"/>
  <c r="Q21" i="16"/>
  <c r="Q22" i="16"/>
  <c r="Q23" i="16"/>
  <c r="Q24" i="16"/>
  <c r="Q25" i="16"/>
  <c r="Q26" i="16"/>
  <c r="Q27" i="16"/>
  <c r="Q28" i="16"/>
  <c r="Q29" i="16"/>
  <c r="Q31" i="16"/>
  <c r="Q32" i="16"/>
  <c r="Q33" i="16"/>
  <c r="Q34" i="16"/>
  <c r="Q35" i="16"/>
  <c r="Q36" i="16"/>
  <c r="Q37" i="16"/>
  <c r="Q38" i="16"/>
  <c r="Q39" i="16"/>
  <c r="Q40" i="16"/>
  <c r="Q41" i="16"/>
  <c r="Q42" i="16"/>
  <c r="Q43" i="16"/>
  <c r="Q44" i="16"/>
  <c r="Q46" i="16"/>
  <c r="Q47" i="16"/>
  <c r="Q48" i="16"/>
  <c r="Q49" i="16"/>
  <c r="Q50" i="16"/>
  <c r="Q51" i="16"/>
  <c r="Q52" i="16"/>
  <c r="Q53" i="16"/>
  <c r="Q54" i="16"/>
  <c r="Q55" i="16"/>
  <c r="Q56" i="16"/>
  <c r="Q57" i="16"/>
  <c r="Q58" i="16"/>
  <c r="Q60" i="16"/>
  <c r="Q61" i="16"/>
  <c r="Q62" i="16"/>
  <c r="Q63" i="16"/>
  <c r="Q64" i="16"/>
  <c r="Q65" i="16"/>
  <c r="Q66" i="16"/>
  <c r="Q67" i="16"/>
  <c r="Q68" i="16"/>
  <c r="Q69" i="16"/>
  <c r="Q10" i="16"/>
  <c r="P11" i="16"/>
  <c r="P13" i="16"/>
  <c r="P14" i="16"/>
  <c r="P15" i="16"/>
  <c r="P16" i="16"/>
  <c r="P17" i="16"/>
  <c r="P18" i="16"/>
  <c r="P19" i="16"/>
  <c r="P20" i="16"/>
  <c r="P21" i="16"/>
  <c r="P22" i="16"/>
  <c r="P23" i="16"/>
  <c r="P24" i="16"/>
  <c r="P25" i="16"/>
  <c r="P26" i="16"/>
  <c r="P27" i="16"/>
  <c r="P28" i="16"/>
  <c r="P29" i="16"/>
  <c r="P31" i="16"/>
  <c r="P32" i="16"/>
  <c r="P33" i="16"/>
  <c r="P34" i="16"/>
  <c r="P35" i="16"/>
  <c r="P36" i="16"/>
  <c r="P37" i="16"/>
  <c r="P38" i="16"/>
  <c r="P39" i="16"/>
  <c r="P40" i="16"/>
  <c r="P41" i="16"/>
  <c r="P42" i="16"/>
  <c r="P43" i="16"/>
  <c r="P44" i="16"/>
  <c r="P46" i="16"/>
  <c r="P47" i="16"/>
  <c r="P48" i="16"/>
  <c r="P49" i="16"/>
  <c r="P50" i="16"/>
  <c r="P51" i="16"/>
  <c r="P52" i="16"/>
  <c r="P53" i="16"/>
  <c r="P54" i="16"/>
  <c r="P55" i="16"/>
  <c r="P56" i="16"/>
  <c r="P57" i="16"/>
  <c r="P58" i="16"/>
  <c r="P60" i="16"/>
  <c r="P61" i="16"/>
  <c r="P62" i="16"/>
  <c r="P63" i="16"/>
  <c r="P64" i="16"/>
  <c r="P65" i="16"/>
  <c r="P66" i="16"/>
  <c r="P67" i="16"/>
  <c r="P68" i="16"/>
  <c r="P69" i="16"/>
  <c r="P10" i="16"/>
  <c r="H11" i="16"/>
  <c r="H13" i="16"/>
  <c r="H14" i="16"/>
  <c r="H15" i="16"/>
  <c r="H16" i="16"/>
  <c r="H17" i="16"/>
  <c r="H18" i="16"/>
  <c r="H19" i="16"/>
  <c r="H20" i="16"/>
  <c r="H21" i="16"/>
  <c r="H22" i="16"/>
  <c r="H23" i="16"/>
  <c r="H24" i="16"/>
  <c r="H25" i="16"/>
  <c r="H26" i="16"/>
  <c r="H27" i="16"/>
  <c r="H28" i="16"/>
  <c r="H29" i="16"/>
  <c r="H31" i="16"/>
  <c r="H32" i="16"/>
  <c r="H33" i="16"/>
  <c r="H34" i="16"/>
  <c r="H35" i="16"/>
  <c r="H36" i="16"/>
  <c r="H37" i="16"/>
  <c r="H38" i="16"/>
  <c r="H39" i="16"/>
  <c r="H40" i="16"/>
  <c r="H41" i="16"/>
  <c r="H42" i="16"/>
  <c r="H43" i="16"/>
  <c r="H44" i="16"/>
  <c r="H46" i="16"/>
  <c r="H47" i="16"/>
  <c r="H48" i="16"/>
  <c r="H49" i="16"/>
  <c r="H50" i="16"/>
  <c r="H51" i="16"/>
  <c r="H52" i="16"/>
  <c r="H53" i="16"/>
  <c r="H54" i="16"/>
  <c r="H55" i="16"/>
  <c r="H56" i="16"/>
  <c r="H57" i="16"/>
  <c r="H58" i="16"/>
  <c r="H60" i="16"/>
  <c r="H61" i="16"/>
  <c r="H62" i="16"/>
  <c r="H63" i="16"/>
  <c r="H64" i="16"/>
  <c r="H65" i="16"/>
  <c r="H66" i="16"/>
  <c r="H67" i="16"/>
  <c r="H68" i="16"/>
  <c r="H69" i="16"/>
  <c r="H10" i="16"/>
  <c r="G13" i="16"/>
  <c r="G14" i="16"/>
  <c r="G15" i="16"/>
  <c r="G16" i="16"/>
  <c r="G17" i="16"/>
  <c r="G18" i="16"/>
  <c r="G19" i="16"/>
  <c r="G20" i="16"/>
  <c r="G21" i="16"/>
  <c r="G22" i="16"/>
  <c r="G23" i="16"/>
  <c r="G24" i="16"/>
  <c r="G25" i="16"/>
  <c r="G26" i="16"/>
  <c r="G27" i="16"/>
  <c r="G28" i="16"/>
  <c r="G29" i="16"/>
  <c r="G31" i="16"/>
  <c r="G32" i="16"/>
  <c r="G33" i="16"/>
  <c r="G34" i="16"/>
  <c r="G35" i="16"/>
  <c r="G36" i="16"/>
  <c r="G37" i="16"/>
  <c r="G38" i="16"/>
  <c r="G39" i="16"/>
  <c r="G40" i="16"/>
  <c r="G41" i="16"/>
  <c r="G42" i="16"/>
  <c r="G43" i="16"/>
  <c r="G44" i="16"/>
  <c r="G46" i="16"/>
  <c r="G47" i="16"/>
  <c r="G48" i="16"/>
  <c r="G49" i="16"/>
  <c r="G50" i="16"/>
  <c r="G51" i="16"/>
  <c r="G52" i="16"/>
  <c r="G53" i="16"/>
  <c r="G54" i="16"/>
  <c r="G55" i="16"/>
  <c r="G56" i="16"/>
  <c r="G57" i="16"/>
  <c r="G58" i="16"/>
  <c r="G60" i="16"/>
  <c r="G61" i="16"/>
  <c r="G62" i="16"/>
  <c r="G63" i="16"/>
  <c r="G64" i="16"/>
  <c r="G65" i="16"/>
  <c r="G66" i="16"/>
  <c r="G67" i="16"/>
  <c r="G68" i="16"/>
  <c r="G69" i="16"/>
  <c r="G11" i="16"/>
  <c r="G10" i="16"/>
  <c r="F11" i="16"/>
  <c r="F13" i="16"/>
  <c r="F14" i="16"/>
  <c r="F15" i="16"/>
  <c r="F16" i="16"/>
  <c r="F17" i="16"/>
  <c r="F18" i="16"/>
  <c r="F19" i="16"/>
  <c r="F20" i="16"/>
  <c r="F21" i="16"/>
  <c r="F22" i="16"/>
  <c r="F23" i="16"/>
  <c r="F24" i="16"/>
  <c r="F25" i="16"/>
  <c r="F26" i="16"/>
  <c r="F27" i="16"/>
  <c r="F28" i="16"/>
  <c r="F29" i="16"/>
  <c r="F31" i="16"/>
  <c r="F32" i="16"/>
  <c r="F33" i="16"/>
  <c r="F34" i="16"/>
  <c r="F35" i="16"/>
  <c r="F36" i="16"/>
  <c r="F37" i="16"/>
  <c r="F38" i="16"/>
  <c r="F39" i="16"/>
  <c r="F40" i="16"/>
  <c r="F41" i="16"/>
  <c r="F42" i="16"/>
  <c r="F43" i="16"/>
  <c r="F44" i="16"/>
  <c r="F46" i="16"/>
  <c r="F47" i="16"/>
  <c r="F48" i="16"/>
  <c r="F49" i="16"/>
  <c r="F50" i="16"/>
  <c r="F51" i="16"/>
  <c r="F52" i="16"/>
  <c r="F53" i="16"/>
  <c r="F54" i="16"/>
  <c r="F55" i="16"/>
  <c r="F56" i="16"/>
  <c r="F57" i="16"/>
  <c r="F58" i="16"/>
  <c r="F60" i="16"/>
  <c r="F61" i="16"/>
  <c r="F62" i="16"/>
  <c r="F63" i="16"/>
  <c r="F64" i="16"/>
  <c r="F65" i="16"/>
  <c r="F66" i="16"/>
  <c r="F67" i="16"/>
  <c r="F68" i="16"/>
  <c r="F69" i="16"/>
  <c r="F10" i="16"/>
  <c r="E17" i="16"/>
  <c r="E18" i="16"/>
  <c r="E19" i="16"/>
  <c r="E20" i="16"/>
  <c r="E21" i="16"/>
  <c r="E22" i="16"/>
  <c r="E23" i="16"/>
  <c r="E24" i="16"/>
  <c r="E25" i="16"/>
  <c r="E26" i="16"/>
  <c r="E27" i="16"/>
  <c r="E28" i="16"/>
  <c r="E29" i="16"/>
  <c r="E31" i="16"/>
  <c r="E32" i="16"/>
  <c r="E33" i="16"/>
  <c r="E34" i="16"/>
  <c r="E35" i="16"/>
  <c r="E36" i="16"/>
  <c r="E37" i="16"/>
  <c r="E38" i="16"/>
  <c r="E39" i="16"/>
  <c r="E40" i="16"/>
  <c r="E41" i="16"/>
  <c r="E42" i="16"/>
  <c r="E43" i="16"/>
  <c r="E44" i="16"/>
  <c r="E46" i="16"/>
  <c r="E47" i="16"/>
  <c r="E48" i="16"/>
  <c r="E49" i="16"/>
  <c r="E50" i="16"/>
  <c r="E51" i="16"/>
  <c r="E52" i="16"/>
  <c r="E53" i="16"/>
  <c r="E54" i="16"/>
  <c r="E55" i="16"/>
  <c r="E56" i="16"/>
  <c r="E57" i="16"/>
  <c r="E58" i="16"/>
  <c r="E60" i="16"/>
  <c r="E61" i="16"/>
  <c r="E62" i="16"/>
  <c r="E63" i="16"/>
  <c r="E64" i="16"/>
  <c r="E65" i="16"/>
  <c r="E66" i="16"/>
  <c r="E67" i="16"/>
  <c r="E68" i="16"/>
  <c r="E69" i="16"/>
  <c r="E11" i="16"/>
  <c r="E13" i="16"/>
  <c r="E14" i="16"/>
  <c r="E15" i="16"/>
  <c r="E16" i="16"/>
  <c r="E10" i="16"/>
  <c r="D42" i="16"/>
  <c r="D43" i="16"/>
  <c r="D44" i="16"/>
  <c r="D46" i="16"/>
  <c r="D47" i="16"/>
  <c r="D48" i="16"/>
  <c r="D49" i="16"/>
  <c r="D50" i="16"/>
  <c r="D51" i="16"/>
  <c r="D52" i="16"/>
  <c r="D53" i="16"/>
  <c r="D54" i="16"/>
  <c r="D55" i="16"/>
  <c r="D56" i="16"/>
  <c r="D57" i="16"/>
  <c r="D58" i="16"/>
  <c r="D60" i="16"/>
  <c r="D61" i="16"/>
  <c r="D62" i="16"/>
  <c r="D63" i="16"/>
  <c r="D64" i="16"/>
  <c r="D65" i="16"/>
  <c r="D66" i="16"/>
  <c r="D67" i="16"/>
  <c r="D68" i="16"/>
  <c r="D69" i="16"/>
  <c r="D11" i="16"/>
  <c r="D13" i="16"/>
  <c r="D14" i="16"/>
  <c r="D15" i="16"/>
  <c r="D16" i="16"/>
  <c r="D17" i="16"/>
  <c r="D18" i="16"/>
  <c r="D19" i="16"/>
  <c r="D20" i="16"/>
  <c r="D21" i="16"/>
  <c r="D22" i="16"/>
  <c r="D23" i="16"/>
  <c r="D24" i="16"/>
  <c r="D25" i="16"/>
  <c r="D26" i="16"/>
  <c r="D27" i="16"/>
  <c r="D28" i="16"/>
  <c r="D29" i="16"/>
  <c r="D31" i="16"/>
  <c r="D32" i="16"/>
  <c r="D33" i="16"/>
  <c r="D34" i="16"/>
  <c r="D35" i="16"/>
  <c r="D36" i="16"/>
  <c r="D37" i="16"/>
  <c r="D38" i="16"/>
  <c r="D39" i="16"/>
  <c r="D40" i="16"/>
  <c r="D41" i="16"/>
  <c r="D10" i="16"/>
  <c r="C13" i="16"/>
  <c r="C14" i="16"/>
  <c r="C15" i="16"/>
  <c r="C16" i="16"/>
  <c r="C17" i="16"/>
  <c r="C18" i="16"/>
  <c r="C19" i="16"/>
  <c r="C20" i="16"/>
  <c r="C21" i="16"/>
  <c r="C22" i="16"/>
  <c r="C23" i="16"/>
  <c r="C24" i="16"/>
  <c r="C25" i="16"/>
  <c r="C26" i="16"/>
  <c r="C27" i="16"/>
  <c r="C28" i="16"/>
  <c r="C29" i="16"/>
  <c r="C31" i="16"/>
  <c r="C32" i="16"/>
  <c r="C33" i="16"/>
  <c r="C34" i="16"/>
  <c r="C35" i="16"/>
  <c r="C36" i="16"/>
  <c r="C37" i="16"/>
  <c r="C38" i="16"/>
  <c r="C39" i="16"/>
  <c r="C40" i="16"/>
  <c r="C41" i="16"/>
  <c r="C42" i="16"/>
  <c r="C43" i="16"/>
  <c r="C44" i="16"/>
  <c r="C46" i="16"/>
  <c r="C47" i="16"/>
  <c r="C48" i="16"/>
  <c r="C49" i="16"/>
  <c r="C50" i="16"/>
  <c r="C51" i="16"/>
  <c r="C52" i="16"/>
  <c r="C53" i="16"/>
  <c r="C54" i="16"/>
  <c r="C55" i="16"/>
  <c r="C56" i="16"/>
  <c r="C57" i="16"/>
  <c r="C58" i="16"/>
  <c r="C60" i="16"/>
  <c r="C61" i="16"/>
  <c r="C62" i="16"/>
  <c r="C63" i="16"/>
  <c r="C64" i="16"/>
  <c r="C65" i="16"/>
  <c r="C66" i="16"/>
  <c r="C67" i="16"/>
  <c r="C68" i="16"/>
  <c r="C69" i="16"/>
  <c r="C11" i="16"/>
  <c r="C10" i="16"/>
  <c r="AL6" i="26"/>
  <c r="AL7" i="26"/>
  <c r="AL8" i="26"/>
  <c r="AL9" i="26"/>
  <c r="AL10" i="26"/>
  <c r="AL11" i="26"/>
  <c r="AL12" i="26"/>
  <c r="AL13" i="26"/>
  <c r="AL14" i="26"/>
  <c r="AL15" i="26"/>
  <c r="AL16" i="26"/>
  <c r="AL17" i="26"/>
  <c r="AL18" i="26"/>
  <c r="AL19" i="26"/>
  <c r="AL20" i="26"/>
  <c r="AL21" i="26"/>
  <c r="AL22" i="26"/>
  <c r="AL24" i="26"/>
  <c r="AL25" i="26"/>
  <c r="AL26" i="26"/>
  <c r="AL27" i="26"/>
  <c r="AL28" i="26"/>
  <c r="AL29" i="26"/>
  <c r="AL30" i="26"/>
  <c r="AL31" i="26"/>
  <c r="AL32" i="26"/>
  <c r="AL33" i="26"/>
  <c r="AL34" i="26"/>
  <c r="AL35" i="26"/>
  <c r="AL36" i="26"/>
  <c r="AL37" i="26"/>
  <c r="AL39" i="26"/>
  <c r="AL40" i="26"/>
  <c r="AL41" i="26"/>
  <c r="AL42" i="26"/>
  <c r="AL43" i="26"/>
  <c r="AL44" i="26"/>
  <c r="AL45" i="26"/>
  <c r="AL46" i="26"/>
  <c r="AL47" i="26"/>
  <c r="AL48" i="26"/>
  <c r="AL49" i="26"/>
  <c r="AL50" i="26"/>
  <c r="AL51" i="26"/>
  <c r="AL53" i="26"/>
  <c r="AL54" i="26"/>
  <c r="AL55" i="26"/>
  <c r="AL56" i="26"/>
  <c r="AL57" i="26"/>
  <c r="AL58" i="26"/>
  <c r="AL59" i="26"/>
  <c r="AL60" i="26"/>
  <c r="AL61" i="26"/>
  <c r="AL62" i="26"/>
  <c r="AL4" i="13"/>
  <c r="AL5" i="13"/>
  <c r="AL6" i="13"/>
  <c r="AL7" i="13"/>
  <c r="AL8" i="13"/>
  <c r="AL9" i="13"/>
  <c r="AL10" i="13"/>
  <c r="AL11" i="13"/>
  <c r="AL12" i="13"/>
  <c r="AL13" i="13"/>
  <c r="AL14" i="13"/>
  <c r="AL15" i="13"/>
  <c r="AL16" i="13"/>
  <c r="AL17" i="13"/>
  <c r="AL18" i="13"/>
  <c r="AL19" i="13"/>
  <c r="AL20" i="13"/>
  <c r="AL21" i="13"/>
  <c r="AL22" i="13"/>
  <c r="AL23" i="13"/>
  <c r="AL24" i="13"/>
  <c r="AL25" i="13"/>
  <c r="AL26" i="13"/>
  <c r="AL27" i="13"/>
  <c r="AL28" i="13"/>
  <c r="AL29" i="13"/>
  <c r="AL30" i="13"/>
  <c r="AL31" i="13"/>
  <c r="AL32" i="13"/>
  <c r="AL33" i="13"/>
  <c r="AL34" i="13"/>
  <c r="AL35" i="13"/>
  <c r="AL36" i="13"/>
  <c r="AL37" i="13"/>
  <c r="AL38" i="13"/>
  <c r="AL39" i="13"/>
  <c r="AL40" i="13"/>
  <c r="AL41" i="13"/>
  <c r="AL42" i="13"/>
  <c r="AL43" i="13"/>
  <c r="AL44" i="13"/>
  <c r="AL45" i="13"/>
  <c r="AL46" i="13"/>
  <c r="AL47" i="13"/>
  <c r="AL48" i="13"/>
  <c r="AL49" i="13"/>
  <c r="AL50" i="13"/>
  <c r="AL51" i="13"/>
  <c r="AL52" i="13"/>
  <c r="AL53" i="13"/>
  <c r="AL54" i="13"/>
  <c r="AL55" i="13"/>
  <c r="AL56" i="13"/>
  <c r="AL57" i="13"/>
  <c r="AL58" i="13"/>
  <c r="AL59" i="13"/>
  <c r="AL60" i="13"/>
  <c r="AL61" i="13"/>
  <c r="AL62" i="13"/>
  <c r="AL63" i="13"/>
  <c r="Y10" i="16"/>
  <c r="Z10" i="16"/>
  <c r="AA10" i="16"/>
  <c r="AB10" i="16"/>
  <c r="AC10" i="16"/>
  <c r="AD10" i="16"/>
  <c r="AL52" i="25"/>
  <c r="AL38" i="25"/>
  <c r="AL23" i="25"/>
  <c r="AL5" i="25"/>
  <c r="AL4" i="25" s="1"/>
  <c r="AL52" i="24"/>
  <c r="AL38" i="24"/>
  <c r="AL23" i="24"/>
  <c r="AL5" i="24"/>
  <c r="AL4" i="24" s="1"/>
  <c r="AL52" i="22"/>
  <c r="AL52" i="26" s="1"/>
  <c r="AL38" i="22"/>
  <c r="AL38" i="26" s="1"/>
  <c r="AL23" i="22"/>
  <c r="AL23" i="26" s="1"/>
  <c r="AL5" i="22"/>
  <c r="AL52" i="21"/>
  <c r="AL38" i="21"/>
  <c r="AL23" i="21"/>
  <c r="AL5" i="21"/>
  <c r="AL4" i="21" s="1"/>
  <c r="AL52" i="19"/>
  <c r="AL38" i="19"/>
  <c r="AL23" i="19"/>
  <c r="AL5" i="19"/>
  <c r="AL4" i="19" s="1"/>
  <c r="AL52" i="20"/>
  <c r="AL38" i="20"/>
  <c r="AL23" i="20"/>
  <c r="AL5" i="20"/>
  <c r="AL4" i="20" s="1"/>
  <c r="AL52" i="18"/>
  <c r="AL38" i="18"/>
  <c r="AL23" i="18"/>
  <c r="AL5" i="18"/>
  <c r="AL4" i="18" s="1"/>
  <c r="AK35" i="13"/>
  <c r="AL52" i="10"/>
  <c r="AL38" i="10"/>
  <c r="AL23" i="10"/>
  <c r="AL5" i="10"/>
  <c r="AL4" i="10" s="1"/>
  <c r="AL52" i="9"/>
  <c r="AL38" i="9"/>
  <c r="AL23" i="9"/>
  <c r="AL5" i="9"/>
  <c r="AL4" i="9" s="1"/>
  <c r="AL52" i="5"/>
  <c r="AL38" i="5"/>
  <c r="AL23" i="5"/>
  <c r="AL5" i="5"/>
  <c r="AL4" i="5" s="1"/>
  <c r="AL52" i="4"/>
  <c r="AL38" i="4"/>
  <c r="AL23" i="4"/>
  <c r="AL5" i="4"/>
  <c r="AL4" i="4" s="1"/>
  <c r="AL52" i="2"/>
  <c r="AL38" i="2"/>
  <c r="AL23" i="2"/>
  <c r="AL5" i="2"/>
  <c r="AL4" i="2" s="1"/>
  <c r="AL52" i="3"/>
  <c r="AL38" i="3"/>
  <c r="AL23" i="3"/>
  <c r="AL5" i="3"/>
  <c r="AL4" i="3" s="1"/>
  <c r="AL52" i="1"/>
  <c r="AL38" i="1"/>
  <c r="AL23" i="1"/>
  <c r="AL5" i="1"/>
  <c r="AL4" i="1" s="1"/>
  <c r="AL4" i="22" l="1"/>
  <c r="AL4" i="26" s="1"/>
  <c r="AL5" i="26"/>
  <c r="AJ52" i="25"/>
  <c r="AK52" i="25"/>
  <c r="AJ38" i="25"/>
  <c r="AK38" i="25"/>
  <c r="AJ23" i="25"/>
  <c r="AK23" i="25"/>
  <c r="AJ5" i="25"/>
  <c r="AK5" i="25"/>
  <c r="AK4" i="25" s="1"/>
  <c r="AJ52" i="24"/>
  <c r="AK52" i="24"/>
  <c r="AJ38" i="24"/>
  <c r="AK38" i="24"/>
  <c r="AJ23" i="24"/>
  <c r="AK23" i="24"/>
  <c r="AJ5" i="24"/>
  <c r="AK5" i="24"/>
  <c r="AJ52" i="22"/>
  <c r="AK52" i="22"/>
  <c r="AJ38" i="22"/>
  <c r="AK38" i="22"/>
  <c r="AJ23" i="22"/>
  <c r="AK23" i="22"/>
  <c r="AJ5" i="22"/>
  <c r="AK5" i="22"/>
  <c r="AJ52" i="21"/>
  <c r="AK52" i="21"/>
  <c r="AJ38" i="21"/>
  <c r="AK38" i="21"/>
  <c r="AJ23" i="21"/>
  <c r="AK23" i="21"/>
  <c r="AJ5" i="21"/>
  <c r="AK5" i="21"/>
  <c r="AJ52" i="20"/>
  <c r="AK52" i="20"/>
  <c r="AJ38" i="20"/>
  <c r="AK38" i="20"/>
  <c r="AK23" i="20"/>
  <c r="AJ23" i="20"/>
  <c r="AJ5" i="20"/>
  <c r="AK5" i="20"/>
  <c r="AJ52" i="19"/>
  <c r="AK52" i="19"/>
  <c r="AJ38" i="19"/>
  <c r="AK38" i="19"/>
  <c r="AJ23" i="19"/>
  <c r="AK23" i="19"/>
  <c r="AJ5" i="19"/>
  <c r="AK5" i="19"/>
  <c r="AJ52" i="18"/>
  <c r="AK52" i="18"/>
  <c r="AJ38" i="18"/>
  <c r="AK38" i="18"/>
  <c r="AJ23" i="18"/>
  <c r="AK23" i="18"/>
  <c r="AJ5" i="18"/>
  <c r="AK5" i="18"/>
  <c r="AJ52" i="10"/>
  <c r="AK52" i="10"/>
  <c r="AJ38" i="10"/>
  <c r="AK38" i="10"/>
  <c r="AJ23" i="10"/>
  <c r="AK23" i="10"/>
  <c r="AJ5" i="10"/>
  <c r="AK5" i="10"/>
  <c r="AK4" i="10" s="1"/>
  <c r="AJ52" i="9"/>
  <c r="AK52" i="9"/>
  <c r="AJ38" i="9"/>
  <c r="AK38" i="9"/>
  <c r="AJ23" i="9"/>
  <c r="AK23" i="9"/>
  <c r="AJ5" i="9"/>
  <c r="AK5" i="9"/>
  <c r="AJ52" i="5"/>
  <c r="AK52" i="5"/>
  <c r="AJ38" i="5"/>
  <c r="AK38" i="5"/>
  <c r="AJ23" i="5"/>
  <c r="AK23" i="5"/>
  <c r="AJ5" i="5"/>
  <c r="AK5" i="5"/>
  <c r="AJ52" i="4"/>
  <c r="AK52" i="4"/>
  <c r="AJ38" i="4"/>
  <c r="AK38" i="4"/>
  <c r="AJ23" i="4"/>
  <c r="AK23" i="4"/>
  <c r="AJ5" i="4"/>
  <c r="AK5" i="4"/>
  <c r="AJ52" i="2"/>
  <c r="AK52" i="2"/>
  <c r="AJ38" i="2"/>
  <c r="AK38" i="2"/>
  <c r="AJ23" i="2"/>
  <c r="AK23" i="2"/>
  <c r="AJ5" i="2"/>
  <c r="AK5" i="2"/>
  <c r="AJ52" i="3"/>
  <c r="AK52" i="3"/>
  <c r="AJ38" i="3"/>
  <c r="AK38" i="3"/>
  <c r="AJ23" i="3"/>
  <c r="AK23" i="3"/>
  <c r="AJ5" i="3"/>
  <c r="AK5" i="3"/>
  <c r="AJ6" i="26"/>
  <c r="AK6" i="26"/>
  <c r="AJ7" i="26"/>
  <c r="AK7" i="26"/>
  <c r="AJ8" i="26"/>
  <c r="AK8" i="26"/>
  <c r="AJ9" i="26"/>
  <c r="AK9" i="26"/>
  <c r="AJ10" i="26"/>
  <c r="AK10" i="26"/>
  <c r="AJ11" i="26"/>
  <c r="AK11" i="26"/>
  <c r="AJ12" i="26"/>
  <c r="AK12" i="26"/>
  <c r="AJ13" i="26"/>
  <c r="AK13" i="26"/>
  <c r="AJ14" i="26"/>
  <c r="AK14" i="26"/>
  <c r="AJ15" i="26"/>
  <c r="AK15" i="26"/>
  <c r="AJ16" i="26"/>
  <c r="AK16" i="26"/>
  <c r="AJ17" i="26"/>
  <c r="AK17" i="26"/>
  <c r="AJ18" i="26"/>
  <c r="AK18" i="26"/>
  <c r="AJ19" i="26"/>
  <c r="AK19" i="26"/>
  <c r="AJ20" i="26"/>
  <c r="AK20" i="26"/>
  <c r="AJ21" i="26"/>
  <c r="AK21" i="26"/>
  <c r="AJ22" i="26"/>
  <c r="AK22" i="26"/>
  <c r="AJ24" i="26"/>
  <c r="AK24" i="26"/>
  <c r="AJ25" i="26"/>
  <c r="AK25" i="26"/>
  <c r="AJ26" i="26"/>
  <c r="AK26" i="26"/>
  <c r="AJ27" i="26"/>
  <c r="AK27" i="26"/>
  <c r="AJ28" i="26"/>
  <c r="AK28" i="26"/>
  <c r="AJ29" i="26"/>
  <c r="AK29" i="26"/>
  <c r="AJ30" i="26"/>
  <c r="AK30" i="26"/>
  <c r="AJ31" i="26"/>
  <c r="AK31" i="26"/>
  <c r="AJ32" i="26"/>
  <c r="AK32" i="26"/>
  <c r="AJ33" i="26"/>
  <c r="AK33" i="26"/>
  <c r="AJ34" i="26"/>
  <c r="AK34" i="26"/>
  <c r="AJ35" i="26"/>
  <c r="AK35" i="26"/>
  <c r="AJ36" i="26"/>
  <c r="AK36" i="26"/>
  <c r="AJ37" i="26"/>
  <c r="AK37" i="26"/>
  <c r="AJ39" i="26"/>
  <c r="AK39" i="26"/>
  <c r="AJ40" i="26"/>
  <c r="AK40" i="26"/>
  <c r="AJ41" i="26"/>
  <c r="AK41" i="26"/>
  <c r="AJ42" i="26"/>
  <c r="AK42" i="26"/>
  <c r="AJ43" i="26"/>
  <c r="AK43" i="26"/>
  <c r="AJ44" i="26"/>
  <c r="AK44" i="26"/>
  <c r="AJ45" i="26"/>
  <c r="AK45" i="26"/>
  <c r="AJ46" i="26"/>
  <c r="AK46" i="26"/>
  <c r="AJ47" i="26"/>
  <c r="AK47" i="26"/>
  <c r="AJ48" i="26"/>
  <c r="AK48" i="26"/>
  <c r="AJ49" i="26"/>
  <c r="AK49" i="26"/>
  <c r="AJ50" i="26"/>
  <c r="AK50" i="26"/>
  <c r="AJ51" i="26"/>
  <c r="AK51" i="26"/>
  <c r="AJ53" i="26"/>
  <c r="AK53" i="26"/>
  <c r="AJ54" i="26"/>
  <c r="AK54" i="26"/>
  <c r="AJ55" i="26"/>
  <c r="AK55" i="26"/>
  <c r="AJ56" i="26"/>
  <c r="AK56" i="26"/>
  <c r="AJ57" i="26"/>
  <c r="AK57" i="26"/>
  <c r="AJ58" i="26"/>
  <c r="AK58" i="26"/>
  <c r="AJ59" i="26"/>
  <c r="AK59" i="26"/>
  <c r="AJ60" i="26"/>
  <c r="AK60" i="26"/>
  <c r="AJ61" i="26"/>
  <c r="AK61" i="26"/>
  <c r="AJ62" i="26"/>
  <c r="AK62" i="26"/>
  <c r="AJ6" i="13"/>
  <c r="AK6" i="13"/>
  <c r="AJ7" i="13"/>
  <c r="AK7" i="13"/>
  <c r="AJ8" i="13"/>
  <c r="AK8" i="13"/>
  <c r="AJ9" i="13"/>
  <c r="AK9" i="13"/>
  <c r="AJ10" i="13"/>
  <c r="AK10" i="13"/>
  <c r="AJ11" i="13"/>
  <c r="AK11" i="13"/>
  <c r="AJ12" i="13"/>
  <c r="AK12" i="13"/>
  <c r="AJ13" i="13"/>
  <c r="AK13" i="13"/>
  <c r="AJ14" i="13"/>
  <c r="AK14" i="13"/>
  <c r="AJ15" i="13"/>
  <c r="AK15" i="13"/>
  <c r="AJ16" i="13"/>
  <c r="AK16" i="13"/>
  <c r="AJ17" i="13"/>
  <c r="AK17" i="13"/>
  <c r="AJ18" i="13"/>
  <c r="AK18" i="13"/>
  <c r="AJ19" i="13"/>
  <c r="AK19" i="13"/>
  <c r="AJ20" i="13"/>
  <c r="AK20" i="13"/>
  <c r="AJ21" i="13"/>
  <c r="AK21" i="13"/>
  <c r="AJ22" i="13"/>
  <c r="AK22" i="13"/>
  <c r="AJ24" i="13"/>
  <c r="AK24" i="13"/>
  <c r="AJ25" i="13"/>
  <c r="AK25" i="13"/>
  <c r="AJ26" i="13"/>
  <c r="AK26" i="13"/>
  <c r="AJ27" i="13"/>
  <c r="AK27" i="13"/>
  <c r="AJ28" i="13"/>
  <c r="AK28" i="13"/>
  <c r="AJ29" i="13"/>
  <c r="AK29" i="13"/>
  <c r="AJ30" i="13"/>
  <c r="AK30" i="13"/>
  <c r="AJ31" i="13"/>
  <c r="AK31" i="13"/>
  <c r="AJ32" i="13"/>
  <c r="AK32" i="13"/>
  <c r="AJ33" i="13"/>
  <c r="AK33" i="13"/>
  <c r="AJ34" i="13"/>
  <c r="AK34" i="13"/>
  <c r="AJ35" i="13"/>
  <c r="AJ36" i="13"/>
  <c r="AK36" i="13"/>
  <c r="AJ37" i="13"/>
  <c r="AK37" i="13"/>
  <c r="AJ39" i="13"/>
  <c r="AK39" i="13"/>
  <c r="AJ40" i="13"/>
  <c r="AK40" i="13"/>
  <c r="AJ41" i="13"/>
  <c r="AK41" i="13"/>
  <c r="AJ42" i="13"/>
  <c r="AK42" i="13"/>
  <c r="AJ43" i="13"/>
  <c r="AK43" i="13"/>
  <c r="AJ44" i="13"/>
  <c r="AK44" i="13"/>
  <c r="AJ45" i="13"/>
  <c r="AK45" i="13"/>
  <c r="AJ46" i="13"/>
  <c r="AK46" i="13"/>
  <c r="AJ47" i="13"/>
  <c r="AK47" i="13"/>
  <c r="AJ48" i="13"/>
  <c r="AK48" i="13"/>
  <c r="AJ49" i="13"/>
  <c r="AK49" i="13"/>
  <c r="AJ50" i="13"/>
  <c r="AK50" i="13"/>
  <c r="AJ51" i="13"/>
  <c r="AK51" i="13"/>
  <c r="AJ53" i="13"/>
  <c r="AK53" i="13"/>
  <c r="AJ54" i="13"/>
  <c r="AK54" i="13"/>
  <c r="AJ55" i="13"/>
  <c r="AK55" i="13"/>
  <c r="AJ56" i="13"/>
  <c r="AK56" i="13"/>
  <c r="AJ57" i="13"/>
  <c r="AK57" i="13"/>
  <c r="AJ58" i="13"/>
  <c r="AK58" i="13"/>
  <c r="AJ59" i="13"/>
  <c r="AK59" i="13"/>
  <c r="AJ60" i="13"/>
  <c r="AK60" i="13"/>
  <c r="AJ61" i="13"/>
  <c r="AK61" i="13"/>
  <c r="AJ62" i="13"/>
  <c r="AK62" i="13"/>
  <c r="AJ63" i="13"/>
  <c r="AK63" i="13"/>
  <c r="AH5" i="21"/>
  <c r="AI5" i="21"/>
  <c r="AH23" i="21"/>
  <c r="AI23" i="21"/>
  <c r="AJ52" i="1"/>
  <c r="AK52" i="1"/>
  <c r="AJ38" i="1"/>
  <c r="AJ38" i="13" s="1"/>
  <c r="AK38" i="1"/>
  <c r="AK38" i="13" s="1"/>
  <c r="AJ23" i="1"/>
  <c r="AK23" i="1"/>
  <c r="AJ5" i="1"/>
  <c r="AJ5" i="13" s="1"/>
  <c r="AK5" i="1"/>
  <c r="AI52" i="25"/>
  <c r="AI38" i="25"/>
  <c r="AI23" i="25"/>
  <c r="AI52" i="24"/>
  <c r="AI38" i="24"/>
  <c r="AI23" i="24"/>
  <c r="AI52" i="22"/>
  <c r="AI38" i="22"/>
  <c r="AI23" i="22"/>
  <c r="AI52" i="21"/>
  <c r="AI38" i="21"/>
  <c r="AI4" i="21" l="1"/>
  <c r="AJ5" i="26"/>
  <c r="AJ38" i="26"/>
  <c r="AJ4" i="4"/>
  <c r="AJ23" i="13"/>
  <c r="Z30" i="17"/>
  <c r="AB30" i="17"/>
  <c r="AJ4" i="25"/>
  <c r="AK4" i="24"/>
  <c r="AJ4" i="24"/>
  <c r="AJ4" i="22"/>
  <c r="AJ52" i="26"/>
  <c r="AK4" i="22"/>
  <c r="AK52" i="26"/>
  <c r="AK4" i="21"/>
  <c r="AJ4" i="21"/>
  <c r="AK4" i="20"/>
  <c r="AK23" i="26"/>
  <c r="AJ23" i="26"/>
  <c r="AJ4" i="20"/>
  <c r="AK38" i="26"/>
  <c r="AK5" i="26"/>
  <c r="AK4" i="19"/>
  <c r="AJ4" i="19"/>
  <c r="AK4" i="18"/>
  <c r="AJ4" i="18"/>
  <c r="AJ4" i="10"/>
  <c r="AJ4" i="9"/>
  <c r="AK4" i="9"/>
  <c r="AK4" i="5"/>
  <c r="AJ4" i="5"/>
  <c r="AK4" i="4"/>
  <c r="AJ52" i="13"/>
  <c r="AK4" i="2"/>
  <c r="AJ4" i="2"/>
  <c r="AK5" i="13"/>
  <c r="AK52" i="13"/>
  <c r="AJ4" i="3"/>
  <c r="AK23" i="13"/>
  <c r="AK4" i="3"/>
  <c r="AJ4" i="1"/>
  <c r="AK4" i="1"/>
  <c r="AI23" i="20"/>
  <c r="AI38" i="20"/>
  <c r="AI52" i="20"/>
  <c r="AI5" i="19"/>
  <c r="AI52" i="19"/>
  <c r="AI38" i="19"/>
  <c r="AI23" i="19"/>
  <c r="AI52" i="18"/>
  <c r="AI38" i="18"/>
  <c r="AI23" i="18"/>
  <c r="AI52" i="10"/>
  <c r="AI38" i="10"/>
  <c r="AI23" i="10"/>
  <c r="AI52" i="9"/>
  <c r="AI38" i="9"/>
  <c r="AI23" i="9"/>
  <c r="AI52" i="5"/>
  <c r="AI38" i="5"/>
  <c r="AI23" i="5"/>
  <c r="AI52" i="4"/>
  <c r="AI38" i="4"/>
  <c r="AI23" i="4"/>
  <c r="AI23" i="2"/>
  <c r="AI38" i="2"/>
  <c r="AI52" i="2"/>
  <c r="AI23" i="3"/>
  <c r="AI38" i="3"/>
  <c r="AI52" i="3"/>
  <c r="AI52" i="1"/>
  <c r="AI38" i="1"/>
  <c r="AI23" i="1"/>
  <c r="AK2" i="26" l="1"/>
  <c r="AK1" i="26" s="1"/>
  <c r="AD30" i="17"/>
  <c r="X30" i="17"/>
  <c r="AK2" i="13"/>
  <c r="AK1" i="13" s="1"/>
  <c r="AK4" i="26"/>
  <c r="AJ4" i="26"/>
  <c r="AJ4" i="13"/>
  <c r="AK4" i="13"/>
  <c r="AH6" i="13"/>
  <c r="AI6" i="13"/>
  <c r="AH7" i="13"/>
  <c r="AI7" i="13"/>
  <c r="AH8" i="13"/>
  <c r="AI8" i="13"/>
  <c r="AH9" i="13"/>
  <c r="AI9" i="13"/>
  <c r="AH10" i="13"/>
  <c r="AI10" i="13"/>
  <c r="AH11" i="13"/>
  <c r="AI11" i="13"/>
  <c r="AH12" i="13"/>
  <c r="AI12" i="13"/>
  <c r="AH13" i="13"/>
  <c r="AI13" i="13"/>
  <c r="AH14" i="13"/>
  <c r="AI14" i="13"/>
  <c r="AH15" i="13"/>
  <c r="AI15" i="13"/>
  <c r="AH16" i="13"/>
  <c r="AI16" i="13"/>
  <c r="AH17" i="13"/>
  <c r="AI17" i="13"/>
  <c r="AH18" i="13"/>
  <c r="AI18" i="13"/>
  <c r="AH19" i="13"/>
  <c r="AI19" i="13"/>
  <c r="AH20" i="13"/>
  <c r="AI20" i="13"/>
  <c r="AH21" i="13"/>
  <c r="AI21" i="13"/>
  <c r="AH22" i="13"/>
  <c r="AI22" i="13"/>
  <c r="AI23" i="13"/>
  <c r="AH24" i="13"/>
  <c r="AI24" i="13"/>
  <c r="AH25" i="13"/>
  <c r="AI25" i="13"/>
  <c r="AH26" i="13"/>
  <c r="AI26" i="13"/>
  <c r="AH27" i="13"/>
  <c r="AI27" i="13"/>
  <c r="AH28" i="13"/>
  <c r="AI28" i="13"/>
  <c r="AH29" i="13"/>
  <c r="AI29" i="13"/>
  <c r="AH30" i="13"/>
  <c r="AI30" i="13"/>
  <c r="AH31" i="13"/>
  <c r="AI31" i="13"/>
  <c r="AH32" i="13"/>
  <c r="AI32" i="13"/>
  <c r="AH33" i="13"/>
  <c r="AI33" i="13"/>
  <c r="AH34" i="13"/>
  <c r="AI34" i="13"/>
  <c r="AH35" i="13"/>
  <c r="AI35" i="13"/>
  <c r="AH36" i="13"/>
  <c r="AI36" i="13"/>
  <c r="AH37" i="13"/>
  <c r="AI37" i="13"/>
  <c r="AI38" i="13"/>
  <c r="AH39" i="13"/>
  <c r="AI39" i="13"/>
  <c r="AH40" i="13"/>
  <c r="AI40" i="13"/>
  <c r="AH41" i="13"/>
  <c r="AI41" i="13"/>
  <c r="AH42" i="13"/>
  <c r="AI42" i="13"/>
  <c r="AH43" i="13"/>
  <c r="AI43" i="13"/>
  <c r="AH44" i="13"/>
  <c r="AI44" i="13"/>
  <c r="AH45" i="13"/>
  <c r="AI45" i="13"/>
  <c r="AH46" i="13"/>
  <c r="AI46" i="13"/>
  <c r="AH47" i="13"/>
  <c r="AI47" i="13"/>
  <c r="AH48" i="13"/>
  <c r="AI48" i="13"/>
  <c r="AH49" i="13"/>
  <c r="AI49" i="13"/>
  <c r="AH50" i="13"/>
  <c r="AI50" i="13"/>
  <c r="AH51" i="13"/>
  <c r="AI51" i="13"/>
  <c r="AI52" i="13"/>
  <c r="AH53" i="13"/>
  <c r="AI53" i="13"/>
  <c r="AH54" i="13"/>
  <c r="AI54" i="13"/>
  <c r="AH55" i="13"/>
  <c r="AI55" i="13"/>
  <c r="AH56" i="13"/>
  <c r="AI56" i="13"/>
  <c r="AH57" i="13"/>
  <c r="AI57" i="13"/>
  <c r="AH58" i="13"/>
  <c r="AI58" i="13"/>
  <c r="AH59" i="13"/>
  <c r="AI59" i="13"/>
  <c r="AH60" i="13"/>
  <c r="AI60" i="13"/>
  <c r="AH61" i="13"/>
  <c r="AI61" i="13"/>
  <c r="AH62" i="13"/>
  <c r="AI62" i="13"/>
  <c r="AH63" i="13"/>
  <c r="AI63" i="13"/>
  <c r="AH6" i="26"/>
  <c r="AI6" i="26"/>
  <c r="AH7" i="26"/>
  <c r="AI7" i="26"/>
  <c r="AH8" i="26"/>
  <c r="AI8" i="26"/>
  <c r="AH9" i="26"/>
  <c r="AI9" i="26"/>
  <c r="AH10" i="26"/>
  <c r="AI10" i="26"/>
  <c r="AH11" i="26"/>
  <c r="AI11" i="26"/>
  <c r="AH12" i="26"/>
  <c r="AI12" i="26"/>
  <c r="AH13" i="26"/>
  <c r="AI13" i="26"/>
  <c r="AH14" i="26"/>
  <c r="AI14" i="26"/>
  <c r="AH15" i="26"/>
  <c r="AI15" i="26"/>
  <c r="AH16" i="26"/>
  <c r="AI16" i="26"/>
  <c r="AH17" i="26"/>
  <c r="AI17" i="26"/>
  <c r="AH18" i="26"/>
  <c r="AI18" i="26"/>
  <c r="AH19" i="26"/>
  <c r="AI19" i="26"/>
  <c r="AH20" i="26"/>
  <c r="AI20" i="26"/>
  <c r="AH21" i="26"/>
  <c r="AI21" i="26"/>
  <c r="AH22" i="26"/>
  <c r="AI22" i="26"/>
  <c r="AI23" i="26"/>
  <c r="AH24" i="26"/>
  <c r="AI24" i="26"/>
  <c r="AH25" i="26"/>
  <c r="AI25" i="26"/>
  <c r="AH26" i="26"/>
  <c r="AI26" i="26"/>
  <c r="AH27" i="26"/>
  <c r="AI27" i="26"/>
  <c r="AH28" i="26"/>
  <c r="AI28" i="26"/>
  <c r="AH29" i="26"/>
  <c r="AI29" i="26"/>
  <c r="AH30" i="26"/>
  <c r="AI30" i="26"/>
  <c r="AH31" i="26"/>
  <c r="AI31" i="26"/>
  <c r="AH32" i="26"/>
  <c r="AI32" i="26"/>
  <c r="AH33" i="26"/>
  <c r="AI33" i="26"/>
  <c r="AH34" i="26"/>
  <c r="AI34" i="26"/>
  <c r="AH35" i="26"/>
  <c r="AI35" i="26"/>
  <c r="AH36" i="26"/>
  <c r="AI36" i="26"/>
  <c r="AH37" i="26"/>
  <c r="AI37" i="26"/>
  <c r="AI38" i="26"/>
  <c r="AH39" i="26"/>
  <c r="AI39" i="26"/>
  <c r="AH40" i="26"/>
  <c r="AI40" i="26"/>
  <c r="AH41" i="26"/>
  <c r="AI41" i="26"/>
  <c r="AH42" i="26"/>
  <c r="AI42" i="26"/>
  <c r="AH43" i="26"/>
  <c r="AI43" i="26"/>
  <c r="AH44" i="26"/>
  <c r="AI44" i="26"/>
  <c r="AH45" i="26"/>
  <c r="AI45" i="26"/>
  <c r="AH46" i="26"/>
  <c r="AI46" i="26"/>
  <c r="AH47" i="26"/>
  <c r="AI47" i="26"/>
  <c r="AH48" i="26"/>
  <c r="AI48" i="26"/>
  <c r="AH49" i="26"/>
  <c r="AI49" i="26"/>
  <c r="AH50" i="26"/>
  <c r="AI50" i="26"/>
  <c r="AH51" i="26"/>
  <c r="AI51" i="26"/>
  <c r="AI52" i="26"/>
  <c r="AH53" i="26"/>
  <c r="AI53" i="26"/>
  <c r="AH54" i="26"/>
  <c r="AI54" i="26"/>
  <c r="AH55" i="26"/>
  <c r="AI55" i="26"/>
  <c r="AH56" i="26"/>
  <c r="AI56" i="26"/>
  <c r="AH57" i="26"/>
  <c r="AI57" i="26"/>
  <c r="AH58" i="26"/>
  <c r="AI58" i="26"/>
  <c r="AH59" i="26"/>
  <c r="AI59" i="26"/>
  <c r="AH60" i="26"/>
  <c r="AI60" i="26"/>
  <c r="AH61" i="26"/>
  <c r="AI61" i="26"/>
  <c r="AH62" i="26"/>
  <c r="AI62" i="26"/>
  <c r="AH52" i="25"/>
  <c r="AH38" i="25"/>
  <c r="AH23" i="25"/>
  <c r="AH5" i="25"/>
  <c r="AI5" i="25"/>
  <c r="AH52" i="24"/>
  <c r="AH38" i="24"/>
  <c r="AH23" i="24"/>
  <c r="AG5" i="24"/>
  <c r="AH5" i="24"/>
  <c r="AI5" i="24"/>
  <c r="AI4" i="24" s="1"/>
  <c r="AH52" i="22"/>
  <c r="AH38" i="22"/>
  <c r="AH23" i="22"/>
  <c r="AH5" i="22"/>
  <c r="AI5" i="22"/>
  <c r="AH52" i="21"/>
  <c r="AH38" i="21"/>
  <c r="AH4" i="21" s="1"/>
  <c r="AG5" i="21"/>
  <c r="AH52" i="20"/>
  <c r="AH38" i="20"/>
  <c r="AH23" i="20"/>
  <c r="AH5" i="20"/>
  <c r="AI5" i="20"/>
  <c r="AH52" i="19"/>
  <c r="AH38" i="19"/>
  <c r="AH23" i="19"/>
  <c r="AG5" i="19"/>
  <c r="AH5" i="19"/>
  <c r="AI4" i="19"/>
  <c r="AH52" i="18"/>
  <c r="AH52" i="26" s="1"/>
  <c r="AH38" i="18"/>
  <c r="AH38" i="26" s="1"/>
  <c r="AH23" i="18"/>
  <c r="AH5" i="18"/>
  <c r="AH5" i="26" s="1"/>
  <c r="AI5" i="18"/>
  <c r="AH52" i="10"/>
  <c r="AH38" i="10"/>
  <c r="AH23" i="10"/>
  <c r="AG5" i="10"/>
  <c r="AH5" i="10"/>
  <c r="AI5" i="10"/>
  <c r="AH23" i="9"/>
  <c r="AH38" i="9"/>
  <c r="AH52" i="9"/>
  <c r="AH5" i="9"/>
  <c r="AI5" i="9"/>
  <c r="AI4" i="9" s="1"/>
  <c r="AH23" i="5"/>
  <c r="AH38" i="5"/>
  <c r="AH52" i="5"/>
  <c r="AG5" i="5"/>
  <c r="AH5" i="5"/>
  <c r="AI5" i="5"/>
  <c r="AH52" i="4"/>
  <c r="AH38" i="4"/>
  <c r="AH23" i="4"/>
  <c r="AH5" i="4"/>
  <c r="AI5" i="4"/>
  <c r="AH52" i="2"/>
  <c r="AH38" i="2"/>
  <c r="AH23" i="2"/>
  <c r="AH5" i="2"/>
  <c r="AI5" i="2"/>
  <c r="AH52" i="3"/>
  <c r="AH38" i="3"/>
  <c r="AH23" i="3"/>
  <c r="AH5" i="3"/>
  <c r="AI5" i="3"/>
  <c r="AH52" i="1"/>
  <c r="AH38" i="1"/>
  <c r="AH38" i="13" s="1"/>
  <c r="AH23" i="1"/>
  <c r="AH23" i="13" s="1"/>
  <c r="AI5" i="1"/>
  <c r="AH5" i="1"/>
  <c r="AH5" i="13" s="1"/>
  <c r="AH23" i="26" l="1"/>
  <c r="AH52" i="13"/>
  <c r="AI4" i="2"/>
  <c r="AI4" i="5"/>
  <c r="AI4" i="22"/>
  <c r="AI4" i="3"/>
  <c r="AH4" i="5"/>
  <c r="AI4" i="18"/>
  <c r="AI4" i="4"/>
  <c r="AI4" i="10"/>
  <c r="AH4" i="10"/>
  <c r="AI4" i="25"/>
  <c r="AI4" i="1"/>
  <c r="AI4" i="20"/>
  <c r="AI4" i="26"/>
  <c r="AI5" i="26"/>
  <c r="AI2" i="26" s="1"/>
  <c r="AI1" i="26" s="1"/>
  <c r="AI5" i="13"/>
  <c r="AI2" i="13" s="1"/>
  <c r="AI1" i="13" s="1"/>
  <c r="AH4" i="25"/>
  <c r="AH4" i="24"/>
  <c r="AH4" i="22"/>
  <c r="AH4" i="20"/>
  <c r="AH4" i="19"/>
  <c r="AH4" i="18"/>
  <c r="AH4" i="9"/>
  <c r="AH4" i="4"/>
  <c r="AH4" i="2"/>
  <c r="AH4" i="3"/>
  <c r="AH4" i="1"/>
  <c r="AH4" i="13" s="1"/>
  <c r="AH4" i="26" l="1"/>
  <c r="AI4" i="13"/>
  <c r="AG6" i="13"/>
  <c r="AG7" i="13"/>
  <c r="AG8" i="13"/>
  <c r="AG9" i="13"/>
  <c r="AG10" i="13"/>
  <c r="AG11" i="13"/>
  <c r="AG12" i="13"/>
  <c r="AG13" i="13"/>
  <c r="AG14" i="13"/>
  <c r="AG15" i="13"/>
  <c r="AG16" i="13"/>
  <c r="AG17" i="13"/>
  <c r="AG18" i="13"/>
  <c r="AG19" i="13"/>
  <c r="AG20" i="13"/>
  <c r="AG21" i="13"/>
  <c r="AG22" i="13"/>
  <c r="AG25" i="13"/>
  <c r="AG26" i="13"/>
  <c r="AG27" i="13"/>
  <c r="AG28" i="13"/>
  <c r="AG29" i="13"/>
  <c r="AG30" i="13"/>
  <c r="AG31" i="13"/>
  <c r="AG32" i="13"/>
  <c r="AG33" i="13"/>
  <c r="AG34" i="13"/>
  <c r="AG35" i="13"/>
  <c r="AG36" i="13"/>
  <c r="AG37" i="13"/>
  <c r="AG40" i="13"/>
  <c r="AG41" i="13"/>
  <c r="AG42" i="13"/>
  <c r="AG43" i="13"/>
  <c r="AG44" i="13"/>
  <c r="AG45" i="13"/>
  <c r="AG46" i="13"/>
  <c r="AG47" i="13"/>
  <c r="AG48" i="13"/>
  <c r="AG49" i="13"/>
  <c r="AG50" i="13"/>
  <c r="AG51" i="13"/>
  <c r="AG53" i="13"/>
  <c r="AG54" i="13"/>
  <c r="AG55" i="13"/>
  <c r="AG56" i="13"/>
  <c r="AG57" i="13"/>
  <c r="AG58" i="13"/>
  <c r="AG59" i="13"/>
  <c r="AG60" i="13"/>
  <c r="AG61" i="13"/>
  <c r="AG62" i="13"/>
  <c r="AG63" i="13"/>
  <c r="AG6" i="26"/>
  <c r="AG7" i="26"/>
  <c r="AG8" i="26"/>
  <c r="AG9" i="26"/>
  <c r="AG10" i="26"/>
  <c r="AG11" i="26"/>
  <c r="AG12" i="26"/>
  <c r="AG13" i="26"/>
  <c r="AG14" i="26"/>
  <c r="AG15" i="26"/>
  <c r="AG16" i="26"/>
  <c r="AG17" i="26"/>
  <c r="AG18" i="26"/>
  <c r="AG19" i="26"/>
  <c r="AG20" i="26"/>
  <c r="AG21" i="26"/>
  <c r="AG22" i="26"/>
  <c r="AG24" i="26"/>
  <c r="AG25" i="26"/>
  <c r="AG26" i="26"/>
  <c r="AG27" i="26"/>
  <c r="AG28" i="26"/>
  <c r="AG29" i="26"/>
  <c r="AG30" i="26"/>
  <c r="AG31" i="26"/>
  <c r="AG32" i="26"/>
  <c r="AG33" i="26"/>
  <c r="AG34" i="26"/>
  <c r="AG35" i="26"/>
  <c r="AG36" i="26"/>
  <c r="AG37" i="26"/>
  <c r="AG39" i="26"/>
  <c r="AG40" i="26"/>
  <c r="AG41" i="26"/>
  <c r="AG42" i="26"/>
  <c r="AG43" i="26"/>
  <c r="AG44" i="26"/>
  <c r="AG45" i="26"/>
  <c r="AG46" i="26"/>
  <c r="AG47" i="26"/>
  <c r="AG48" i="26"/>
  <c r="AG49" i="26"/>
  <c r="AG50" i="26"/>
  <c r="AG51" i="26"/>
  <c r="AG53" i="26"/>
  <c r="AG54" i="26"/>
  <c r="AG55" i="26"/>
  <c r="AG56" i="26"/>
  <c r="AG57" i="26"/>
  <c r="AG58" i="26"/>
  <c r="AG59" i="26"/>
  <c r="AG60" i="26"/>
  <c r="AG61" i="26"/>
  <c r="AG62" i="26"/>
  <c r="AG52" i="25"/>
  <c r="AG38" i="25"/>
  <c r="AG23" i="25"/>
  <c r="AG5" i="25"/>
  <c r="AG52" i="24"/>
  <c r="AG38" i="24"/>
  <c r="AG23" i="24"/>
  <c r="AG4" i="24" s="1"/>
  <c r="AG52" i="22"/>
  <c r="AG38" i="22"/>
  <c r="AG23" i="22"/>
  <c r="AG5" i="22"/>
  <c r="AG52" i="21"/>
  <c r="AG38" i="21"/>
  <c r="AG23" i="21"/>
  <c r="AG4" i="21" s="1"/>
  <c r="AG52" i="20"/>
  <c r="AG38" i="20"/>
  <c r="AG23" i="20"/>
  <c r="AG5" i="20"/>
  <c r="AG52" i="19"/>
  <c r="AG38" i="19"/>
  <c r="AG23" i="19"/>
  <c r="AG4" i="19" s="1"/>
  <c r="AG52" i="18"/>
  <c r="AG38" i="18"/>
  <c r="AG23" i="18"/>
  <c r="AG23" i="26" s="1"/>
  <c r="AG5" i="18"/>
  <c r="AF23" i="10"/>
  <c r="AF5" i="10"/>
  <c r="AF52" i="10"/>
  <c r="AE52" i="10"/>
  <c r="AG52" i="10"/>
  <c r="AF38" i="10"/>
  <c r="AE38" i="10"/>
  <c r="AG38" i="10"/>
  <c r="AE23" i="10"/>
  <c r="AG23" i="10"/>
  <c r="AD23" i="10"/>
  <c r="AG52" i="9"/>
  <c r="AG38" i="9"/>
  <c r="AG23" i="9"/>
  <c r="AG5" i="9"/>
  <c r="AF52" i="5"/>
  <c r="AG52" i="5"/>
  <c r="AF38" i="5"/>
  <c r="AG38" i="5"/>
  <c r="AF23" i="5"/>
  <c r="AG23" i="5"/>
  <c r="AG4" i="5" s="1"/>
  <c r="AG52" i="4"/>
  <c r="AG38" i="4"/>
  <c r="AG23" i="4"/>
  <c r="AG5" i="4"/>
  <c r="AG52" i="3"/>
  <c r="AG38" i="3"/>
  <c r="AG23" i="3"/>
  <c r="AG5" i="3"/>
  <c r="AG52" i="2"/>
  <c r="AG38" i="2"/>
  <c r="AG23" i="2"/>
  <c r="AG5" i="2"/>
  <c r="AG52" i="1"/>
  <c r="AG38" i="1"/>
  <c r="AG23" i="1"/>
  <c r="AG5" i="1"/>
  <c r="AG52" i="13" l="1"/>
  <c r="AG4" i="10"/>
  <c r="AG5" i="13"/>
  <c r="AG52" i="26"/>
  <c r="AG38" i="13"/>
  <c r="AG23" i="13"/>
  <c r="AG38" i="26"/>
  <c r="AG5" i="26"/>
  <c r="AG4" i="25"/>
  <c r="AG4" i="22"/>
  <c r="AG4" i="20"/>
  <c r="AG4" i="18"/>
  <c r="AG4" i="9"/>
  <c r="AG4" i="4"/>
  <c r="AG4" i="3"/>
  <c r="AG4" i="2"/>
  <c r="AG4" i="1"/>
  <c r="AG4" i="26" l="1"/>
  <c r="AG4" i="13"/>
  <c r="AF6" i="13"/>
  <c r="AF7" i="13"/>
  <c r="AF8" i="13"/>
  <c r="AF9" i="13"/>
  <c r="AF10" i="13"/>
  <c r="AF11" i="13"/>
  <c r="AF12" i="13"/>
  <c r="AF13" i="13"/>
  <c r="AF14" i="13"/>
  <c r="AF15" i="13"/>
  <c r="AF16" i="13"/>
  <c r="AF17" i="13"/>
  <c r="AF18" i="13"/>
  <c r="AF19" i="13"/>
  <c r="AF20" i="13"/>
  <c r="AF21" i="13"/>
  <c r="AF22" i="13"/>
  <c r="AF24" i="13"/>
  <c r="AF25" i="13"/>
  <c r="AF26" i="13"/>
  <c r="AF27" i="13"/>
  <c r="AF28" i="13"/>
  <c r="AF29" i="13"/>
  <c r="AF30" i="13"/>
  <c r="AF31" i="13"/>
  <c r="AF32" i="13"/>
  <c r="AF33" i="13"/>
  <c r="AF34" i="13"/>
  <c r="AF35" i="13"/>
  <c r="AF36" i="13"/>
  <c r="AF37" i="13"/>
  <c r="AF39" i="13"/>
  <c r="AF40" i="13"/>
  <c r="AF41" i="13"/>
  <c r="AF42" i="13"/>
  <c r="AF43" i="13"/>
  <c r="AF44" i="13"/>
  <c r="AF45" i="13"/>
  <c r="AF46" i="13"/>
  <c r="AF47" i="13"/>
  <c r="AF48" i="13"/>
  <c r="AF49" i="13"/>
  <c r="AF50" i="13"/>
  <c r="AF51" i="13"/>
  <c r="AF53" i="13"/>
  <c r="AF54" i="13"/>
  <c r="AF55" i="13"/>
  <c r="AF56" i="13"/>
  <c r="AF57" i="13"/>
  <c r="AF58" i="13"/>
  <c r="AF59" i="13"/>
  <c r="AF60" i="13"/>
  <c r="AF61" i="13"/>
  <c r="AF62" i="13"/>
  <c r="AF63" i="13"/>
  <c r="AF6" i="26"/>
  <c r="AF7" i="26"/>
  <c r="AF8" i="26"/>
  <c r="AF9" i="26"/>
  <c r="AF10" i="26"/>
  <c r="AF11" i="26"/>
  <c r="AF12" i="26"/>
  <c r="AF13" i="26"/>
  <c r="AF14" i="26"/>
  <c r="AF15" i="26"/>
  <c r="AF16" i="26"/>
  <c r="AF17" i="26"/>
  <c r="AF18" i="26"/>
  <c r="AF19" i="26"/>
  <c r="AF20" i="26"/>
  <c r="AF21" i="26"/>
  <c r="AF22" i="26"/>
  <c r="AF24" i="26"/>
  <c r="AF25" i="26"/>
  <c r="AF26" i="26"/>
  <c r="AF27" i="26"/>
  <c r="AF28" i="26"/>
  <c r="AF29" i="26"/>
  <c r="AF30" i="26"/>
  <c r="AF31" i="26"/>
  <c r="AF32" i="26"/>
  <c r="AF33" i="26"/>
  <c r="AF34" i="26"/>
  <c r="AF35" i="26"/>
  <c r="AF36" i="26"/>
  <c r="AF37" i="26"/>
  <c r="AF39" i="26"/>
  <c r="AF40" i="26"/>
  <c r="AF41" i="26"/>
  <c r="AF42" i="26"/>
  <c r="AF43" i="26"/>
  <c r="AF44" i="26"/>
  <c r="AF45" i="26"/>
  <c r="AF46" i="26"/>
  <c r="AF47" i="26"/>
  <c r="AF48" i="26"/>
  <c r="AF49" i="26"/>
  <c r="AF50" i="26"/>
  <c r="AF51" i="26"/>
  <c r="AF53" i="26"/>
  <c r="AF54" i="26"/>
  <c r="AF55" i="26"/>
  <c r="AF56" i="26"/>
  <c r="AF57" i="26"/>
  <c r="AF58" i="26"/>
  <c r="AF59" i="26"/>
  <c r="AF60" i="26"/>
  <c r="AF61" i="26"/>
  <c r="AF62" i="26"/>
  <c r="AF52" i="25"/>
  <c r="AF38" i="25"/>
  <c r="AF23" i="25"/>
  <c r="AF5" i="25"/>
  <c r="AF52" i="24"/>
  <c r="AF38" i="24"/>
  <c r="AF23" i="24"/>
  <c r="AF5" i="24"/>
  <c r="AF5" i="22"/>
  <c r="AF23" i="22"/>
  <c r="AF38" i="22"/>
  <c r="AF52" i="22"/>
  <c r="AF5" i="21"/>
  <c r="AF23" i="21"/>
  <c r="AF38" i="21"/>
  <c r="AF52" i="21"/>
  <c r="AF5" i="20"/>
  <c r="AF23" i="20"/>
  <c r="AF38" i="20"/>
  <c r="AF52" i="20"/>
  <c r="AF52" i="19"/>
  <c r="AF38" i="19"/>
  <c r="AF23" i="19"/>
  <c r="AF5" i="19"/>
  <c r="AF52" i="18"/>
  <c r="AF38" i="18"/>
  <c r="AF23" i="18"/>
  <c r="AF5" i="18"/>
  <c r="N67" i="17" l="1"/>
  <c r="K67" i="17"/>
  <c r="M67" i="17"/>
  <c r="L67" i="17"/>
  <c r="J67" i="17"/>
  <c r="I67" i="17"/>
  <c r="N66" i="17"/>
  <c r="K66" i="17"/>
  <c r="M66" i="17"/>
  <c r="L66" i="17"/>
  <c r="J66" i="17"/>
  <c r="I66" i="17"/>
  <c r="N65" i="17"/>
  <c r="K65" i="17"/>
  <c r="M65" i="17"/>
  <c r="L65" i="17"/>
  <c r="J65" i="17"/>
  <c r="I65" i="17"/>
  <c r="N64" i="17"/>
  <c r="K64" i="17"/>
  <c r="M64" i="17"/>
  <c r="L64" i="17"/>
  <c r="J64" i="17"/>
  <c r="I64" i="17"/>
  <c r="N63" i="17"/>
  <c r="K63" i="17"/>
  <c r="M63" i="17"/>
  <c r="L63" i="17"/>
  <c r="J63" i="17"/>
  <c r="I63" i="17"/>
  <c r="N62" i="17"/>
  <c r="K62" i="17"/>
  <c r="M62" i="17"/>
  <c r="L62" i="17"/>
  <c r="J62" i="17"/>
  <c r="I62" i="17"/>
  <c r="N61" i="17"/>
  <c r="K61" i="17"/>
  <c r="M61" i="17"/>
  <c r="L61" i="17"/>
  <c r="J61" i="17"/>
  <c r="I61" i="17"/>
  <c r="N60" i="17"/>
  <c r="K60" i="17"/>
  <c r="M60" i="17"/>
  <c r="L60" i="17"/>
  <c r="J60" i="17"/>
  <c r="I60" i="17"/>
  <c r="N59" i="17"/>
  <c r="K59" i="17"/>
  <c r="M59" i="17"/>
  <c r="L59" i="17"/>
  <c r="J59" i="17"/>
  <c r="I59" i="17"/>
  <c r="N56" i="17"/>
  <c r="K56" i="17"/>
  <c r="M56" i="17"/>
  <c r="L56" i="17"/>
  <c r="J56" i="17"/>
  <c r="I56" i="17"/>
  <c r="N55" i="17"/>
  <c r="K55" i="17"/>
  <c r="M55" i="17"/>
  <c r="L55" i="17"/>
  <c r="J55" i="17"/>
  <c r="I55" i="17"/>
  <c r="N54" i="17"/>
  <c r="K54" i="17"/>
  <c r="M54" i="17"/>
  <c r="L54" i="17"/>
  <c r="J54" i="17"/>
  <c r="I54" i="17"/>
  <c r="N53" i="17"/>
  <c r="K53" i="17"/>
  <c r="M53" i="17"/>
  <c r="L53" i="17"/>
  <c r="J53" i="17"/>
  <c r="I53" i="17"/>
  <c r="N52" i="17"/>
  <c r="K52" i="17"/>
  <c r="M52" i="17"/>
  <c r="L52" i="17"/>
  <c r="J52" i="17"/>
  <c r="I52" i="17"/>
  <c r="N51" i="17"/>
  <c r="K51" i="17"/>
  <c r="M51" i="17"/>
  <c r="L51" i="17"/>
  <c r="J51" i="17"/>
  <c r="I51" i="17"/>
  <c r="N50" i="17"/>
  <c r="K50" i="17"/>
  <c r="M50" i="17"/>
  <c r="L50" i="17"/>
  <c r="J50" i="17"/>
  <c r="I50" i="17"/>
  <c r="N49" i="17"/>
  <c r="K49" i="17"/>
  <c r="M49" i="17"/>
  <c r="L49" i="17"/>
  <c r="J49" i="17"/>
  <c r="I49" i="17"/>
  <c r="N48" i="17"/>
  <c r="K48" i="17"/>
  <c r="M48" i="17"/>
  <c r="L48" i="17"/>
  <c r="J48" i="17"/>
  <c r="I48" i="17"/>
  <c r="N47" i="17"/>
  <c r="K47" i="17"/>
  <c r="M47" i="17"/>
  <c r="L47" i="17"/>
  <c r="J47" i="17"/>
  <c r="I47" i="17"/>
  <c r="N46" i="17"/>
  <c r="K46" i="17"/>
  <c r="M46" i="17"/>
  <c r="L46" i="17"/>
  <c r="J46" i="17"/>
  <c r="I46" i="17"/>
  <c r="N45" i="17"/>
  <c r="K45" i="17"/>
  <c r="M45" i="17"/>
  <c r="L45" i="17"/>
  <c r="J45" i="17"/>
  <c r="I45" i="17"/>
  <c r="N42" i="17"/>
  <c r="K42" i="17"/>
  <c r="M42" i="17"/>
  <c r="L42" i="17"/>
  <c r="J42" i="17"/>
  <c r="I42" i="17"/>
  <c r="N41" i="17"/>
  <c r="K41" i="17"/>
  <c r="M41" i="17"/>
  <c r="L41" i="17"/>
  <c r="J41" i="17"/>
  <c r="I41" i="17"/>
  <c r="N40" i="17"/>
  <c r="K40" i="17"/>
  <c r="M40" i="17"/>
  <c r="L40" i="17"/>
  <c r="J40" i="17"/>
  <c r="I40" i="17"/>
  <c r="N39" i="17"/>
  <c r="K39" i="17"/>
  <c r="M39" i="17"/>
  <c r="L39" i="17"/>
  <c r="J39" i="17"/>
  <c r="I39" i="17"/>
  <c r="N38" i="17"/>
  <c r="K38" i="17"/>
  <c r="M38" i="17"/>
  <c r="L38" i="17"/>
  <c r="J38" i="17"/>
  <c r="I38" i="17"/>
  <c r="K37" i="17"/>
  <c r="N37" i="17"/>
  <c r="M37" i="17"/>
  <c r="L37" i="17"/>
  <c r="J37" i="17"/>
  <c r="I37" i="17"/>
  <c r="N36" i="17"/>
  <c r="K36" i="17"/>
  <c r="M36" i="17"/>
  <c r="L36" i="17"/>
  <c r="J36" i="17"/>
  <c r="I36" i="17"/>
  <c r="N35" i="17"/>
  <c r="K35" i="17"/>
  <c r="M35" i="17"/>
  <c r="L35" i="17"/>
  <c r="J35" i="17"/>
  <c r="I35" i="17"/>
  <c r="K34" i="17"/>
  <c r="N34" i="17"/>
  <c r="M34" i="17"/>
  <c r="L34" i="17"/>
  <c r="J34" i="17"/>
  <c r="I34" i="17"/>
  <c r="K33" i="17"/>
  <c r="N33" i="17"/>
  <c r="M33" i="17"/>
  <c r="L33" i="17"/>
  <c r="J33" i="17"/>
  <c r="I33" i="17"/>
  <c r="K32" i="17"/>
  <c r="N32" i="17"/>
  <c r="M32" i="17"/>
  <c r="L32" i="17"/>
  <c r="J32" i="17"/>
  <c r="I32" i="17"/>
  <c r="N31" i="17"/>
  <c r="K31" i="17"/>
  <c r="M31" i="17"/>
  <c r="L31" i="17"/>
  <c r="J31" i="17"/>
  <c r="I31" i="17"/>
  <c r="W30" i="17"/>
  <c r="Y30" i="17"/>
  <c r="AA30" i="17"/>
  <c r="AC30" i="17" s="1"/>
  <c r="K27" i="17"/>
  <c r="N27" i="17"/>
  <c r="M27" i="17"/>
  <c r="L27" i="17"/>
  <c r="J27" i="17"/>
  <c r="I27" i="17"/>
  <c r="K26" i="17"/>
  <c r="N26" i="17"/>
  <c r="M26" i="17"/>
  <c r="L26" i="17"/>
  <c r="J26" i="17"/>
  <c r="I26" i="17"/>
  <c r="K25" i="17"/>
  <c r="N25" i="17"/>
  <c r="M25" i="17"/>
  <c r="L25" i="17"/>
  <c r="J25" i="17"/>
  <c r="I25" i="17"/>
  <c r="K24" i="17"/>
  <c r="N24" i="17"/>
  <c r="M24" i="17"/>
  <c r="L24" i="17"/>
  <c r="J24" i="17"/>
  <c r="I24" i="17"/>
  <c r="K23" i="17"/>
  <c r="N23" i="17"/>
  <c r="M23" i="17"/>
  <c r="L23" i="17"/>
  <c r="J23" i="17"/>
  <c r="I23" i="17"/>
  <c r="K22" i="17"/>
  <c r="N22" i="17"/>
  <c r="M22" i="17"/>
  <c r="L22" i="17"/>
  <c r="J22" i="17"/>
  <c r="I22" i="17"/>
  <c r="K21" i="17"/>
  <c r="N21" i="17"/>
  <c r="M21" i="17"/>
  <c r="L21" i="17"/>
  <c r="J21" i="17"/>
  <c r="I21" i="17"/>
  <c r="K20" i="17"/>
  <c r="N20" i="17"/>
  <c r="M20" i="17"/>
  <c r="L20" i="17"/>
  <c r="J20" i="17"/>
  <c r="I20" i="17"/>
  <c r="K19" i="17"/>
  <c r="N19" i="17"/>
  <c r="M19" i="17"/>
  <c r="L19" i="17"/>
  <c r="J19" i="17"/>
  <c r="I19" i="17"/>
  <c r="K18" i="17"/>
  <c r="N18" i="17"/>
  <c r="M18" i="17"/>
  <c r="L18" i="17"/>
  <c r="J18" i="17"/>
  <c r="I18" i="17"/>
  <c r="K17" i="17"/>
  <c r="N17" i="17"/>
  <c r="M17" i="17"/>
  <c r="L17" i="17"/>
  <c r="J17" i="17"/>
  <c r="I17" i="17"/>
  <c r="K16" i="17"/>
  <c r="N16" i="17"/>
  <c r="M16" i="17"/>
  <c r="L16" i="17"/>
  <c r="J16" i="17"/>
  <c r="I16" i="17"/>
  <c r="K15" i="17"/>
  <c r="N15" i="17"/>
  <c r="M15" i="17"/>
  <c r="L15" i="17"/>
  <c r="J15" i="17"/>
  <c r="I15" i="17"/>
  <c r="K14" i="17"/>
  <c r="N14" i="17"/>
  <c r="M14" i="17"/>
  <c r="L14" i="17"/>
  <c r="J14" i="17"/>
  <c r="I14" i="17"/>
  <c r="N13" i="17"/>
  <c r="K13" i="17"/>
  <c r="M13" i="17"/>
  <c r="L13" i="17"/>
  <c r="J13" i="17"/>
  <c r="I13" i="17"/>
  <c r="N12" i="17"/>
  <c r="K12" i="17"/>
  <c r="M12" i="17"/>
  <c r="L12" i="17"/>
  <c r="J12" i="17"/>
  <c r="I12" i="17"/>
  <c r="K69" i="16"/>
  <c r="N69" i="16"/>
  <c r="M69" i="16"/>
  <c r="L69" i="16"/>
  <c r="J69" i="16"/>
  <c r="I69" i="16"/>
  <c r="K68" i="16"/>
  <c r="N68" i="16"/>
  <c r="M68" i="16"/>
  <c r="L68" i="16"/>
  <c r="J68" i="16"/>
  <c r="I68" i="16"/>
  <c r="K67" i="16"/>
  <c r="N67" i="16"/>
  <c r="M67" i="16"/>
  <c r="L67" i="16"/>
  <c r="J67" i="16"/>
  <c r="I67" i="16"/>
  <c r="K66" i="16"/>
  <c r="N66" i="16"/>
  <c r="M66" i="16"/>
  <c r="L66" i="16"/>
  <c r="J66" i="16"/>
  <c r="I66" i="16"/>
  <c r="K65" i="16"/>
  <c r="N65" i="16"/>
  <c r="M65" i="16"/>
  <c r="L65" i="16"/>
  <c r="J65" i="16"/>
  <c r="I65" i="16"/>
  <c r="K64" i="16"/>
  <c r="N64" i="16"/>
  <c r="M64" i="16"/>
  <c r="L64" i="16"/>
  <c r="J64" i="16"/>
  <c r="I64" i="16"/>
  <c r="K63" i="16"/>
  <c r="N63" i="16"/>
  <c r="M63" i="16"/>
  <c r="L63" i="16"/>
  <c r="J63" i="16"/>
  <c r="I63" i="16"/>
  <c r="K62" i="16"/>
  <c r="N62" i="16"/>
  <c r="M62" i="16"/>
  <c r="L62" i="16"/>
  <c r="J62" i="16"/>
  <c r="I62" i="16"/>
  <c r="K61" i="16"/>
  <c r="N61" i="16"/>
  <c r="M61" i="16"/>
  <c r="L61" i="16"/>
  <c r="J61" i="16"/>
  <c r="I61" i="16"/>
  <c r="K60" i="16"/>
  <c r="N60" i="16"/>
  <c r="M60" i="16"/>
  <c r="L60" i="16"/>
  <c r="J60" i="16"/>
  <c r="I60" i="16"/>
  <c r="K57" i="16"/>
  <c r="N57" i="16"/>
  <c r="M57" i="16"/>
  <c r="L57" i="16"/>
  <c r="J57" i="16"/>
  <c r="I57" i="16"/>
  <c r="K56" i="16"/>
  <c r="N56" i="16"/>
  <c r="M56" i="16"/>
  <c r="L56" i="16"/>
  <c r="J56" i="16"/>
  <c r="I56" i="16"/>
  <c r="K55" i="16"/>
  <c r="N55" i="16"/>
  <c r="M55" i="16"/>
  <c r="L55" i="16"/>
  <c r="J55" i="16"/>
  <c r="I55" i="16"/>
  <c r="K54" i="16"/>
  <c r="N54" i="16"/>
  <c r="M54" i="16"/>
  <c r="L54" i="16"/>
  <c r="J54" i="16"/>
  <c r="I54" i="16"/>
  <c r="K53" i="16"/>
  <c r="N53" i="16"/>
  <c r="M53" i="16"/>
  <c r="L53" i="16"/>
  <c r="J53" i="16"/>
  <c r="I53" i="16"/>
  <c r="K52" i="16"/>
  <c r="N52" i="16"/>
  <c r="M52" i="16"/>
  <c r="L52" i="16"/>
  <c r="J52" i="16"/>
  <c r="I52" i="16"/>
  <c r="K51" i="16"/>
  <c r="N51" i="16"/>
  <c r="M51" i="16"/>
  <c r="L51" i="16"/>
  <c r="J51" i="16"/>
  <c r="I51" i="16"/>
  <c r="K50" i="16"/>
  <c r="N50" i="16"/>
  <c r="M50" i="16"/>
  <c r="L50" i="16"/>
  <c r="J50" i="16"/>
  <c r="I50" i="16"/>
  <c r="K49" i="16"/>
  <c r="N49" i="16"/>
  <c r="M49" i="16"/>
  <c r="L49" i="16"/>
  <c r="J49" i="16"/>
  <c r="I49" i="16"/>
  <c r="K48" i="16"/>
  <c r="N48" i="16"/>
  <c r="M48" i="16"/>
  <c r="L48" i="16"/>
  <c r="J48" i="16"/>
  <c r="I48" i="16"/>
  <c r="K47" i="16"/>
  <c r="N47" i="16"/>
  <c r="M47" i="16"/>
  <c r="L47" i="16"/>
  <c r="J47" i="16"/>
  <c r="I47" i="16"/>
  <c r="K46" i="16"/>
  <c r="N46" i="16"/>
  <c r="M46" i="16"/>
  <c r="L46" i="16"/>
  <c r="J46" i="16"/>
  <c r="I46" i="16"/>
  <c r="K43" i="16"/>
  <c r="N43" i="16"/>
  <c r="M43" i="16"/>
  <c r="L43" i="16"/>
  <c r="J43" i="16"/>
  <c r="I43" i="16"/>
  <c r="K42" i="16"/>
  <c r="N42" i="16"/>
  <c r="M42" i="16"/>
  <c r="L42" i="16"/>
  <c r="J42" i="16"/>
  <c r="I42" i="16"/>
  <c r="K41" i="16"/>
  <c r="N41" i="16"/>
  <c r="M41" i="16"/>
  <c r="L41" i="16"/>
  <c r="J41" i="16"/>
  <c r="I41" i="16"/>
  <c r="K40" i="16"/>
  <c r="N40" i="16"/>
  <c r="M40" i="16"/>
  <c r="L40" i="16"/>
  <c r="J40" i="16"/>
  <c r="I40" i="16"/>
  <c r="K39" i="16"/>
  <c r="N39" i="16"/>
  <c r="M39" i="16"/>
  <c r="L39" i="16"/>
  <c r="J39" i="16"/>
  <c r="I39" i="16"/>
  <c r="K38" i="16"/>
  <c r="N38" i="16"/>
  <c r="M38" i="16"/>
  <c r="L38" i="16"/>
  <c r="J38" i="16"/>
  <c r="I38" i="16"/>
  <c r="K37" i="16"/>
  <c r="N37" i="16"/>
  <c r="M37" i="16"/>
  <c r="L37" i="16"/>
  <c r="J37" i="16"/>
  <c r="I37" i="16"/>
  <c r="K36" i="16"/>
  <c r="N36" i="16"/>
  <c r="M36" i="16"/>
  <c r="L36" i="16"/>
  <c r="J36" i="16"/>
  <c r="I36" i="16"/>
  <c r="K35" i="16"/>
  <c r="N35" i="16"/>
  <c r="M35" i="16"/>
  <c r="L35" i="16"/>
  <c r="J35" i="16"/>
  <c r="I35" i="16"/>
  <c r="K34" i="16"/>
  <c r="N34" i="16"/>
  <c r="M34" i="16"/>
  <c r="L34" i="16"/>
  <c r="J34" i="16"/>
  <c r="I34" i="16"/>
  <c r="K33" i="16"/>
  <c r="N33" i="16"/>
  <c r="M33" i="16"/>
  <c r="L33" i="16"/>
  <c r="J33" i="16"/>
  <c r="I33" i="16"/>
  <c r="K32" i="16"/>
  <c r="N32" i="16"/>
  <c r="M32" i="16"/>
  <c r="L32" i="16"/>
  <c r="J32" i="16"/>
  <c r="I32" i="16"/>
  <c r="K31" i="16"/>
  <c r="N31" i="16"/>
  <c r="M31" i="16"/>
  <c r="L31" i="16"/>
  <c r="J31" i="16"/>
  <c r="I31" i="16"/>
  <c r="K28" i="16"/>
  <c r="N28" i="16"/>
  <c r="M28" i="16"/>
  <c r="L28" i="16"/>
  <c r="J28" i="16"/>
  <c r="I28" i="16"/>
  <c r="K27" i="16"/>
  <c r="N27" i="16"/>
  <c r="M27" i="16"/>
  <c r="L27" i="16"/>
  <c r="J27" i="16"/>
  <c r="I27" i="16"/>
  <c r="K26" i="16"/>
  <c r="N26" i="16"/>
  <c r="M26" i="16"/>
  <c r="L26" i="16"/>
  <c r="J26" i="16"/>
  <c r="I26" i="16"/>
  <c r="K25" i="16"/>
  <c r="N25" i="16"/>
  <c r="M25" i="16"/>
  <c r="L25" i="16"/>
  <c r="J25" i="16"/>
  <c r="I25" i="16"/>
  <c r="K24" i="16"/>
  <c r="N24" i="16"/>
  <c r="M24" i="16"/>
  <c r="L24" i="16"/>
  <c r="J24" i="16"/>
  <c r="I24" i="16"/>
  <c r="K23" i="16"/>
  <c r="N23" i="16"/>
  <c r="M23" i="16"/>
  <c r="L23" i="16"/>
  <c r="J23" i="16"/>
  <c r="I23" i="16"/>
  <c r="K22" i="16"/>
  <c r="N22" i="16"/>
  <c r="M22" i="16"/>
  <c r="L22" i="16"/>
  <c r="J22" i="16"/>
  <c r="I22" i="16"/>
  <c r="K21" i="16"/>
  <c r="N21" i="16"/>
  <c r="M21" i="16"/>
  <c r="L21" i="16"/>
  <c r="J21" i="16"/>
  <c r="I21" i="16"/>
  <c r="K20" i="16"/>
  <c r="N20" i="16"/>
  <c r="M20" i="16"/>
  <c r="L20" i="16"/>
  <c r="J20" i="16"/>
  <c r="I20" i="16"/>
  <c r="K19" i="16"/>
  <c r="N19" i="16"/>
  <c r="M19" i="16"/>
  <c r="L19" i="16"/>
  <c r="J19" i="16"/>
  <c r="I19" i="16"/>
  <c r="K18" i="16"/>
  <c r="N18" i="16"/>
  <c r="M18" i="16"/>
  <c r="L18" i="16"/>
  <c r="J18" i="16"/>
  <c r="I18" i="16"/>
  <c r="K17" i="16"/>
  <c r="N17" i="16"/>
  <c r="M17" i="16"/>
  <c r="L17" i="16"/>
  <c r="J17" i="16"/>
  <c r="I17" i="16"/>
  <c r="K16" i="16"/>
  <c r="N16" i="16"/>
  <c r="M16" i="16"/>
  <c r="L16" i="16"/>
  <c r="J16" i="16"/>
  <c r="I16" i="16"/>
  <c r="K15" i="16"/>
  <c r="N15" i="16"/>
  <c r="M15" i="16"/>
  <c r="L15" i="16"/>
  <c r="J15" i="16"/>
  <c r="I15" i="16"/>
  <c r="K14" i="16"/>
  <c r="N14" i="16"/>
  <c r="M14" i="16"/>
  <c r="L14" i="16"/>
  <c r="J14" i="16"/>
  <c r="I14" i="16"/>
  <c r="K13" i="16"/>
  <c r="N13" i="16"/>
  <c r="M13" i="16"/>
  <c r="L13" i="16"/>
  <c r="J13" i="16"/>
  <c r="I13" i="16"/>
  <c r="AF4" i="21"/>
  <c r="AF52" i="26"/>
  <c r="AF38" i="26"/>
  <c r="AF4" i="22"/>
  <c r="AF4" i="20"/>
  <c r="AF5" i="26"/>
  <c r="AF4" i="18"/>
  <c r="AF23" i="26"/>
  <c r="AF4" i="25"/>
  <c r="AF4" i="24"/>
  <c r="AF4" i="19"/>
  <c r="AF4" i="10"/>
  <c r="K28" i="17" l="1"/>
  <c r="N28" i="17"/>
  <c r="M28" i="17"/>
  <c r="L28" i="17"/>
  <c r="J28" i="17"/>
  <c r="I28" i="17"/>
  <c r="N10" i="17"/>
  <c r="K10" i="17"/>
  <c r="M10" i="17"/>
  <c r="L10" i="17"/>
  <c r="J10" i="17"/>
  <c r="I10" i="17"/>
  <c r="N43" i="17"/>
  <c r="K43" i="17"/>
  <c r="M43" i="17"/>
  <c r="L43" i="17"/>
  <c r="J43" i="17"/>
  <c r="I43" i="17"/>
  <c r="N57" i="17"/>
  <c r="K57" i="17"/>
  <c r="M57" i="17"/>
  <c r="L57" i="17"/>
  <c r="J57" i="17"/>
  <c r="I57" i="17"/>
  <c r="AF4" i="26"/>
  <c r="AF52" i="9"/>
  <c r="AF38" i="9"/>
  <c r="AF23" i="9"/>
  <c r="AF5" i="9"/>
  <c r="N9" i="17" l="1"/>
  <c r="K9" i="17"/>
  <c r="M9" i="17"/>
  <c r="L9" i="17"/>
  <c r="J9" i="17"/>
  <c r="I9" i="17"/>
  <c r="AF4" i="9"/>
  <c r="AF5" i="5" l="1"/>
  <c r="AF5" i="4"/>
  <c r="AF23" i="4"/>
  <c r="AF38" i="4"/>
  <c r="AF52" i="4"/>
  <c r="AF5" i="3"/>
  <c r="AF23" i="3"/>
  <c r="AF38" i="3"/>
  <c r="AF52" i="3"/>
  <c r="AG24" i="3"/>
  <c r="AG24" i="13" s="1"/>
  <c r="AG39" i="3"/>
  <c r="AG39" i="13" s="1"/>
  <c r="AF52" i="2"/>
  <c r="AF38" i="2"/>
  <c r="AF23" i="2"/>
  <c r="AF5" i="2"/>
  <c r="AF5" i="1"/>
  <c r="AF23" i="1"/>
  <c r="AF38" i="1"/>
  <c r="AF52" i="1"/>
  <c r="AF4" i="4" l="1"/>
  <c r="AF4" i="1"/>
  <c r="AF4" i="3"/>
  <c r="AF23" i="13"/>
  <c r="AF38" i="13"/>
  <c r="AF52" i="13"/>
  <c r="AF5" i="13"/>
  <c r="AF4" i="5"/>
  <c r="AF4" i="2"/>
  <c r="AD5" i="20"/>
  <c r="AE5" i="20"/>
  <c r="AE5" i="3"/>
  <c r="AD5" i="24"/>
  <c r="AE5" i="24"/>
  <c r="AD5" i="21"/>
  <c r="AE5" i="21"/>
  <c r="AD23" i="21"/>
  <c r="AE23" i="21"/>
  <c r="AD38" i="21"/>
  <c r="AE38" i="21"/>
  <c r="AD52" i="21"/>
  <c r="AE52" i="21"/>
  <c r="AD5" i="9"/>
  <c r="AE5" i="9"/>
  <c r="AD23" i="9"/>
  <c r="AE23" i="9"/>
  <c r="AD38" i="9"/>
  <c r="AE38" i="9"/>
  <c r="AD52" i="9"/>
  <c r="AE52" i="9"/>
  <c r="K11" i="16" l="1"/>
  <c r="N11" i="16"/>
  <c r="M11" i="16"/>
  <c r="L11" i="16"/>
  <c r="J11" i="16"/>
  <c r="I11" i="16"/>
  <c r="K58" i="16"/>
  <c r="N58" i="16"/>
  <c r="M58" i="16"/>
  <c r="L58" i="16"/>
  <c r="J58" i="16"/>
  <c r="I58" i="16"/>
  <c r="K44" i="16"/>
  <c r="N44" i="16"/>
  <c r="M44" i="16"/>
  <c r="L44" i="16"/>
  <c r="J44" i="16"/>
  <c r="I44" i="16"/>
  <c r="K29" i="16"/>
  <c r="N29" i="16"/>
  <c r="M29" i="16"/>
  <c r="L29" i="16"/>
  <c r="J29" i="16"/>
  <c r="I29" i="16"/>
  <c r="AE4" i="21"/>
  <c r="AF4" i="13"/>
  <c r="AE4" i="9"/>
  <c r="AD4" i="9"/>
  <c r="AD4" i="21"/>
  <c r="AD23" i="2"/>
  <c r="AE23" i="2"/>
  <c r="AD38" i="2"/>
  <c r="AE38" i="2"/>
  <c r="AD52" i="2"/>
  <c r="AE52" i="2"/>
  <c r="AD5" i="2"/>
  <c r="AE5" i="2"/>
  <c r="AD6" i="26"/>
  <c r="AE6" i="26"/>
  <c r="AD7" i="26"/>
  <c r="AE7" i="26"/>
  <c r="AD8" i="26"/>
  <c r="AE8" i="26"/>
  <c r="AD9" i="26"/>
  <c r="AE9" i="26"/>
  <c r="AD10" i="26"/>
  <c r="AE10" i="26"/>
  <c r="AD11" i="26"/>
  <c r="AE11" i="26"/>
  <c r="AD12" i="26"/>
  <c r="AE12" i="26"/>
  <c r="AD13" i="26"/>
  <c r="AE13" i="26"/>
  <c r="AD14" i="26"/>
  <c r="AE14" i="26"/>
  <c r="AD15" i="26"/>
  <c r="AE15" i="26"/>
  <c r="AD16" i="26"/>
  <c r="AE16" i="26"/>
  <c r="AD17" i="26"/>
  <c r="AE17" i="26"/>
  <c r="AD18" i="26"/>
  <c r="AE18" i="26"/>
  <c r="AD19" i="26"/>
  <c r="AE19" i="26"/>
  <c r="AD20" i="26"/>
  <c r="AE20" i="26"/>
  <c r="AD21" i="26"/>
  <c r="AE21" i="26"/>
  <c r="AD22" i="26"/>
  <c r="AE22" i="26"/>
  <c r="AD24" i="26"/>
  <c r="AE24" i="26"/>
  <c r="AD25" i="26"/>
  <c r="AE25" i="26"/>
  <c r="AD26" i="26"/>
  <c r="AE26" i="26"/>
  <c r="AD27" i="26"/>
  <c r="AE27" i="26"/>
  <c r="AD28" i="26"/>
  <c r="AE28" i="26"/>
  <c r="AD29" i="26"/>
  <c r="AE29" i="26"/>
  <c r="AD30" i="26"/>
  <c r="AE30" i="26"/>
  <c r="AD31" i="26"/>
  <c r="AE31" i="26"/>
  <c r="AD32" i="26"/>
  <c r="AE32" i="26"/>
  <c r="AD33" i="26"/>
  <c r="AE33" i="26"/>
  <c r="AD34" i="26"/>
  <c r="AE34" i="26"/>
  <c r="AD35" i="26"/>
  <c r="AE35" i="26"/>
  <c r="AD36" i="26"/>
  <c r="AE36" i="26"/>
  <c r="AD37" i="26"/>
  <c r="AE37" i="26"/>
  <c r="AD39" i="26"/>
  <c r="AE39" i="26"/>
  <c r="AD40" i="26"/>
  <c r="AE40" i="26"/>
  <c r="AD41" i="26"/>
  <c r="AE41" i="26"/>
  <c r="AD42" i="26"/>
  <c r="AE42" i="26"/>
  <c r="AD43" i="26"/>
  <c r="AE43" i="26"/>
  <c r="AD44" i="26"/>
  <c r="AE44" i="26"/>
  <c r="AD45" i="26"/>
  <c r="AE45" i="26"/>
  <c r="AD46" i="26"/>
  <c r="AE46" i="26"/>
  <c r="AD47" i="26"/>
  <c r="AE47" i="26"/>
  <c r="AD48" i="26"/>
  <c r="AE48" i="26"/>
  <c r="AD49" i="26"/>
  <c r="AE49" i="26"/>
  <c r="AD50" i="26"/>
  <c r="AE50" i="26"/>
  <c r="AD51" i="26"/>
  <c r="AE51" i="26"/>
  <c r="AD53" i="26"/>
  <c r="AE53" i="26"/>
  <c r="AD54" i="26"/>
  <c r="AE54" i="26"/>
  <c r="AD55" i="26"/>
  <c r="AE55" i="26"/>
  <c r="AD56" i="26"/>
  <c r="AE56" i="26"/>
  <c r="AD57" i="26"/>
  <c r="AE57" i="26"/>
  <c r="AD58" i="26"/>
  <c r="AE58" i="26"/>
  <c r="AD59" i="26"/>
  <c r="AE59" i="26"/>
  <c r="AD60" i="26"/>
  <c r="AE60" i="26"/>
  <c r="AD61" i="26"/>
  <c r="AE61" i="26"/>
  <c r="AD62" i="26"/>
  <c r="AE62" i="26"/>
  <c r="AD63" i="26"/>
  <c r="AE63" i="26"/>
  <c r="AD23" i="25"/>
  <c r="AE23" i="25"/>
  <c r="AD52" i="25"/>
  <c r="AE52" i="25"/>
  <c r="AD38" i="25"/>
  <c r="AE38" i="25"/>
  <c r="AD5" i="25"/>
  <c r="AE5" i="25"/>
  <c r="AD52" i="24"/>
  <c r="AE52" i="24"/>
  <c r="AD38" i="24"/>
  <c r="AE38" i="24"/>
  <c r="AD23" i="24"/>
  <c r="AE23" i="24"/>
  <c r="AE4" i="24" s="1"/>
  <c r="AD23" i="22"/>
  <c r="AD38" i="22"/>
  <c r="AE38" i="22"/>
  <c r="AD52" i="22"/>
  <c r="AE52" i="22"/>
  <c r="AE23" i="22"/>
  <c r="AD5" i="22"/>
  <c r="AE5" i="22"/>
  <c r="AD23" i="20"/>
  <c r="AE23" i="20"/>
  <c r="AD38" i="20"/>
  <c r="AE38" i="20"/>
  <c r="AD52" i="20"/>
  <c r="AE52" i="20"/>
  <c r="AD52" i="19"/>
  <c r="AE52" i="19"/>
  <c r="AD38" i="19"/>
  <c r="AE38" i="19"/>
  <c r="AD23" i="19"/>
  <c r="AE23" i="19"/>
  <c r="AD5" i="19"/>
  <c r="AE5" i="19"/>
  <c r="AD6" i="13"/>
  <c r="AE6" i="13"/>
  <c r="AD7" i="13"/>
  <c r="AE7" i="13"/>
  <c r="AD8" i="13"/>
  <c r="AE8" i="13"/>
  <c r="AD9" i="13"/>
  <c r="AE9" i="13"/>
  <c r="AD10" i="13"/>
  <c r="AE10" i="13"/>
  <c r="AD11" i="13"/>
  <c r="AE11" i="13"/>
  <c r="AD12" i="13"/>
  <c r="AE12" i="13"/>
  <c r="AD13" i="13"/>
  <c r="AE13" i="13"/>
  <c r="AD14" i="13"/>
  <c r="AE14" i="13"/>
  <c r="AD15" i="13"/>
  <c r="AE15" i="13"/>
  <c r="AD16" i="13"/>
  <c r="AE16" i="13"/>
  <c r="AD17" i="13"/>
  <c r="AE17" i="13"/>
  <c r="AD18" i="13"/>
  <c r="AE18" i="13"/>
  <c r="AD19" i="13"/>
  <c r="AE19" i="13"/>
  <c r="AD20" i="13"/>
  <c r="AE20" i="13"/>
  <c r="AD21" i="13"/>
  <c r="AE21" i="13"/>
  <c r="AD22" i="13"/>
  <c r="AE22" i="13"/>
  <c r="AD24" i="13"/>
  <c r="AE24" i="13"/>
  <c r="AD25" i="13"/>
  <c r="AE25" i="13"/>
  <c r="AD26" i="13"/>
  <c r="AE26" i="13"/>
  <c r="AD27" i="13"/>
  <c r="AE27" i="13"/>
  <c r="AD28" i="13"/>
  <c r="AE28" i="13"/>
  <c r="AD29" i="13"/>
  <c r="AE29" i="13"/>
  <c r="AD30" i="13"/>
  <c r="AE30" i="13"/>
  <c r="AD31" i="13"/>
  <c r="AE31" i="13"/>
  <c r="AD32" i="13"/>
  <c r="AE32" i="13"/>
  <c r="AD33" i="13"/>
  <c r="AE33" i="13"/>
  <c r="AD34" i="13"/>
  <c r="AE34" i="13"/>
  <c r="AD35" i="13"/>
  <c r="AE35" i="13"/>
  <c r="AD36" i="13"/>
  <c r="AE36" i="13"/>
  <c r="AD37" i="13"/>
  <c r="AE37" i="13"/>
  <c r="AD39" i="13"/>
  <c r="AE39" i="13"/>
  <c r="AD40" i="13"/>
  <c r="AE40" i="13"/>
  <c r="AD41" i="13"/>
  <c r="AE41" i="13"/>
  <c r="AD42" i="13"/>
  <c r="AE42" i="13"/>
  <c r="AD43" i="13"/>
  <c r="AE43" i="13"/>
  <c r="AD44" i="13"/>
  <c r="AE44" i="13"/>
  <c r="AD45" i="13"/>
  <c r="AE45" i="13"/>
  <c r="AD46" i="13"/>
  <c r="AE46" i="13"/>
  <c r="AD47" i="13"/>
  <c r="AE47" i="13"/>
  <c r="AD48" i="13"/>
  <c r="AE48" i="13"/>
  <c r="AD49" i="13"/>
  <c r="AE49" i="13"/>
  <c r="AD50" i="13"/>
  <c r="AE50" i="13"/>
  <c r="AD51" i="13"/>
  <c r="AE51" i="13"/>
  <c r="AD53" i="13"/>
  <c r="AE53" i="13"/>
  <c r="AD54" i="13"/>
  <c r="AE54" i="13"/>
  <c r="AD55" i="13"/>
  <c r="AE55" i="13"/>
  <c r="AD56" i="13"/>
  <c r="AE56" i="13"/>
  <c r="AD57" i="13"/>
  <c r="AE57" i="13"/>
  <c r="AD58" i="13"/>
  <c r="AE58" i="13"/>
  <c r="AD59" i="13"/>
  <c r="AE59" i="13"/>
  <c r="AD60" i="13"/>
  <c r="AE60" i="13"/>
  <c r="AD61" i="13"/>
  <c r="AE61" i="13"/>
  <c r="AD62" i="13"/>
  <c r="AE62" i="13"/>
  <c r="AD63" i="13"/>
  <c r="AE63" i="13"/>
  <c r="AD52" i="10"/>
  <c r="AD38" i="10"/>
  <c r="AD52" i="5"/>
  <c r="AD38" i="5"/>
  <c r="AD23" i="5"/>
  <c r="AD52" i="4"/>
  <c r="AD38" i="4"/>
  <c r="AD23" i="4"/>
  <c r="K10" i="16" l="1"/>
  <c r="M10" i="16"/>
  <c r="L10" i="16"/>
  <c r="I10" i="16"/>
  <c r="AE4" i="20"/>
  <c r="AD4" i="20"/>
  <c r="AD4" i="24"/>
  <c r="AE4" i="22"/>
  <c r="AE4" i="2"/>
  <c r="AD4" i="2"/>
  <c r="AD4" i="25"/>
  <c r="AE4" i="25"/>
  <c r="AD4" i="22"/>
  <c r="AE4" i="19"/>
  <c r="AD4" i="19"/>
  <c r="AD52" i="18" l="1"/>
  <c r="AE52" i="18"/>
  <c r="AD38" i="18"/>
  <c r="AE38" i="18"/>
  <c r="AD23" i="18"/>
  <c r="AE23" i="18"/>
  <c r="AD5" i="18"/>
  <c r="AE5" i="18"/>
  <c r="AD5" i="10"/>
  <c r="AE5" i="10"/>
  <c r="AE52" i="5"/>
  <c r="AE38" i="5"/>
  <c r="AE23" i="5"/>
  <c r="AD5" i="5"/>
  <c r="AE5" i="5"/>
  <c r="AD38" i="26" l="1"/>
  <c r="AD52" i="26"/>
  <c r="AD5" i="26"/>
  <c r="AD23" i="26"/>
  <c r="AE23" i="26"/>
  <c r="AE52" i="26"/>
  <c r="AE38" i="26"/>
  <c r="AE5" i="26"/>
  <c r="AE4" i="10"/>
  <c r="AE4" i="18"/>
  <c r="AD4" i="18"/>
  <c r="AD4" i="10"/>
  <c r="AD4" i="5"/>
  <c r="AE4" i="5"/>
  <c r="AE52" i="4"/>
  <c r="AE38" i="4"/>
  <c r="AE23" i="4"/>
  <c r="AD5" i="4"/>
  <c r="AE5" i="4"/>
  <c r="AD52" i="3"/>
  <c r="AE52" i="3"/>
  <c r="AD38" i="3"/>
  <c r="AE38" i="3"/>
  <c r="AD23" i="3"/>
  <c r="AE23" i="3"/>
  <c r="AD5" i="3"/>
  <c r="AD52" i="1"/>
  <c r="AE52" i="1"/>
  <c r="AD38" i="1"/>
  <c r="AE38" i="1"/>
  <c r="AD23" i="1"/>
  <c r="AE23" i="1"/>
  <c r="AD5" i="1"/>
  <c r="AE5" i="1"/>
  <c r="AD4" i="26" l="1"/>
  <c r="AE23" i="13"/>
  <c r="AD23" i="13"/>
  <c r="AD38" i="13"/>
  <c r="AE38" i="13"/>
  <c r="AD52" i="13"/>
  <c r="AE5" i="13"/>
  <c r="AE4" i="26"/>
  <c r="AE52" i="13"/>
  <c r="AD5" i="13"/>
  <c r="AE4" i="3"/>
  <c r="AE4" i="4"/>
  <c r="AD4" i="4"/>
  <c r="AD4" i="3"/>
  <c r="AE4" i="1"/>
  <c r="AD4" i="1"/>
  <c r="AB68" i="17"/>
  <c r="AE4" i="13" l="1"/>
  <c r="AD4" i="13"/>
  <c r="AC6" i="26" l="1"/>
  <c r="AC7" i="26"/>
  <c r="AC8" i="26"/>
  <c r="AC9" i="26"/>
  <c r="AC10" i="26"/>
  <c r="AC11" i="26"/>
  <c r="AC12" i="26"/>
  <c r="AC13" i="26"/>
  <c r="AC14" i="26"/>
  <c r="AC15" i="26"/>
  <c r="AC16" i="26"/>
  <c r="AC17" i="26"/>
  <c r="AC18" i="26"/>
  <c r="AC19" i="26"/>
  <c r="AC20" i="26"/>
  <c r="AC21" i="26"/>
  <c r="AC22" i="26"/>
  <c r="AC24" i="26"/>
  <c r="AC25" i="26"/>
  <c r="AC26" i="26"/>
  <c r="AC27" i="26"/>
  <c r="AC28" i="26"/>
  <c r="AC29" i="26"/>
  <c r="AC30" i="26"/>
  <c r="AC31" i="26"/>
  <c r="AC32" i="26"/>
  <c r="AC33" i="26"/>
  <c r="AC34" i="26"/>
  <c r="AC35" i="26"/>
  <c r="AC36" i="26"/>
  <c r="AC37" i="26"/>
  <c r="AC39" i="26"/>
  <c r="AC40" i="26"/>
  <c r="AC41" i="26"/>
  <c r="AC42" i="26"/>
  <c r="AC43" i="26"/>
  <c r="AC44" i="26"/>
  <c r="AC45" i="26"/>
  <c r="AC46" i="26"/>
  <c r="AC47" i="26"/>
  <c r="AC48" i="26"/>
  <c r="AC49" i="26"/>
  <c r="AC50" i="26"/>
  <c r="AC51" i="26"/>
  <c r="AC53" i="26"/>
  <c r="AC54" i="26"/>
  <c r="AC55" i="26"/>
  <c r="AC56" i="26"/>
  <c r="AC57" i="26"/>
  <c r="AC58" i="26"/>
  <c r="AC59" i="26"/>
  <c r="AC60" i="26"/>
  <c r="AC61" i="26"/>
  <c r="AC62" i="26"/>
  <c r="AC63" i="26"/>
  <c r="AC6" i="13"/>
  <c r="AC7" i="13"/>
  <c r="AC8" i="13"/>
  <c r="AC9" i="13"/>
  <c r="AC10" i="13"/>
  <c r="AC11" i="13"/>
  <c r="AC12" i="13"/>
  <c r="AC13" i="13"/>
  <c r="AC14" i="13"/>
  <c r="AC15" i="13"/>
  <c r="AC16" i="13"/>
  <c r="AC17" i="13"/>
  <c r="AC18" i="13"/>
  <c r="AC19" i="13"/>
  <c r="AC20" i="13"/>
  <c r="AC21" i="13"/>
  <c r="AC22" i="13"/>
  <c r="AC24" i="13"/>
  <c r="AC25" i="13"/>
  <c r="AC26" i="13"/>
  <c r="AC27" i="13"/>
  <c r="AC28" i="13"/>
  <c r="AC29" i="13"/>
  <c r="AC30" i="13"/>
  <c r="AC31" i="13"/>
  <c r="AC32" i="13"/>
  <c r="AC33" i="13"/>
  <c r="AC34" i="13"/>
  <c r="AC35" i="13"/>
  <c r="AC36" i="13"/>
  <c r="AC37" i="13"/>
  <c r="AC39" i="13"/>
  <c r="AC40" i="13"/>
  <c r="AC41" i="13"/>
  <c r="AC42" i="13"/>
  <c r="AC43" i="13"/>
  <c r="AC44" i="13"/>
  <c r="AC45" i="13"/>
  <c r="AC46" i="13"/>
  <c r="AC47" i="13"/>
  <c r="AC48" i="13"/>
  <c r="AC49" i="13"/>
  <c r="AC50" i="13"/>
  <c r="AC51" i="13"/>
  <c r="AC53" i="13"/>
  <c r="AC54" i="13"/>
  <c r="AC55" i="13"/>
  <c r="AC56" i="13"/>
  <c r="AC57" i="13"/>
  <c r="AC58" i="13"/>
  <c r="AC59" i="13"/>
  <c r="AC60" i="13"/>
  <c r="AC61" i="13"/>
  <c r="AC62" i="13"/>
  <c r="AC63" i="13"/>
  <c r="AC52" i="25"/>
  <c r="AC38" i="25"/>
  <c r="AC23" i="25"/>
  <c r="AC5" i="25"/>
  <c r="AC52" i="24"/>
  <c r="AC38" i="24"/>
  <c r="AC23" i="24"/>
  <c r="AC5" i="24"/>
  <c r="AC52" i="22"/>
  <c r="AC38" i="22"/>
  <c r="AC23" i="22"/>
  <c r="AC5" i="22"/>
  <c r="AC52" i="21"/>
  <c r="AC38" i="21"/>
  <c r="AC23" i="21"/>
  <c r="AC5" i="21"/>
  <c r="AC52" i="20"/>
  <c r="AC38" i="20"/>
  <c r="AC23" i="20"/>
  <c r="AC5" i="20"/>
  <c r="AC52" i="19"/>
  <c r="AC38" i="19"/>
  <c r="AC23" i="19"/>
  <c r="AC5" i="19"/>
  <c r="AC52" i="18"/>
  <c r="AC38" i="18"/>
  <c r="AC23" i="18"/>
  <c r="AC5" i="18"/>
  <c r="AC52" i="10"/>
  <c r="AC38" i="10"/>
  <c r="AC23" i="10"/>
  <c r="AC5" i="10"/>
  <c r="AC52" i="9"/>
  <c r="AC38" i="9"/>
  <c r="AC23" i="9"/>
  <c r="AC5" i="9"/>
  <c r="AC52" i="5"/>
  <c r="AC38" i="5"/>
  <c r="AC23" i="5"/>
  <c r="AC5" i="5"/>
  <c r="AC23" i="3"/>
  <c r="AC52" i="4"/>
  <c r="AC38" i="4"/>
  <c r="AC23" i="4"/>
  <c r="AC5" i="4"/>
  <c r="AC52" i="3"/>
  <c r="AC38" i="3"/>
  <c r="AC5" i="3"/>
  <c r="AC52" i="2"/>
  <c r="AC38" i="2"/>
  <c r="AC23" i="2"/>
  <c r="AC5" i="2"/>
  <c r="AC5" i="26" l="1"/>
  <c r="AB49" i="17"/>
  <c r="AB46" i="17"/>
  <c r="AB12" i="17"/>
  <c r="AB51" i="17"/>
  <c r="AC38" i="26"/>
  <c r="AB27" i="17"/>
  <c r="AB19" i="17"/>
  <c r="AB40" i="17"/>
  <c r="AB53" i="17"/>
  <c r="AC23" i="26"/>
  <c r="AB20" i="17"/>
  <c r="AC52" i="26"/>
  <c r="AB67" i="17"/>
  <c r="AB59" i="17"/>
  <c r="AB37" i="17"/>
  <c r="AB24" i="17"/>
  <c r="AB16" i="17"/>
  <c r="AB41" i="17"/>
  <c r="Z66" i="16"/>
  <c r="Z37" i="16"/>
  <c r="Z18" i="16"/>
  <c r="Z42" i="16"/>
  <c r="Z61" i="16"/>
  <c r="Z60" i="16"/>
  <c r="Z20" i="16"/>
  <c r="Z26" i="16"/>
  <c r="Z52" i="16"/>
  <c r="Z68" i="16"/>
  <c r="Z69" i="16"/>
  <c r="Z28" i="16"/>
  <c r="Z34" i="16"/>
  <c r="Z43" i="16"/>
  <c r="Z35" i="16"/>
  <c r="AB38" i="16"/>
  <c r="Z51" i="16"/>
  <c r="Z46" i="16"/>
  <c r="AB57" i="16"/>
  <c r="Z25" i="16"/>
  <c r="Z17" i="16"/>
  <c r="AB23" i="16"/>
  <c r="Z54" i="16"/>
  <c r="AB55" i="16"/>
  <c r="Z19" i="16"/>
  <c r="Z27" i="16"/>
  <c r="Z36" i="16"/>
  <c r="Z53" i="16"/>
  <c r="Z50" i="16"/>
  <c r="Z67" i="16"/>
  <c r="Z13" i="16"/>
  <c r="Z21" i="16"/>
  <c r="AC4" i="25"/>
  <c r="AC4" i="24"/>
  <c r="AC4" i="22"/>
  <c r="AC4" i="21"/>
  <c r="AC4" i="20"/>
  <c r="AC4" i="19"/>
  <c r="AC4" i="18"/>
  <c r="AC4" i="10"/>
  <c r="AC4" i="9"/>
  <c r="AC4" i="5"/>
  <c r="AC4" i="4"/>
  <c r="AC4" i="3"/>
  <c r="AC4" i="2"/>
  <c r="AC52" i="1"/>
  <c r="AC52" i="13" s="1"/>
  <c r="AC38" i="1"/>
  <c r="AC38" i="13" s="1"/>
  <c r="AC23" i="1"/>
  <c r="AC23" i="13" s="1"/>
  <c r="AC5" i="1"/>
  <c r="AB6" i="13"/>
  <c r="AB7" i="13"/>
  <c r="AB8" i="13"/>
  <c r="AB9" i="13"/>
  <c r="AB10" i="13"/>
  <c r="AB11" i="13"/>
  <c r="AB12" i="13"/>
  <c r="AB13" i="13"/>
  <c r="AB14" i="13"/>
  <c r="AB15" i="13"/>
  <c r="AB16" i="13"/>
  <c r="AB17" i="13"/>
  <c r="AB18" i="13"/>
  <c r="AB19" i="13"/>
  <c r="AB20" i="13"/>
  <c r="AB21" i="13"/>
  <c r="AB22" i="13"/>
  <c r="AB24" i="13"/>
  <c r="AB25" i="13"/>
  <c r="AB26" i="13"/>
  <c r="AB27" i="13"/>
  <c r="AB28" i="13"/>
  <c r="AB29" i="13"/>
  <c r="AB30" i="13"/>
  <c r="AB31" i="13"/>
  <c r="AB32" i="13"/>
  <c r="AB33" i="13"/>
  <c r="AB34" i="13"/>
  <c r="AB35" i="13"/>
  <c r="AB36" i="13"/>
  <c r="AB37" i="13"/>
  <c r="AB39" i="13"/>
  <c r="AB40" i="13"/>
  <c r="AB41" i="13"/>
  <c r="AB42" i="13"/>
  <c r="AB43" i="13"/>
  <c r="AB44" i="13"/>
  <c r="AB45" i="13"/>
  <c r="AB46" i="13"/>
  <c r="AB47" i="13"/>
  <c r="AB48" i="13"/>
  <c r="AB49" i="13"/>
  <c r="AB50" i="13"/>
  <c r="AB51" i="13"/>
  <c r="AB53" i="13"/>
  <c r="AB54" i="13"/>
  <c r="AB55" i="13"/>
  <c r="AB56" i="13"/>
  <c r="AB57" i="13"/>
  <c r="AB58" i="13"/>
  <c r="AB59" i="13"/>
  <c r="AB60" i="13"/>
  <c r="AB61" i="13"/>
  <c r="AB62" i="13"/>
  <c r="AB63" i="13"/>
  <c r="AB6" i="26"/>
  <c r="AB7" i="26"/>
  <c r="AB8" i="26"/>
  <c r="AB9" i="26"/>
  <c r="AB10" i="26"/>
  <c r="AB11" i="26"/>
  <c r="AB12" i="26"/>
  <c r="AB13" i="26"/>
  <c r="AB14" i="26"/>
  <c r="AB15" i="26"/>
  <c r="AB16" i="26"/>
  <c r="AB17" i="26"/>
  <c r="AB18" i="26"/>
  <c r="AB19" i="26"/>
  <c r="AB20" i="26"/>
  <c r="AB21" i="26"/>
  <c r="AB22" i="26"/>
  <c r="AB24" i="26"/>
  <c r="AB25" i="26"/>
  <c r="AB26" i="26"/>
  <c r="AB27" i="26"/>
  <c r="AB28" i="26"/>
  <c r="AB29" i="26"/>
  <c r="AB30" i="26"/>
  <c r="AB31" i="26"/>
  <c r="AB32" i="26"/>
  <c r="AB33" i="26"/>
  <c r="AB34" i="26"/>
  <c r="AB35" i="26"/>
  <c r="AB36" i="26"/>
  <c r="AB37" i="26"/>
  <c r="AB39" i="26"/>
  <c r="AB40" i="26"/>
  <c r="AB41" i="26"/>
  <c r="AB42" i="26"/>
  <c r="AB43" i="26"/>
  <c r="AB44" i="26"/>
  <c r="AB45" i="26"/>
  <c r="AB46" i="26"/>
  <c r="AB47" i="26"/>
  <c r="AB48" i="26"/>
  <c r="AB49" i="26"/>
  <c r="AB50" i="26"/>
  <c r="AB51" i="26"/>
  <c r="AB53" i="26"/>
  <c r="AB54" i="26"/>
  <c r="AB55" i="26"/>
  <c r="AB56" i="26"/>
  <c r="AB57" i="26"/>
  <c r="AB58" i="26"/>
  <c r="AB59" i="26"/>
  <c r="AB60" i="26"/>
  <c r="AB61" i="26"/>
  <c r="AB62" i="26"/>
  <c r="AB63" i="26"/>
  <c r="AB52" i="10"/>
  <c r="AB38" i="10"/>
  <c r="AB23" i="10"/>
  <c r="AB5" i="10"/>
  <c r="AB52" i="9"/>
  <c r="AB38" i="9"/>
  <c r="AB23" i="9"/>
  <c r="AB5" i="9"/>
  <c r="AB52" i="5"/>
  <c r="AB38" i="5"/>
  <c r="AB23" i="5"/>
  <c r="AB5" i="5"/>
  <c r="AB52" i="4"/>
  <c r="AB38" i="4"/>
  <c r="AB23" i="4"/>
  <c r="AB5" i="4"/>
  <c r="AB52" i="3"/>
  <c r="AB38" i="3"/>
  <c r="AB23" i="3"/>
  <c r="AB5" i="3"/>
  <c r="AB52" i="2"/>
  <c r="AB38" i="2"/>
  <c r="AB23" i="2"/>
  <c r="AB5" i="2"/>
  <c r="AB52" i="1"/>
  <c r="AB38" i="1"/>
  <c r="AB23" i="1"/>
  <c r="AB52" i="18"/>
  <c r="AB38" i="18"/>
  <c r="AB23" i="18"/>
  <c r="AB5" i="18"/>
  <c r="AB52" i="19"/>
  <c r="AB38" i="19"/>
  <c r="AB23" i="19"/>
  <c r="AB5" i="19"/>
  <c r="AB52" i="20"/>
  <c r="AB38" i="20"/>
  <c r="AB23" i="20"/>
  <c r="AB5" i="20"/>
  <c r="AB52" i="21"/>
  <c r="AB38" i="21"/>
  <c r="AB23" i="21"/>
  <c r="AB5" i="21"/>
  <c r="AB52" i="22"/>
  <c r="AB38" i="22"/>
  <c r="AB23" i="22"/>
  <c r="AB5" i="22"/>
  <c r="AB52" i="24"/>
  <c r="AB38" i="24"/>
  <c r="AB23" i="24"/>
  <c r="AB5" i="24"/>
  <c r="AB25" i="17" l="1"/>
  <c r="AB15" i="17"/>
  <c r="AB50" i="17"/>
  <c r="AB17" i="17"/>
  <c r="AB54" i="16"/>
  <c r="AD54" i="16" s="1"/>
  <c r="AB25" i="16"/>
  <c r="AD25" i="16" s="1"/>
  <c r="AB40" i="16"/>
  <c r="AB48" i="16"/>
  <c r="AB69" i="16"/>
  <c r="AD69" i="16" s="1"/>
  <c r="AB38" i="17"/>
  <c r="AB63" i="17"/>
  <c r="AB65" i="17"/>
  <c r="AB26" i="17"/>
  <c r="AB54" i="17"/>
  <c r="AB22" i="17"/>
  <c r="AB35" i="17"/>
  <c r="AB55" i="17"/>
  <c r="AB39" i="17"/>
  <c r="AB10" i="17"/>
  <c r="AB47" i="17"/>
  <c r="AB23" i="17"/>
  <c r="AB42" i="17"/>
  <c r="AB52" i="17"/>
  <c r="AB14" i="17"/>
  <c r="AB60" i="17"/>
  <c r="AB61" i="17"/>
  <c r="AB66" i="17"/>
  <c r="AB34" i="17"/>
  <c r="AB48" i="17"/>
  <c r="AB32" i="17"/>
  <c r="AB13" i="17"/>
  <c r="AB21" i="17"/>
  <c r="AB18" i="17"/>
  <c r="AB45" i="17"/>
  <c r="AB31" i="17"/>
  <c r="AB62" i="17"/>
  <c r="AB36" i="17"/>
  <c r="AB33" i="17"/>
  <c r="AB64" i="17"/>
  <c r="AB56" i="17"/>
  <c r="AC4" i="26"/>
  <c r="AB38" i="13"/>
  <c r="AB66" i="16"/>
  <c r="AD66" i="16" s="1"/>
  <c r="AB56" i="16"/>
  <c r="AB21" i="16"/>
  <c r="AD21" i="16" s="1"/>
  <c r="AB52" i="16"/>
  <c r="AD52" i="16" s="1"/>
  <c r="AB23" i="13"/>
  <c r="AB65" i="16"/>
  <c r="AB22" i="16"/>
  <c r="AB18" i="16"/>
  <c r="AD18" i="16" s="1"/>
  <c r="AB13" i="16"/>
  <c r="AD13" i="16" s="1"/>
  <c r="Z58" i="16"/>
  <c r="Z48" i="16"/>
  <c r="AB26" i="16"/>
  <c r="AD26" i="16" s="1"/>
  <c r="AB67" i="16"/>
  <c r="AD67" i="16" s="1"/>
  <c r="AB33" i="16"/>
  <c r="Z23" i="16"/>
  <c r="AD23" i="16" s="1"/>
  <c r="AB43" i="16"/>
  <c r="AD43" i="16" s="1"/>
  <c r="AC5" i="13"/>
  <c r="AB37" i="16"/>
  <c r="AD37" i="16" s="1"/>
  <c r="Z29" i="16"/>
  <c r="Z44" i="16"/>
  <c r="AB62" i="16"/>
  <c r="AB14" i="16"/>
  <c r="AB68" i="16"/>
  <c r="AD68" i="16" s="1"/>
  <c r="Z47" i="16"/>
  <c r="AB24" i="16"/>
  <c r="AB32" i="16"/>
  <c r="AB16" i="16"/>
  <c r="AB60" i="16"/>
  <c r="AD60" i="16" s="1"/>
  <c r="AB34" i="16"/>
  <c r="AD34" i="16" s="1"/>
  <c r="AB28" i="16"/>
  <c r="AD28" i="16" s="1"/>
  <c r="AB61" i="16"/>
  <c r="AD61" i="16" s="1"/>
  <c r="Z33" i="16"/>
  <c r="AB49" i="16"/>
  <c r="AB50" i="16"/>
  <c r="AD50" i="16" s="1"/>
  <c r="AB31" i="16"/>
  <c r="Z49" i="16"/>
  <c r="Z16" i="16"/>
  <c r="AB64" i="16"/>
  <c r="AB35" i="16"/>
  <c r="AD35" i="16" s="1"/>
  <c r="AB41" i="16"/>
  <c r="AB15" i="16"/>
  <c r="AB19" i="16"/>
  <c r="AD19" i="16" s="1"/>
  <c r="AB42" i="16"/>
  <c r="AD42" i="16" s="1"/>
  <c r="AB47" i="16"/>
  <c r="Z57" i="16"/>
  <c r="AD57" i="16" s="1"/>
  <c r="AB51" i="16"/>
  <c r="AD51" i="16" s="1"/>
  <c r="AB20" i="16"/>
  <c r="AD20" i="16" s="1"/>
  <c r="Z39" i="16"/>
  <c r="Z62" i="16"/>
  <c r="AB46" i="16"/>
  <c r="AD46" i="16" s="1"/>
  <c r="AB39" i="16"/>
  <c r="AB53" i="16"/>
  <c r="AD53" i="16" s="1"/>
  <c r="AB27" i="16"/>
  <c r="AD27" i="16" s="1"/>
  <c r="Z22" i="16"/>
  <c r="Z56" i="16"/>
  <c r="Z55" i="16"/>
  <c r="AD55" i="16" s="1"/>
  <c r="AB17" i="16"/>
  <c r="AD17" i="16" s="1"/>
  <c r="Z40" i="16"/>
  <c r="Z38" i="16"/>
  <c r="AD38" i="16" s="1"/>
  <c r="Z31" i="16"/>
  <c r="Z32" i="16"/>
  <c r="AB36" i="16"/>
  <c r="AD36" i="16" s="1"/>
  <c r="Z15" i="16"/>
  <c r="Z24" i="16"/>
  <c r="Z63" i="16"/>
  <c r="Z14" i="16"/>
  <c r="Z41" i="16"/>
  <c r="Z64" i="16"/>
  <c r="AB63" i="16"/>
  <c r="Z65" i="16"/>
  <c r="AC4" i="1"/>
  <c r="AB52" i="13"/>
  <c r="AB4" i="24"/>
  <c r="AB4" i="10"/>
  <c r="AB4" i="9"/>
  <c r="AB4" i="5"/>
  <c r="AB4" i="4"/>
  <c r="AB4" i="3"/>
  <c r="AB4" i="2"/>
  <c r="AB4" i="18"/>
  <c r="AB4" i="19"/>
  <c r="AB4" i="20"/>
  <c r="AB4" i="21"/>
  <c r="AB4" i="22"/>
  <c r="AD40" i="16" l="1"/>
  <c r="AD48" i="16"/>
  <c r="AD56" i="16"/>
  <c r="AB43" i="17"/>
  <c r="AB57" i="17"/>
  <c r="AB28" i="17"/>
  <c r="AB44" i="16"/>
  <c r="AD44" i="16" s="1"/>
  <c r="AD33" i="16"/>
  <c r="AD62" i="16"/>
  <c r="AD22" i="16"/>
  <c r="AD65" i="16"/>
  <c r="AD41" i="16"/>
  <c r="AD47" i="16"/>
  <c r="AD14" i="16"/>
  <c r="AB58" i="16"/>
  <c r="AD58" i="16" s="1"/>
  <c r="AB29" i="16"/>
  <c r="AD29" i="16" s="1"/>
  <c r="AC4" i="13"/>
  <c r="AD16" i="16"/>
  <c r="AD39" i="16"/>
  <c r="AD24" i="16"/>
  <c r="AD15" i="16"/>
  <c r="AD32" i="16"/>
  <c r="AD49" i="16"/>
  <c r="AD64" i="16"/>
  <c r="AD63" i="16"/>
  <c r="AD31" i="16"/>
  <c r="AB52" i="25"/>
  <c r="AB38" i="25"/>
  <c r="AB23" i="25"/>
  <c r="AB5" i="25"/>
  <c r="AB5" i="1"/>
  <c r="Z5" i="10"/>
  <c r="AA5" i="10"/>
  <c r="AA23" i="21"/>
  <c r="AA5" i="20"/>
  <c r="E4" i="26"/>
  <c r="F4" i="26"/>
  <c r="G4" i="26"/>
  <c r="H4" i="26"/>
  <c r="P4" i="26"/>
  <c r="Q4" i="26"/>
  <c r="C6" i="26"/>
  <c r="D6" i="26"/>
  <c r="E6" i="26"/>
  <c r="F6" i="26"/>
  <c r="G6" i="26"/>
  <c r="H6" i="26"/>
  <c r="I6" i="26"/>
  <c r="J6" i="26"/>
  <c r="K6" i="26"/>
  <c r="L6" i="26"/>
  <c r="M6" i="26"/>
  <c r="N6" i="26"/>
  <c r="O6" i="26"/>
  <c r="P6" i="26"/>
  <c r="Q6" i="26"/>
  <c r="R6" i="26"/>
  <c r="S6" i="26"/>
  <c r="T6" i="26"/>
  <c r="U6" i="26"/>
  <c r="V6" i="26"/>
  <c r="W6" i="26"/>
  <c r="X6" i="26"/>
  <c r="Y6" i="26"/>
  <c r="Z6" i="26"/>
  <c r="AA6" i="26"/>
  <c r="E7" i="26"/>
  <c r="F7" i="26"/>
  <c r="G7" i="26"/>
  <c r="H7" i="26"/>
  <c r="J7" i="26"/>
  <c r="M7" i="26"/>
  <c r="O7" i="26"/>
  <c r="P7" i="26"/>
  <c r="Q7" i="26"/>
  <c r="R7" i="26"/>
  <c r="S7" i="26"/>
  <c r="T7" i="26"/>
  <c r="U7" i="26"/>
  <c r="V7" i="26"/>
  <c r="W7" i="26"/>
  <c r="X7" i="26"/>
  <c r="Y7" i="26"/>
  <c r="Z7" i="26"/>
  <c r="AA7" i="26"/>
  <c r="E8" i="26"/>
  <c r="F8" i="26"/>
  <c r="G8" i="26"/>
  <c r="H8" i="26"/>
  <c r="J8" i="26"/>
  <c r="M8" i="26"/>
  <c r="O8" i="26"/>
  <c r="P8" i="26"/>
  <c r="Q8" i="26"/>
  <c r="R8" i="26"/>
  <c r="S8" i="26"/>
  <c r="T8" i="26"/>
  <c r="U8" i="26"/>
  <c r="V8" i="26"/>
  <c r="W8" i="26"/>
  <c r="X8" i="26"/>
  <c r="Y8" i="26"/>
  <c r="Z8" i="26"/>
  <c r="AA8" i="26"/>
  <c r="C9" i="26"/>
  <c r="E9" i="26"/>
  <c r="F9" i="26"/>
  <c r="G9" i="26"/>
  <c r="H9" i="26"/>
  <c r="I9" i="26"/>
  <c r="J9" i="26"/>
  <c r="K9" i="26"/>
  <c r="L9" i="26"/>
  <c r="M9" i="26"/>
  <c r="O9" i="26"/>
  <c r="P9" i="26"/>
  <c r="Q9" i="26"/>
  <c r="R9" i="26"/>
  <c r="S9" i="26"/>
  <c r="T9" i="26"/>
  <c r="U9" i="26"/>
  <c r="V9" i="26"/>
  <c r="W9" i="26"/>
  <c r="X9" i="26"/>
  <c r="Y9" i="26"/>
  <c r="Z9" i="26"/>
  <c r="AA9" i="26"/>
  <c r="E10" i="26"/>
  <c r="F10" i="26"/>
  <c r="G10" i="26"/>
  <c r="H10" i="26"/>
  <c r="J10" i="26"/>
  <c r="M10" i="26"/>
  <c r="O10" i="26"/>
  <c r="P10" i="26"/>
  <c r="Q10" i="26"/>
  <c r="R10" i="26"/>
  <c r="S10" i="26"/>
  <c r="T10" i="26"/>
  <c r="U10" i="26"/>
  <c r="V10" i="26"/>
  <c r="W10" i="26"/>
  <c r="X10" i="26"/>
  <c r="Y10" i="26"/>
  <c r="Z10" i="26"/>
  <c r="AA10" i="26"/>
  <c r="E11" i="26"/>
  <c r="F11" i="26"/>
  <c r="G11" i="26"/>
  <c r="H11" i="26"/>
  <c r="J11" i="26"/>
  <c r="M11" i="26"/>
  <c r="O11" i="26"/>
  <c r="P11" i="26"/>
  <c r="Q11" i="26"/>
  <c r="R11" i="26"/>
  <c r="S11" i="26"/>
  <c r="T11" i="26"/>
  <c r="U11" i="26"/>
  <c r="V11" i="26"/>
  <c r="W11" i="26"/>
  <c r="X11" i="26"/>
  <c r="Y11" i="26"/>
  <c r="Z11" i="26"/>
  <c r="AA11" i="26"/>
  <c r="E12" i="26"/>
  <c r="F12" i="26"/>
  <c r="G12" i="26"/>
  <c r="H12" i="26"/>
  <c r="J12" i="26"/>
  <c r="M12" i="26"/>
  <c r="O12" i="26"/>
  <c r="P12" i="26"/>
  <c r="Q12" i="26"/>
  <c r="R12" i="26"/>
  <c r="S12" i="26"/>
  <c r="T12" i="26"/>
  <c r="U12" i="26"/>
  <c r="V12" i="26"/>
  <c r="W12" i="26"/>
  <c r="X12" i="26"/>
  <c r="Y12" i="26"/>
  <c r="Z12" i="26"/>
  <c r="AA12" i="26"/>
  <c r="E13" i="26"/>
  <c r="F13" i="26"/>
  <c r="G13" i="26"/>
  <c r="H13" i="26"/>
  <c r="J13" i="26"/>
  <c r="M13" i="26"/>
  <c r="O13" i="26"/>
  <c r="P13" i="26"/>
  <c r="Q13" i="26"/>
  <c r="R13" i="26"/>
  <c r="S13" i="26"/>
  <c r="T13" i="26"/>
  <c r="U13" i="26"/>
  <c r="V13" i="26"/>
  <c r="W13" i="26"/>
  <c r="X13" i="26"/>
  <c r="Y13" i="26"/>
  <c r="Z13" i="26"/>
  <c r="AA13" i="26"/>
  <c r="E14" i="26"/>
  <c r="F14" i="26"/>
  <c r="G14" i="26"/>
  <c r="H14" i="26"/>
  <c r="J14" i="26"/>
  <c r="M14" i="26"/>
  <c r="O14" i="26"/>
  <c r="P14" i="26"/>
  <c r="Q14" i="26"/>
  <c r="R14" i="26"/>
  <c r="S14" i="26"/>
  <c r="T14" i="26"/>
  <c r="U14" i="26"/>
  <c r="V14" i="26"/>
  <c r="W14" i="26"/>
  <c r="X14" i="26"/>
  <c r="Y14" i="26"/>
  <c r="Z14" i="26"/>
  <c r="AA14" i="26"/>
  <c r="E15" i="26"/>
  <c r="F15" i="26"/>
  <c r="G15" i="26"/>
  <c r="H15" i="26"/>
  <c r="J15" i="26"/>
  <c r="M15" i="26"/>
  <c r="O15" i="26"/>
  <c r="P15" i="26"/>
  <c r="Q15" i="26"/>
  <c r="R15" i="26"/>
  <c r="S15" i="26"/>
  <c r="T15" i="26"/>
  <c r="U15" i="26"/>
  <c r="V15" i="26"/>
  <c r="W15" i="26"/>
  <c r="X15" i="26"/>
  <c r="Y15" i="26"/>
  <c r="Z15" i="26"/>
  <c r="AA15" i="26"/>
  <c r="E16" i="26"/>
  <c r="F16" i="26"/>
  <c r="G16" i="26"/>
  <c r="H16" i="26"/>
  <c r="J16" i="26"/>
  <c r="M16" i="26"/>
  <c r="O16" i="26"/>
  <c r="P16" i="26"/>
  <c r="Q16" i="26"/>
  <c r="R16" i="26"/>
  <c r="S16" i="26"/>
  <c r="T16" i="26"/>
  <c r="U16" i="26"/>
  <c r="V16" i="26"/>
  <c r="W16" i="26"/>
  <c r="X16" i="26"/>
  <c r="Y16" i="26"/>
  <c r="Z16" i="26"/>
  <c r="AA16" i="26"/>
  <c r="E17" i="26"/>
  <c r="F17" i="26"/>
  <c r="G17" i="26"/>
  <c r="H17" i="26"/>
  <c r="J17" i="26"/>
  <c r="M17" i="26"/>
  <c r="O17" i="26"/>
  <c r="P17" i="26"/>
  <c r="Q17" i="26"/>
  <c r="R17" i="26"/>
  <c r="S17" i="26"/>
  <c r="T17" i="26"/>
  <c r="U17" i="26"/>
  <c r="V17" i="26"/>
  <c r="W17" i="26"/>
  <c r="X17" i="26"/>
  <c r="Y17" i="26"/>
  <c r="Z17" i="26"/>
  <c r="AA17" i="26"/>
  <c r="E18" i="26"/>
  <c r="F18" i="26"/>
  <c r="G18" i="26"/>
  <c r="H18" i="26"/>
  <c r="J18" i="26"/>
  <c r="M18" i="26"/>
  <c r="O18" i="26"/>
  <c r="P18" i="26"/>
  <c r="Q18" i="26"/>
  <c r="R18" i="26"/>
  <c r="S18" i="26"/>
  <c r="T18" i="26"/>
  <c r="U18" i="26"/>
  <c r="V18" i="26"/>
  <c r="W18" i="26"/>
  <c r="X18" i="26"/>
  <c r="Y18" i="26"/>
  <c r="Z18" i="26"/>
  <c r="AA18" i="26"/>
  <c r="E19" i="26"/>
  <c r="F19" i="26"/>
  <c r="G19" i="26"/>
  <c r="H19" i="26"/>
  <c r="J19" i="26"/>
  <c r="M19" i="26"/>
  <c r="O19" i="26"/>
  <c r="P19" i="26"/>
  <c r="Q19" i="26"/>
  <c r="R19" i="26"/>
  <c r="S19" i="26"/>
  <c r="T19" i="26"/>
  <c r="U19" i="26"/>
  <c r="V19" i="26"/>
  <c r="W19" i="26"/>
  <c r="X19" i="26"/>
  <c r="Y19" i="26"/>
  <c r="Z19" i="26"/>
  <c r="AA19" i="26"/>
  <c r="E20" i="26"/>
  <c r="F20" i="26"/>
  <c r="G20" i="26"/>
  <c r="H20" i="26"/>
  <c r="J20" i="26"/>
  <c r="M20" i="26"/>
  <c r="O20" i="26"/>
  <c r="P20" i="26"/>
  <c r="Q20" i="26"/>
  <c r="R20" i="26"/>
  <c r="S20" i="26"/>
  <c r="T20" i="26"/>
  <c r="U20" i="26"/>
  <c r="V20" i="26"/>
  <c r="W20" i="26"/>
  <c r="X20" i="26"/>
  <c r="Y20" i="26"/>
  <c r="Z20" i="26"/>
  <c r="AA20" i="26"/>
  <c r="E21" i="26"/>
  <c r="F21" i="26"/>
  <c r="G21" i="26"/>
  <c r="H21" i="26"/>
  <c r="J21" i="26"/>
  <c r="M21" i="26"/>
  <c r="O21" i="26"/>
  <c r="P21" i="26"/>
  <c r="Q21" i="26"/>
  <c r="R21" i="26"/>
  <c r="S21" i="26"/>
  <c r="T21" i="26"/>
  <c r="U21" i="26"/>
  <c r="V21" i="26"/>
  <c r="W21" i="26"/>
  <c r="X21" i="26"/>
  <c r="Y21" i="26"/>
  <c r="Z21" i="26"/>
  <c r="AA21" i="26"/>
  <c r="E22" i="26"/>
  <c r="F22" i="26"/>
  <c r="G22" i="26"/>
  <c r="H22" i="26"/>
  <c r="J22" i="26"/>
  <c r="M22" i="26"/>
  <c r="O22" i="26"/>
  <c r="P22" i="26"/>
  <c r="Q22" i="26"/>
  <c r="R22" i="26"/>
  <c r="S22" i="26"/>
  <c r="T22" i="26"/>
  <c r="U22" i="26"/>
  <c r="V22" i="26"/>
  <c r="W22" i="26"/>
  <c r="X22" i="26"/>
  <c r="Y22" i="26"/>
  <c r="Z22" i="26"/>
  <c r="AA22"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C25" i="26"/>
  <c r="D25" i="26"/>
  <c r="E25" i="26"/>
  <c r="F25" i="26"/>
  <c r="G25" i="26"/>
  <c r="H25" i="26"/>
  <c r="I25" i="26"/>
  <c r="J25" i="26"/>
  <c r="K25" i="26"/>
  <c r="L25" i="26"/>
  <c r="M25" i="26"/>
  <c r="N25" i="26"/>
  <c r="O25" i="26"/>
  <c r="P25" i="26"/>
  <c r="Q25" i="26"/>
  <c r="R25" i="26"/>
  <c r="S25" i="26"/>
  <c r="T25" i="26"/>
  <c r="U25" i="26"/>
  <c r="V25" i="26"/>
  <c r="W25" i="26"/>
  <c r="X25" i="26"/>
  <c r="Y25" i="26"/>
  <c r="Z25" i="26"/>
  <c r="AA25"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C27" i="26"/>
  <c r="D27" i="26"/>
  <c r="E27" i="26"/>
  <c r="F27" i="26"/>
  <c r="G27" i="26"/>
  <c r="H27" i="26"/>
  <c r="I27" i="26"/>
  <c r="J27" i="26"/>
  <c r="K27" i="26"/>
  <c r="L27" i="26"/>
  <c r="M27" i="26"/>
  <c r="N27" i="26"/>
  <c r="O27" i="26"/>
  <c r="P27" i="26"/>
  <c r="Q27" i="26"/>
  <c r="R27" i="26"/>
  <c r="S27" i="26"/>
  <c r="T27" i="26"/>
  <c r="U27" i="26"/>
  <c r="V27" i="26"/>
  <c r="W27" i="26"/>
  <c r="X27" i="26"/>
  <c r="Y27" i="26"/>
  <c r="Z27" i="26"/>
  <c r="AA27" i="26"/>
  <c r="C28" i="26"/>
  <c r="D28" i="26"/>
  <c r="E28" i="26"/>
  <c r="F28" i="26"/>
  <c r="G28" i="26"/>
  <c r="H28" i="26"/>
  <c r="I28" i="26"/>
  <c r="J28" i="26"/>
  <c r="K28" i="26"/>
  <c r="L28" i="26"/>
  <c r="M28" i="26"/>
  <c r="N28" i="26"/>
  <c r="O28" i="26"/>
  <c r="P28" i="26"/>
  <c r="Q28" i="26"/>
  <c r="R28" i="26"/>
  <c r="S28" i="26"/>
  <c r="T28" i="26"/>
  <c r="U28" i="26"/>
  <c r="V28" i="26"/>
  <c r="W28" i="26"/>
  <c r="X28" i="26"/>
  <c r="Y28" i="26"/>
  <c r="Z28" i="26"/>
  <c r="AA28" i="26"/>
  <c r="C29" i="26"/>
  <c r="D29" i="26"/>
  <c r="E29" i="26"/>
  <c r="F29" i="26"/>
  <c r="G29" i="26"/>
  <c r="H29" i="26"/>
  <c r="I29" i="26"/>
  <c r="J29" i="26"/>
  <c r="K29" i="26"/>
  <c r="L29" i="26"/>
  <c r="M29" i="26"/>
  <c r="N29" i="26"/>
  <c r="O29" i="26"/>
  <c r="P29" i="26"/>
  <c r="Q29" i="26"/>
  <c r="R29" i="26"/>
  <c r="S29" i="26"/>
  <c r="T29" i="26"/>
  <c r="U29" i="26"/>
  <c r="V29" i="26"/>
  <c r="W29" i="26"/>
  <c r="X29" i="26"/>
  <c r="Y29" i="26"/>
  <c r="Z29" i="26"/>
  <c r="AA29" i="26"/>
  <c r="C30" i="26"/>
  <c r="D30" i="26"/>
  <c r="E30" i="26"/>
  <c r="F30" i="26"/>
  <c r="G30" i="26"/>
  <c r="H30" i="26"/>
  <c r="I30" i="26"/>
  <c r="J30" i="26"/>
  <c r="K30" i="26"/>
  <c r="L30" i="26"/>
  <c r="M30" i="26"/>
  <c r="N30" i="26"/>
  <c r="O30" i="26"/>
  <c r="P30" i="26"/>
  <c r="Q30" i="26"/>
  <c r="R30" i="26"/>
  <c r="S30" i="26"/>
  <c r="T30" i="26"/>
  <c r="U30" i="26"/>
  <c r="V30" i="26"/>
  <c r="W30" i="26"/>
  <c r="X30" i="26"/>
  <c r="Y30" i="26"/>
  <c r="Z30" i="26"/>
  <c r="AA30" i="26"/>
  <c r="C31" i="26"/>
  <c r="D31" i="26"/>
  <c r="E31" i="26"/>
  <c r="F31" i="26"/>
  <c r="G31" i="26"/>
  <c r="H31" i="26"/>
  <c r="I31" i="26"/>
  <c r="J31" i="26"/>
  <c r="K31" i="26"/>
  <c r="L31" i="26"/>
  <c r="M31" i="26"/>
  <c r="N31" i="26"/>
  <c r="O31" i="26"/>
  <c r="P31" i="26"/>
  <c r="Q31" i="26"/>
  <c r="R31" i="26"/>
  <c r="S31" i="26"/>
  <c r="T31" i="26"/>
  <c r="U31" i="26"/>
  <c r="V31" i="26"/>
  <c r="W31" i="26"/>
  <c r="X31" i="26"/>
  <c r="Y31" i="26"/>
  <c r="Z31" i="26"/>
  <c r="AA31" i="26"/>
  <c r="C32" i="26"/>
  <c r="D32" i="26"/>
  <c r="E32" i="26"/>
  <c r="F32" i="26"/>
  <c r="G32" i="26"/>
  <c r="H32" i="26"/>
  <c r="I32" i="26"/>
  <c r="J32" i="26"/>
  <c r="K32" i="26"/>
  <c r="L32" i="26"/>
  <c r="M32" i="26"/>
  <c r="N32" i="26"/>
  <c r="O32" i="26"/>
  <c r="P32" i="26"/>
  <c r="Q32" i="26"/>
  <c r="R32" i="26"/>
  <c r="S32" i="26"/>
  <c r="T32" i="26"/>
  <c r="U32" i="26"/>
  <c r="V32" i="26"/>
  <c r="W32" i="26"/>
  <c r="X32" i="26"/>
  <c r="Y32" i="26"/>
  <c r="Z32" i="26"/>
  <c r="AA32" i="26"/>
  <c r="C33" i="26"/>
  <c r="D33" i="26"/>
  <c r="E33" i="26"/>
  <c r="F33" i="26"/>
  <c r="G33" i="26"/>
  <c r="H33" i="26"/>
  <c r="I33" i="26"/>
  <c r="J33" i="26"/>
  <c r="K33" i="26"/>
  <c r="L33" i="26"/>
  <c r="M33" i="26"/>
  <c r="N33" i="26"/>
  <c r="O33" i="26"/>
  <c r="P33" i="26"/>
  <c r="Q33" i="26"/>
  <c r="R33" i="26"/>
  <c r="S33" i="26"/>
  <c r="T33" i="26"/>
  <c r="U33" i="26"/>
  <c r="V33" i="26"/>
  <c r="W33" i="26"/>
  <c r="X33" i="26"/>
  <c r="Y33" i="26"/>
  <c r="Z33" i="26"/>
  <c r="AA33" i="26"/>
  <c r="C34" i="26"/>
  <c r="D34" i="26"/>
  <c r="E34" i="26"/>
  <c r="F34" i="26"/>
  <c r="G34" i="26"/>
  <c r="H34" i="26"/>
  <c r="I34" i="26"/>
  <c r="J34" i="26"/>
  <c r="K34" i="26"/>
  <c r="L34" i="26"/>
  <c r="M34" i="26"/>
  <c r="N34" i="26"/>
  <c r="O34" i="26"/>
  <c r="P34" i="26"/>
  <c r="Q34" i="26"/>
  <c r="R34" i="26"/>
  <c r="S34" i="26"/>
  <c r="T34" i="26"/>
  <c r="U34" i="26"/>
  <c r="V34" i="26"/>
  <c r="W34" i="26"/>
  <c r="X34" i="26"/>
  <c r="Y34" i="26"/>
  <c r="Z34" i="26"/>
  <c r="AA34" i="26"/>
  <c r="C35" i="26"/>
  <c r="D35" i="26"/>
  <c r="E35" i="26"/>
  <c r="F35" i="26"/>
  <c r="G35" i="26"/>
  <c r="H35" i="26"/>
  <c r="I35" i="26"/>
  <c r="J35" i="26"/>
  <c r="K35" i="26"/>
  <c r="L35" i="26"/>
  <c r="M35" i="26"/>
  <c r="N35" i="26"/>
  <c r="O35" i="26"/>
  <c r="P35" i="26"/>
  <c r="Q35" i="26"/>
  <c r="R35" i="26"/>
  <c r="S35" i="26"/>
  <c r="T35" i="26"/>
  <c r="U35" i="26"/>
  <c r="V35" i="26"/>
  <c r="W35" i="26"/>
  <c r="X35" i="26"/>
  <c r="Y35" i="26"/>
  <c r="Z35" i="26"/>
  <c r="AA35"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C37" i="26"/>
  <c r="D37" i="26"/>
  <c r="E37" i="26"/>
  <c r="F37" i="26"/>
  <c r="G37" i="26"/>
  <c r="H37" i="26"/>
  <c r="I37" i="26"/>
  <c r="J37" i="26"/>
  <c r="K37" i="26"/>
  <c r="L37" i="26"/>
  <c r="M37" i="26"/>
  <c r="N37" i="26"/>
  <c r="O37" i="26"/>
  <c r="P37" i="26"/>
  <c r="Q37" i="26"/>
  <c r="R37" i="26"/>
  <c r="S37" i="26"/>
  <c r="T37" i="26"/>
  <c r="U37" i="26"/>
  <c r="V37" i="26"/>
  <c r="W37" i="26"/>
  <c r="X37" i="26"/>
  <c r="Y37" i="26"/>
  <c r="Z37" i="26"/>
  <c r="AA37" i="26"/>
  <c r="C39" i="26"/>
  <c r="D39" i="26"/>
  <c r="E39" i="26"/>
  <c r="F39" i="26"/>
  <c r="G39" i="26"/>
  <c r="H39" i="26"/>
  <c r="I39" i="26"/>
  <c r="J39" i="26"/>
  <c r="K39" i="26"/>
  <c r="L39" i="26"/>
  <c r="M39" i="26"/>
  <c r="N39" i="26"/>
  <c r="O39" i="26"/>
  <c r="P39" i="26"/>
  <c r="Q39" i="26"/>
  <c r="R39" i="26"/>
  <c r="S39" i="26"/>
  <c r="T39" i="26"/>
  <c r="U39" i="26"/>
  <c r="V39" i="26"/>
  <c r="W39" i="26"/>
  <c r="X39" i="26"/>
  <c r="Y39" i="26"/>
  <c r="Z39" i="26"/>
  <c r="AA39"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C41" i="26"/>
  <c r="D41" i="26"/>
  <c r="E41" i="26"/>
  <c r="F41" i="26"/>
  <c r="G41" i="26"/>
  <c r="H41" i="26"/>
  <c r="I41" i="26"/>
  <c r="J41" i="26"/>
  <c r="K41" i="26"/>
  <c r="L41" i="26"/>
  <c r="M41" i="26"/>
  <c r="N41" i="26"/>
  <c r="O41" i="26"/>
  <c r="P41" i="26"/>
  <c r="Q41" i="26"/>
  <c r="R41" i="26"/>
  <c r="S41" i="26"/>
  <c r="T41" i="26"/>
  <c r="U41" i="26"/>
  <c r="V41" i="26"/>
  <c r="W41" i="26"/>
  <c r="X41" i="26"/>
  <c r="Y41" i="26"/>
  <c r="Z41" i="26"/>
  <c r="AA41" i="26"/>
  <c r="C42" i="26"/>
  <c r="D42" i="26"/>
  <c r="E42" i="26"/>
  <c r="F42" i="26"/>
  <c r="G42" i="26"/>
  <c r="H42" i="26"/>
  <c r="I42" i="26"/>
  <c r="J42" i="26"/>
  <c r="K42" i="26"/>
  <c r="L42" i="26"/>
  <c r="M42" i="26"/>
  <c r="N42" i="26"/>
  <c r="O42" i="26"/>
  <c r="P42" i="26"/>
  <c r="Q42" i="26"/>
  <c r="R42" i="26"/>
  <c r="S42" i="26"/>
  <c r="T42" i="26"/>
  <c r="U42" i="26"/>
  <c r="V42" i="26"/>
  <c r="W42" i="26"/>
  <c r="X42" i="26"/>
  <c r="Y42" i="26"/>
  <c r="Z42" i="26"/>
  <c r="AA42" i="26"/>
  <c r="C43" i="26"/>
  <c r="D43" i="26"/>
  <c r="E43" i="26"/>
  <c r="F43" i="26"/>
  <c r="G43" i="26"/>
  <c r="H43" i="26"/>
  <c r="I43" i="26"/>
  <c r="J43" i="26"/>
  <c r="K43" i="26"/>
  <c r="L43" i="26"/>
  <c r="M43" i="26"/>
  <c r="N43" i="26"/>
  <c r="O43" i="26"/>
  <c r="P43" i="26"/>
  <c r="Q43" i="26"/>
  <c r="R43" i="26"/>
  <c r="S43" i="26"/>
  <c r="T43" i="26"/>
  <c r="U43" i="26"/>
  <c r="V43" i="26"/>
  <c r="W43" i="26"/>
  <c r="X43" i="26"/>
  <c r="Y43" i="26"/>
  <c r="Z43" i="26"/>
  <c r="AA43"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C45" i="26"/>
  <c r="D45" i="26"/>
  <c r="E45" i="26"/>
  <c r="F45" i="26"/>
  <c r="G45" i="26"/>
  <c r="H45" i="26"/>
  <c r="I45" i="26"/>
  <c r="J45" i="26"/>
  <c r="K45" i="26"/>
  <c r="L45" i="26"/>
  <c r="M45" i="26"/>
  <c r="N45" i="26"/>
  <c r="O45" i="26"/>
  <c r="P45" i="26"/>
  <c r="Q45" i="26"/>
  <c r="R45" i="26"/>
  <c r="S45" i="26"/>
  <c r="T45" i="26"/>
  <c r="U45" i="26"/>
  <c r="V45" i="26"/>
  <c r="W45" i="26"/>
  <c r="X45" i="26"/>
  <c r="Y45" i="26"/>
  <c r="Z45" i="26"/>
  <c r="AA45"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C47" i="26"/>
  <c r="D47" i="26"/>
  <c r="E47" i="26"/>
  <c r="F47" i="26"/>
  <c r="G47" i="26"/>
  <c r="H47" i="26"/>
  <c r="I47" i="26"/>
  <c r="J47" i="26"/>
  <c r="K47" i="26"/>
  <c r="L47" i="26"/>
  <c r="M47" i="26"/>
  <c r="N47" i="26"/>
  <c r="O47" i="26"/>
  <c r="P47" i="26"/>
  <c r="Q47" i="26"/>
  <c r="R47" i="26"/>
  <c r="S47" i="26"/>
  <c r="T47" i="26"/>
  <c r="U47" i="26"/>
  <c r="V47" i="26"/>
  <c r="W47" i="26"/>
  <c r="X47" i="26"/>
  <c r="Y47" i="26"/>
  <c r="Z47" i="26"/>
  <c r="AA47"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C49" i="26"/>
  <c r="D49" i="26"/>
  <c r="E49" i="26"/>
  <c r="F49" i="26"/>
  <c r="G49" i="26"/>
  <c r="H49" i="26"/>
  <c r="I49" i="26"/>
  <c r="J49" i="26"/>
  <c r="K49" i="26"/>
  <c r="L49" i="26"/>
  <c r="M49" i="26"/>
  <c r="N49" i="26"/>
  <c r="O49" i="26"/>
  <c r="P49" i="26"/>
  <c r="Q49" i="26"/>
  <c r="R49" i="26"/>
  <c r="S49" i="26"/>
  <c r="T49" i="26"/>
  <c r="U49" i="26"/>
  <c r="V49" i="26"/>
  <c r="W49" i="26"/>
  <c r="X49" i="26"/>
  <c r="Y49" i="26"/>
  <c r="Z49" i="26"/>
  <c r="AA49"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C51" i="26"/>
  <c r="D51" i="26"/>
  <c r="E51" i="26"/>
  <c r="F51" i="26"/>
  <c r="G51" i="26"/>
  <c r="H51" i="26"/>
  <c r="I51" i="26"/>
  <c r="J51" i="26"/>
  <c r="K51" i="26"/>
  <c r="L51" i="26"/>
  <c r="M51" i="26"/>
  <c r="N51" i="26"/>
  <c r="O51" i="26"/>
  <c r="P51" i="26"/>
  <c r="Q51" i="26"/>
  <c r="R51" i="26"/>
  <c r="S51" i="26"/>
  <c r="T51" i="26"/>
  <c r="U51" i="26"/>
  <c r="V51" i="26"/>
  <c r="W51" i="26"/>
  <c r="X51" i="26"/>
  <c r="Y51" i="26"/>
  <c r="Z51" i="26"/>
  <c r="AA51" i="26"/>
  <c r="C53" i="26"/>
  <c r="D53" i="26"/>
  <c r="E53" i="26"/>
  <c r="F53" i="26"/>
  <c r="G53" i="26"/>
  <c r="H53" i="26"/>
  <c r="I53" i="26"/>
  <c r="J53" i="26"/>
  <c r="K53" i="26"/>
  <c r="L53" i="26"/>
  <c r="M53" i="26"/>
  <c r="N53" i="26"/>
  <c r="O53" i="26"/>
  <c r="P53" i="26"/>
  <c r="Q53" i="26"/>
  <c r="R53" i="26"/>
  <c r="S53" i="26"/>
  <c r="T53" i="26"/>
  <c r="U53" i="26"/>
  <c r="V53" i="26"/>
  <c r="W53" i="26"/>
  <c r="X53" i="26"/>
  <c r="Y53" i="26"/>
  <c r="Z53" i="26"/>
  <c r="AA53"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C55" i="26"/>
  <c r="D55" i="26"/>
  <c r="E55" i="26"/>
  <c r="F55" i="26"/>
  <c r="G55" i="26"/>
  <c r="H55" i="26"/>
  <c r="I55" i="26"/>
  <c r="J55" i="26"/>
  <c r="K55" i="26"/>
  <c r="L55" i="26"/>
  <c r="M55" i="26"/>
  <c r="N55" i="26"/>
  <c r="O55" i="26"/>
  <c r="P55" i="26"/>
  <c r="Q55" i="26"/>
  <c r="R55" i="26"/>
  <c r="S55" i="26"/>
  <c r="T55" i="26"/>
  <c r="U55" i="26"/>
  <c r="V55" i="26"/>
  <c r="W55" i="26"/>
  <c r="X55" i="26"/>
  <c r="Y55" i="26"/>
  <c r="Z55" i="26"/>
  <c r="AA55" i="26"/>
  <c r="C56" i="26"/>
  <c r="D56" i="26"/>
  <c r="E56" i="26"/>
  <c r="F56" i="26"/>
  <c r="G56" i="26"/>
  <c r="H56" i="26"/>
  <c r="I56" i="26"/>
  <c r="J56" i="26"/>
  <c r="K56" i="26"/>
  <c r="L56" i="26"/>
  <c r="M56" i="26"/>
  <c r="N56" i="26"/>
  <c r="O56" i="26"/>
  <c r="P56" i="26"/>
  <c r="Q56" i="26"/>
  <c r="R56" i="26"/>
  <c r="S56" i="26"/>
  <c r="T56" i="26"/>
  <c r="U56" i="26"/>
  <c r="V56" i="26"/>
  <c r="W56" i="26"/>
  <c r="X56" i="26"/>
  <c r="Y56" i="26"/>
  <c r="Z56" i="26"/>
  <c r="AA56" i="26"/>
  <c r="C57" i="26"/>
  <c r="D57" i="26"/>
  <c r="E57" i="26"/>
  <c r="F57" i="26"/>
  <c r="G57" i="26"/>
  <c r="H57" i="26"/>
  <c r="I57" i="26"/>
  <c r="J57" i="26"/>
  <c r="K57" i="26"/>
  <c r="L57" i="26"/>
  <c r="M57" i="26"/>
  <c r="N57" i="26"/>
  <c r="O57" i="26"/>
  <c r="P57" i="26"/>
  <c r="Q57" i="26"/>
  <c r="R57" i="26"/>
  <c r="S57" i="26"/>
  <c r="T57" i="26"/>
  <c r="U57" i="26"/>
  <c r="V57" i="26"/>
  <c r="W57" i="26"/>
  <c r="X57" i="26"/>
  <c r="Y57" i="26"/>
  <c r="Z57" i="26"/>
  <c r="AA57" i="26"/>
  <c r="C58" i="26"/>
  <c r="D58" i="26"/>
  <c r="E58" i="26"/>
  <c r="F58" i="26"/>
  <c r="G58" i="26"/>
  <c r="H58" i="26"/>
  <c r="I58" i="26"/>
  <c r="J58" i="26"/>
  <c r="K58" i="26"/>
  <c r="L58" i="26"/>
  <c r="M58" i="26"/>
  <c r="N58" i="26"/>
  <c r="O58" i="26"/>
  <c r="P58" i="26"/>
  <c r="Q58" i="26"/>
  <c r="R58" i="26"/>
  <c r="S58" i="26"/>
  <c r="T58" i="26"/>
  <c r="U58" i="26"/>
  <c r="V58" i="26"/>
  <c r="W58" i="26"/>
  <c r="X58" i="26"/>
  <c r="Y58" i="26"/>
  <c r="Z58" i="26"/>
  <c r="AA58" i="26"/>
  <c r="C59" i="26"/>
  <c r="D59" i="26"/>
  <c r="E59" i="26"/>
  <c r="F59" i="26"/>
  <c r="G59" i="26"/>
  <c r="H59" i="26"/>
  <c r="I59" i="26"/>
  <c r="J59" i="26"/>
  <c r="K59" i="26"/>
  <c r="L59" i="26"/>
  <c r="M59" i="26"/>
  <c r="N59" i="26"/>
  <c r="O59" i="26"/>
  <c r="P59" i="26"/>
  <c r="Q59" i="26"/>
  <c r="R59" i="26"/>
  <c r="S59" i="26"/>
  <c r="T59" i="26"/>
  <c r="U59" i="26"/>
  <c r="V59" i="26"/>
  <c r="W59" i="26"/>
  <c r="X59" i="26"/>
  <c r="Y59" i="26"/>
  <c r="Z59" i="26"/>
  <c r="AA59" i="26"/>
  <c r="C60" i="26"/>
  <c r="D60" i="26"/>
  <c r="E60" i="26"/>
  <c r="F60" i="26"/>
  <c r="G60" i="26"/>
  <c r="H60" i="26"/>
  <c r="I60" i="26"/>
  <c r="J60" i="26"/>
  <c r="K60" i="26"/>
  <c r="L60" i="26"/>
  <c r="M60" i="26"/>
  <c r="N60" i="26"/>
  <c r="O60" i="26"/>
  <c r="P60" i="26"/>
  <c r="Q60" i="26"/>
  <c r="R60" i="26"/>
  <c r="S60" i="26"/>
  <c r="T60" i="26"/>
  <c r="U60" i="26"/>
  <c r="V60" i="26"/>
  <c r="W60" i="26"/>
  <c r="X60" i="26"/>
  <c r="Y60" i="26"/>
  <c r="Z60" i="26"/>
  <c r="AA60" i="26"/>
  <c r="C61" i="26"/>
  <c r="D61" i="26"/>
  <c r="E61" i="26"/>
  <c r="F61" i="26"/>
  <c r="G61" i="26"/>
  <c r="H61" i="26"/>
  <c r="I61" i="26"/>
  <c r="J61" i="26"/>
  <c r="K61" i="26"/>
  <c r="L61" i="26"/>
  <c r="M61" i="26"/>
  <c r="N61" i="26"/>
  <c r="O61" i="26"/>
  <c r="P61" i="26"/>
  <c r="Q61" i="26"/>
  <c r="R61" i="26"/>
  <c r="S61" i="26"/>
  <c r="T61" i="26"/>
  <c r="U61" i="26"/>
  <c r="V61" i="26"/>
  <c r="W61" i="26"/>
  <c r="X61" i="26"/>
  <c r="Y61" i="26"/>
  <c r="Z61" i="26"/>
  <c r="AA61" i="26"/>
  <c r="C62" i="26"/>
  <c r="D62" i="26"/>
  <c r="E62" i="26"/>
  <c r="F62" i="26"/>
  <c r="G62" i="26"/>
  <c r="H62" i="26"/>
  <c r="I62" i="26"/>
  <c r="J62" i="26"/>
  <c r="K62" i="26"/>
  <c r="L62" i="26"/>
  <c r="M62" i="26"/>
  <c r="N62" i="26"/>
  <c r="O62" i="26"/>
  <c r="P62" i="26"/>
  <c r="Q62" i="26"/>
  <c r="R62" i="26"/>
  <c r="S62" i="26"/>
  <c r="T62" i="26"/>
  <c r="U62" i="26"/>
  <c r="V62" i="26"/>
  <c r="W62" i="26"/>
  <c r="X62" i="26"/>
  <c r="Y62" i="26"/>
  <c r="Z62" i="26"/>
  <c r="AA62" i="26"/>
  <c r="C63" i="26"/>
  <c r="D63" i="26"/>
  <c r="E63" i="26"/>
  <c r="F63" i="26"/>
  <c r="G63" i="26"/>
  <c r="H63" i="26"/>
  <c r="I63" i="26"/>
  <c r="J63" i="26"/>
  <c r="K63" i="26"/>
  <c r="L63" i="26"/>
  <c r="M63" i="26"/>
  <c r="N63" i="26"/>
  <c r="O63" i="26"/>
  <c r="P63" i="26"/>
  <c r="Q63" i="26"/>
  <c r="R63" i="26"/>
  <c r="S63" i="26"/>
  <c r="T63" i="26"/>
  <c r="U63" i="26"/>
  <c r="V63" i="26"/>
  <c r="W63" i="26"/>
  <c r="X63" i="26"/>
  <c r="Y63" i="26"/>
  <c r="Z63" i="26"/>
  <c r="AA63" i="26"/>
  <c r="B6" i="26"/>
  <c r="B9" i="26"/>
  <c r="B24" i="26"/>
  <c r="B25" i="26"/>
  <c r="B26" i="26"/>
  <c r="B27" i="26"/>
  <c r="B28" i="26"/>
  <c r="B29" i="26"/>
  <c r="B30" i="26"/>
  <c r="B31" i="26"/>
  <c r="B32" i="26"/>
  <c r="B33" i="26"/>
  <c r="B34" i="26"/>
  <c r="B35" i="26"/>
  <c r="B36" i="26"/>
  <c r="B37" i="26"/>
  <c r="B39" i="26"/>
  <c r="B40" i="26"/>
  <c r="B41" i="26"/>
  <c r="B42" i="26"/>
  <c r="B43" i="26"/>
  <c r="B44" i="26"/>
  <c r="B45" i="26"/>
  <c r="B46" i="26"/>
  <c r="B47" i="26"/>
  <c r="B48" i="26"/>
  <c r="B49" i="26"/>
  <c r="B50" i="26"/>
  <c r="B51" i="26"/>
  <c r="B53" i="26"/>
  <c r="B54" i="26"/>
  <c r="B55" i="26"/>
  <c r="B56" i="26"/>
  <c r="B57" i="26"/>
  <c r="B58" i="26"/>
  <c r="B59" i="26"/>
  <c r="B60" i="26"/>
  <c r="B61" i="26"/>
  <c r="B62" i="26"/>
  <c r="B63" i="26"/>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A5" i="25"/>
  <c r="Z5" i="25"/>
  <c r="Y5" i="25"/>
  <c r="X5" i="25"/>
  <c r="W5" i="25"/>
  <c r="V5" i="25"/>
  <c r="U5" i="25"/>
  <c r="T5" i="25"/>
  <c r="S5" i="25"/>
  <c r="R5" i="25"/>
  <c r="Q5" i="25"/>
  <c r="P5" i="25"/>
  <c r="O5" i="25"/>
  <c r="M5" i="25"/>
  <c r="J5" i="25"/>
  <c r="H5" i="25"/>
  <c r="G5" i="25"/>
  <c r="F5" i="25"/>
  <c r="E5" i="25"/>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A5" i="24"/>
  <c r="Z5" i="24"/>
  <c r="Y5" i="24"/>
  <c r="X5" i="24"/>
  <c r="W5" i="24"/>
  <c r="V5" i="24"/>
  <c r="U5" i="24"/>
  <c r="T5" i="24"/>
  <c r="S5" i="24"/>
  <c r="R5" i="24"/>
  <c r="Q5" i="24"/>
  <c r="P5" i="24"/>
  <c r="O5" i="24"/>
  <c r="N5" i="24"/>
  <c r="M5" i="24"/>
  <c r="L5" i="24"/>
  <c r="K5" i="24"/>
  <c r="J5" i="24"/>
  <c r="I5" i="24"/>
  <c r="H5" i="24"/>
  <c r="G5" i="24"/>
  <c r="F5" i="24"/>
  <c r="E5" i="24"/>
  <c r="D5" i="24"/>
  <c r="C5" i="24"/>
  <c r="B5" i="24"/>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A5" i="22"/>
  <c r="Z5" i="22"/>
  <c r="Y5" i="22"/>
  <c r="X5" i="22"/>
  <c r="W5" i="22"/>
  <c r="V5" i="22"/>
  <c r="U5" i="22"/>
  <c r="T5" i="22"/>
  <c r="S5" i="22"/>
  <c r="R5" i="22"/>
  <c r="Q5" i="22"/>
  <c r="P5" i="22"/>
  <c r="O5" i="22"/>
  <c r="M5" i="22"/>
  <c r="J5" i="22"/>
  <c r="H5" i="22"/>
  <c r="G5" i="22"/>
  <c r="F5" i="22"/>
  <c r="E5" i="22"/>
  <c r="AA52" i="21"/>
  <c r="Z52" i="21"/>
  <c r="Y52" i="21"/>
  <c r="X52" i="21"/>
  <c r="W52" i="21"/>
  <c r="V52" i="21"/>
  <c r="U52" i="21"/>
  <c r="T52" i="21"/>
  <c r="S52" i="21"/>
  <c r="R52" i="21"/>
  <c r="Q52" i="21"/>
  <c r="P52" i="21"/>
  <c r="O52" i="21"/>
  <c r="N52" i="21"/>
  <c r="M52" i="21"/>
  <c r="L52" i="21"/>
  <c r="K52" i="21"/>
  <c r="J52" i="21"/>
  <c r="I52" i="21"/>
  <c r="H52" i="21"/>
  <c r="G52" i="21"/>
  <c r="F52" i="21"/>
  <c r="E52" i="21"/>
  <c r="D52" i="21"/>
  <c r="C52" i="21"/>
  <c r="B52" i="21"/>
  <c r="AA38" i="21"/>
  <c r="Z38" i="21"/>
  <c r="Y38" i="21"/>
  <c r="X38" i="21"/>
  <c r="W38" i="21"/>
  <c r="V38" i="21"/>
  <c r="U38" i="21"/>
  <c r="T38" i="21"/>
  <c r="S38" i="21"/>
  <c r="R38" i="21"/>
  <c r="Q38" i="21"/>
  <c r="P38" i="21"/>
  <c r="O38" i="21"/>
  <c r="N38" i="21"/>
  <c r="M38" i="21"/>
  <c r="L38" i="21"/>
  <c r="K38" i="21"/>
  <c r="J38" i="21"/>
  <c r="I38" i="21"/>
  <c r="H38" i="21"/>
  <c r="G38" i="21"/>
  <c r="F38" i="21"/>
  <c r="E38" i="21"/>
  <c r="D38" i="21"/>
  <c r="C38" i="21"/>
  <c r="B38" i="21"/>
  <c r="Z23" i="21"/>
  <c r="Y23" i="21"/>
  <c r="X23" i="21"/>
  <c r="W23" i="21"/>
  <c r="V23" i="21"/>
  <c r="U23" i="21"/>
  <c r="T23" i="21"/>
  <c r="S23" i="21"/>
  <c r="R23" i="21"/>
  <c r="Q23" i="21"/>
  <c r="P23" i="21"/>
  <c r="O23" i="21"/>
  <c r="N23" i="21"/>
  <c r="M23" i="21"/>
  <c r="L23" i="21"/>
  <c r="K23" i="21"/>
  <c r="J23" i="21"/>
  <c r="I23" i="21"/>
  <c r="H23" i="21"/>
  <c r="G23" i="21"/>
  <c r="F23" i="21"/>
  <c r="E23" i="21"/>
  <c r="D23" i="21"/>
  <c r="C23" i="21"/>
  <c r="B23" i="21"/>
  <c r="AA5" i="21"/>
  <c r="Z5" i="21"/>
  <c r="Y5" i="21"/>
  <c r="X5" i="21"/>
  <c r="W5" i="21"/>
  <c r="V5" i="21"/>
  <c r="U5" i="21"/>
  <c r="T5" i="21"/>
  <c r="S5" i="21"/>
  <c r="R5" i="21"/>
  <c r="Q5" i="21"/>
  <c r="P5" i="21"/>
  <c r="O5" i="21"/>
  <c r="N5" i="21"/>
  <c r="M5" i="21"/>
  <c r="L5" i="21"/>
  <c r="K5" i="21"/>
  <c r="J5" i="21"/>
  <c r="I5" i="21"/>
  <c r="H5" i="21"/>
  <c r="G5" i="21"/>
  <c r="F5" i="21"/>
  <c r="E5" i="21"/>
  <c r="D5" i="21"/>
  <c r="C5" i="21"/>
  <c r="B5" i="21"/>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Z5" i="20"/>
  <c r="Y5" i="20"/>
  <c r="X5" i="20"/>
  <c r="W5" i="20"/>
  <c r="V5" i="20"/>
  <c r="U5" i="20"/>
  <c r="T5" i="20"/>
  <c r="S5" i="20"/>
  <c r="R5" i="20"/>
  <c r="Q5" i="20"/>
  <c r="P5" i="20"/>
  <c r="O5" i="20"/>
  <c r="N5" i="20"/>
  <c r="M5" i="20"/>
  <c r="L5" i="20"/>
  <c r="K5" i="20"/>
  <c r="J5" i="20"/>
  <c r="I5" i="20"/>
  <c r="H5" i="20"/>
  <c r="G5" i="20"/>
  <c r="F5" i="20"/>
  <c r="E5" i="20"/>
  <c r="D5" i="20"/>
  <c r="C5" i="20"/>
  <c r="B5" i="20"/>
  <c r="AA52" i="19"/>
  <c r="Z52" i="19"/>
  <c r="Y52" i="19"/>
  <c r="X52" i="19"/>
  <c r="W52" i="19"/>
  <c r="V52" i="19"/>
  <c r="U52" i="19"/>
  <c r="T52" i="19"/>
  <c r="S52" i="19"/>
  <c r="R52" i="19"/>
  <c r="Q52" i="19"/>
  <c r="P52" i="19"/>
  <c r="O52" i="19"/>
  <c r="N52" i="19"/>
  <c r="M52" i="19"/>
  <c r="L52" i="19"/>
  <c r="K52" i="19"/>
  <c r="J52" i="19"/>
  <c r="I52" i="19"/>
  <c r="H52" i="19"/>
  <c r="G52" i="19"/>
  <c r="F52" i="19"/>
  <c r="E52" i="19"/>
  <c r="D52" i="19"/>
  <c r="C52" i="19"/>
  <c r="B52"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AA5" i="19"/>
  <c r="Z5" i="19"/>
  <c r="Y5" i="19"/>
  <c r="X5" i="19"/>
  <c r="W5" i="19"/>
  <c r="V5" i="19"/>
  <c r="U5" i="19"/>
  <c r="T5" i="19"/>
  <c r="S5" i="19"/>
  <c r="R5" i="19"/>
  <c r="Q5" i="19"/>
  <c r="P5" i="19"/>
  <c r="O5" i="19"/>
  <c r="N5" i="19"/>
  <c r="M5" i="19"/>
  <c r="L5" i="19"/>
  <c r="K5" i="19"/>
  <c r="J5" i="19"/>
  <c r="I5" i="19"/>
  <c r="H5" i="19"/>
  <c r="G5" i="19"/>
  <c r="F5" i="19"/>
  <c r="E5" i="19"/>
  <c r="D5" i="19"/>
  <c r="C5" i="19"/>
  <c r="B5" i="19"/>
  <c r="C52" i="18"/>
  <c r="D52" i="18"/>
  <c r="E52" i="18"/>
  <c r="F52" i="18"/>
  <c r="G52" i="18"/>
  <c r="H52" i="18"/>
  <c r="I52" i="18"/>
  <c r="J52" i="18"/>
  <c r="K52" i="18"/>
  <c r="L52" i="18"/>
  <c r="M52" i="18"/>
  <c r="N52" i="18"/>
  <c r="O52" i="18"/>
  <c r="P52" i="18"/>
  <c r="Q52" i="18"/>
  <c r="R52" i="18"/>
  <c r="S52" i="18"/>
  <c r="T52" i="18"/>
  <c r="U52" i="18"/>
  <c r="V52" i="18"/>
  <c r="W52" i="18"/>
  <c r="X52" i="18"/>
  <c r="Y52" i="18"/>
  <c r="Z52" i="18"/>
  <c r="AA52" i="18"/>
  <c r="B52" i="18"/>
  <c r="C38" i="18"/>
  <c r="D38" i="18"/>
  <c r="E38" i="18"/>
  <c r="F38" i="18"/>
  <c r="G38" i="18"/>
  <c r="H38" i="18"/>
  <c r="I38" i="18"/>
  <c r="J38" i="18"/>
  <c r="K38" i="18"/>
  <c r="L38" i="18"/>
  <c r="M38" i="18"/>
  <c r="N38" i="18"/>
  <c r="O38" i="18"/>
  <c r="P38" i="18"/>
  <c r="Q38" i="18"/>
  <c r="R38" i="18"/>
  <c r="S38" i="18"/>
  <c r="T38" i="18"/>
  <c r="U38" i="18"/>
  <c r="V38" i="18"/>
  <c r="W38" i="18"/>
  <c r="X38" i="18"/>
  <c r="Y38" i="18"/>
  <c r="Z38" i="18"/>
  <c r="AA38" i="18"/>
  <c r="B38" i="18"/>
  <c r="C23" i="18"/>
  <c r="D23" i="18"/>
  <c r="E23" i="18"/>
  <c r="F23" i="18"/>
  <c r="G23" i="18"/>
  <c r="H23" i="18"/>
  <c r="I23" i="18"/>
  <c r="J23" i="18"/>
  <c r="K23" i="18"/>
  <c r="L23" i="18"/>
  <c r="M23" i="18"/>
  <c r="N23" i="18"/>
  <c r="O23" i="18"/>
  <c r="P23" i="18"/>
  <c r="Q23" i="18"/>
  <c r="R23" i="18"/>
  <c r="S23" i="18"/>
  <c r="T23" i="18"/>
  <c r="U23" i="18"/>
  <c r="V23" i="18"/>
  <c r="W23" i="18"/>
  <c r="X23" i="18"/>
  <c r="Y23" i="18"/>
  <c r="Z23" i="18"/>
  <c r="AA23" i="18"/>
  <c r="B23" i="18"/>
  <c r="C5" i="18"/>
  <c r="D5" i="18"/>
  <c r="E5" i="18"/>
  <c r="F5" i="18"/>
  <c r="G5" i="18"/>
  <c r="H5" i="18"/>
  <c r="I5" i="18"/>
  <c r="J5" i="18"/>
  <c r="K5" i="18"/>
  <c r="L5" i="18"/>
  <c r="M5" i="18"/>
  <c r="N5" i="18"/>
  <c r="O5" i="18"/>
  <c r="P5" i="18"/>
  <c r="Q5" i="18"/>
  <c r="R5" i="18"/>
  <c r="S5" i="18"/>
  <c r="T5" i="18"/>
  <c r="U5" i="18"/>
  <c r="V5" i="18"/>
  <c r="W5" i="18"/>
  <c r="X5" i="18"/>
  <c r="Y5" i="18"/>
  <c r="Z5" i="18"/>
  <c r="AA5" i="18"/>
  <c r="B5" i="18"/>
  <c r="U4" i="24" l="1"/>
  <c r="R4" i="21"/>
  <c r="J4" i="21"/>
  <c r="Y4" i="20"/>
  <c r="Z4" i="20"/>
  <c r="W68" i="17"/>
  <c r="R4" i="20"/>
  <c r="Z4" i="21"/>
  <c r="J4" i="20"/>
  <c r="B52" i="26"/>
  <c r="R4" i="22"/>
  <c r="Z4" i="22"/>
  <c r="M4" i="25"/>
  <c r="T4" i="21"/>
  <c r="AA38" i="26"/>
  <c r="S38" i="26"/>
  <c r="K38" i="26"/>
  <c r="C38" i="26"/>
  <c r="J23" i="26"/>
  <c r="J4" i="19"/>
  <c r="Z4" i="19"/>
  <c r="B23" i="26"/>
  <c r="R23" i="26"/>
  <c r="R4" i="19"/>
  <c r="N23" i="26"/>
  <c r="Y52" i="26"/>
  <c r="Z4" i="25"/>
  <c r="Q52" i="26"/>
  <c r="R4" i="25"/>
  <c r="I52" i="26"/>
  <c r="J4" i="25"/>
  <c r="U4" i="25"/>
  <c r="P38" i="26"/>
  <c r="H38" i="26"/>
  <c r="Z52" i="26"/>
  <c r="R52" i="26"/>
  <c r="J52" i="26"/>
  <c r="AA4" i="24"/>
  <c r="S4" i="24"/>
  <c r="Y4" i="24"/>
  <c r="Z23" i="26"/>
  <c r="V4" i="24"/>
  <c r="T4" i="24"/>
  <c r="J4" i="24"/>
  <c r="R4" i="24"/>
  <c r="Z4" i="24"/>
  <c r="X4" i="24"/>
  <c r="O4" i="24"/>
  <c r="M4" i="24"/>
  <c r="AA4" i="22"/>
  <c r="S4" i="22"/>
  <c r="V52" i="26"/>
  <c r="V23" i="26"/>
  <c r="F23" i="26"/>
  <c r="S4" i="21"/>
  <c r="F52" i="26"/>
  <c r="AA4" i="21"/>
  <c r="G23" i="26"/>
  <c r="K52" i="26"/>
  <c r="S4" i="20"/>
  <c r="AB9" i="17"/>
  <c r="S52" i="26"/>
  <c r="M38" i="26"/>
  <c r="O23" i="26"/>
  <c r="C52" i="26"/>
  <c r="U38" i="26"/>
  <c r="AA52" i="26"/>
  <c r="E38" i="26"/>
  <c r="J5" i="26"/>
  <c r="V38" i="26"/>
  <c r="N38" i="26"/>
  <c r="F38" i="26"/>
  <c r="P52" i="26"/>
  <c r="H52" i="26"/>
  <c r="D38" i="26"/>
  <c r="L38" i="26"/>
  <c r="T38" i="26"/>
  <c r="H5" i="26"/>
  <c r="P5" i="26"/>
  <c r="X5" i="26"/>
  <c r="E5" i="26"/>
  <c r="Y38" i="26"/>
  <c r="Q38" i="26"/>
  <c r="I38" i="26"/>
  <c r="Y4" i="19"/>
  <c r="G38" i="26"/>
  <c r="U4" i="18"/>
  <c r="T4" i="18"/>
  <c r="X38" i="26"/>
  <c r="O38" i="26"/>
  <c r="E52" i="26"/>
  <c r="M52" i="26"/>
  <c r="U52" i="26"/>
  <c r="N52" i="26"/>
  <c r="X52" i="26"/>
  <c r="M4" i="18"/>
  <c r="F5" i="26"/>
  <c r="C23" i="26"/>
  <c r="K23" i="26"/>
  <c r="S23" i="26"/>
  <c r="AA23" i="26"/>
  <c r="D23" i="26"/>
  <c r="L23" i="26"/>
  <c r="G52" i="26"/>
  <c r="O52" i="26"/>
  <c r="W52" i="26"/>
  <c r="Z11" i="16"/>
  <c r="AB11" i="16"/>
  <c r="W23" i="26"/>
  <c r="W38" i="26"/>
  <c r="AA5" i="26"/>
  <c r="S4" i="18"/>
  <c r="S5" i="26"/>
  <c r="U23" i="26"/>
  <c r="M23" i="26"/>
  <c r="E23" i="26"/>
  <c r="S4" i="19"/>
  <c r="AA4" i="19"/>
  <c r="T4" i="22"/>
  <c r="T4" i="25"/>
  <c r="V5" i="26"/>
  <c r="Q5" i="26"/>
  <c r="U5" i="26"/>
  <c r="T5" i="26"/>
  <c r="W4" i="18"/>
  <c r="W5" i="26"/>
  <c r="O4" i="18"/>
  <c r="O5" i="26"/>
  <c r="G5" i="26"/>
  <c r="Y23" i="26"/>
  <c r="Q23" i="26"/>
  <c r="I23" i="26"/>
  <c r="O4" i="19"/>
  <c r="W4" i="19"/>
  <c r="O4" i="20"/>
  <c r="W4" i="20"/>
  <c r="X4" i="21"/>
  <c r="X4" i="22"/>
  <c r="W4" i="24"/>
  <c r="V4" i="25"/>
  <c r="B38" i="26"/>
  <c r="T23" i="26"/>
  <c r="X23" i="26"/>
  <c r="P23" i="26"/>
  <c r="H23" i="26"/>
  <c r="Z38" i="26"/>
  <c r="R38" i="26"/>
  <c r="J38" i="26"/>
  <c r="T52" i="26"/>
  <c r="L52" i="26"/>
  <c r="D52" i="26"/>
  <c r="M5" i="26"/>
  <c r="AB38" i="26"/>
  <c r="V4" i="18"/>
  <c r="X4" i="19"/>
  <c r="X4" i="20"/>
  <c r="Y4" i="21"/>
  <c r="Y4" i="22"/>
  <c r="S4" i="25"/>
  <c r="AA4" i="25"/>
  <c r="AB52" i="26"/>
  <c r="R4" i="18"/>
  <c r="T4" i="19"/>
  <c r="T4" i="20"/>
  <c r="M4" i="21"/>
  <c r="U4" i="21"/>
  <c r="J4" i="22"/>
  <c r="U4" i="22"/>
  <c r="O4" i="25"/>
  <c r="W4" i="25"/>
  <c r="AB4" i="1"/>
  <c r="AB5" i="13"/>
  <c r="Z4" i="18"/>
  <c r="M4" i="19"/>
  <c r="U4" i="19"/>
  <c r="M4" i="20"/>
  <c r="U4" i="20"/>
  <c r="V4" i="21"/>
  <c r="M4" i="22"/>
  <c r="V4" i="22"/>
  <c r="X4" i="25"/>
  <c r="Z5" i="26"/>
  <c r="R5" i="26"/>
  <c r="AA4" i="20"/>
  <c r="AB5" i="26"/>
  <c r="J4" i="18"/>
  <c r="Y4" i="18"/>
  <c r="X4" i="18"/>
  <c r="V4" i="19"/>
  <c r="V4" i="20"/>
  <c r="O4" i="21"/>
  <c r="W4" i="21"/>
  <c r="O4" i="22"/>
  <c r="W4" i="22"/>
  <c r="Y4" i="25"/>
  <c r="Y5" i="26"/>
  <c r="AB23" i="26"/>
  <c r="AB4" i="25"/>
  <c r="Z12" i="17"/>
  <c r="AD12" i="17" s="1"/>
  <c r="Z13" i="17"/>
  <c r="AD13" i="17" s="1"/>
  <c r="Z14" i="17"/>
  <c r="AD14" i="17" s="1"/>
  <c r="Z15" i="17"/>
  <c r="AD15" i="17" s="1"/>
  <c r="Z16" i="17"/>
  <c r="AD16" i="17" s="1"/>
  <c r="Z17" i="17"/>
  <c r="AD17" i="17" s="1"/>
  <c r="Z18" i="17"/>
  <c r="AD18" i="17" s="1"/>
  <c r="Z19" i="17"/>
  <c r="AD19" i="17" s="1"/>
  <c r="Z20" i="17"/>
  <c r="AD20" i="17" s="1"/>
  <c r="Z21" i="17"/>
  <c r="AD21" i="17" s="1"/>
  <c r="Z22" i="17"/>
  <c r="AD22" i="17" s="1"/>
  <c r="Z23" i="17"/>
  <c r="AD23" i="17" s="1"/>
  <c r="Z24" i="17"/>
  <c r="AD24" i="17" s="1"/>
  <c r="Z25" i="17"/>
  <c r="AD25" i="17" s="1"/>
  <c r="Z26" i="17"/>
  <c r="AD26" i="17" s="1"/>
  <c r="Z27" i="17"/>
  <c r="AD27" i="17" s="1"/>
  <c r="Z31" i="17"/>
  <c r="AD31" i="17" s="1"/>
  <c r="Z32" i="17"/>
  <c r="AD32" i="17" s="1"/>
  <c r="Z33" i="17"/>
  <c r="AD33" i="17" s="1"/>
  <c r="Z34" i="17"/>
  <c r="AD34" i="17" s="1"/>
  <c r="Z35" i="17"/>
  <c r="AD35" i="17" s="1"/>
  <c r="Z36" i="17"/>
  <c r="AD36" i="17" s="1"/>
  <c r="Z37" i="17"/>
  <c r="AD37" i="17" s="1"/>
  <c r="Z38" i="17"/>
  <c r="AD38" i="17" s="1"/>
  <c r="Z39" i="17"/>
  <c r="AD39" i="17" s="1"/>
  <c r="Z40" i="17"/>
  <c r="AD40" i="17" s="1"/>
  <c r="Z41" i="17"/>
  <c r="AD41" i="17" s="1"/>
  <c r="Z42" i="17"/>
  <c r="AD42" i="17" s="1"/>
  <c r="Z45" i="17"/>
  <c r="AD45" i="17" s="1"/>
  <c r="Z46" i="17"/>
  <c r="AD46" i="17" s="1"/>
  <c r="Z47" i="17"/>
  <c r="AD47" i="17" s="1"/>
  <c r="Z48" i="17"/>
  <c r="AD48" i="17" s="1"/>
  <c r="Z49" i="17"/>
  <c r="AD49" i="17" s="1"/>
  <c r="Z50" i="17"/>
  <c r="AD50" i="17" s="1"/>
  <c r="Z51" i="17"/>
  <c r="AD51" i="17" s="1"/>
  <c r="Z52" i="17"/>
  <c r="AD52" i="17" s="1"/>
  <c r="Z53" i="17"/>
  <c r="AD53" i="17" s="1"/>
  <c r="Z54" i="17"/>
  <c r="AD54" i="17" s="1"/>
  <c r="Z55" i="17"/>
  <c r="AD55" i="17" s="1"/>
  <c r="Z56" i="17"/>
  <c r="AD56" i="17" s="1"/>
  <c r="X12" i="17"/>
  <c r="X13" i="17"/>
  <c r="X14" i="17"/>
  <c r="X15" i="17"/>
  <c r="X16" i="17"/>
  <c r="X17" i="17"/>
  <c r="X18" i="17"/>
  <c r="X19" i="17"/>
  <c r="X20" i="17"/>
  <c r="X21" i="17"/>
  <c r="X22" i="17"/>
  <c r="X23" i="17"/>
  <c r="X24" i="17"/>
  <c r="X25" i="17"/>
  <c r="X26" i="17"/>
  <c r="X27" i="17"/>
  <c r="X31" i="17"/>
  <c r="X32" i="17"/>
  <c r="X33" i="17"/>
  <c r="X34" i="17"/>
  <c r="X35" i="17"/>
  <c r="X36" i="17"/>
  <c r="X37" i="17"/>
  <c r="X38" i="17"/>
  <c r="X39" i="17"/>
  <c r="X40" i="17"/>
  <c r="X41" i="17"/>
  <c r="X42" i="17"/>
  <c r="X45" i="17"/>
  <c r="X46" i="17"/>
  <c r="X47" i="17"/>
  <c r="X48" i="17"/>
  <c r="X49" i="17"/>
  <c r="X50" i="17"/>
  <c r="X51" i="17"/>
  <c r="X52" i="17"/>
  <c r="X53" i="17"/>
  <c r="X54" i="17"/>
  <c r="X55" i="17"/>
  <c r="X56" i="17"/>
  <c r="Z68" i="17"/>
  <c r="AD68" i="17" s="1"/>
  <c r="X68" i="17"/>
  <c r="Z67" i="17"/>
  <c r="AD67" i="17" s="1"/>
  <c r="X67" i="17"/>
  <c r="Z66" i="17"/>
  <c r="AD66" i="17" s="1"/>
  <c r="X66" i="17"/>
  <c r="Z65" i="17"/>
  <c r="AD65" i="17" s="1"/>
  <c r="X65" i="17"/>
  <c r="Z64" i="17"/>
  <c r="AD64" i="17" s="1"/>
  <c r="X64" i="17"/>
  <c r="Z63" i="17"/>
  <c r="AD63" i="17" s="1"/>
  <c r="X63" i="17"/>
  <c r="Z62" i="17"/>
  <c r="AD62" i="17" s="1"/>
  <c r="X62" i="17"/>
  <c r="Z61" i="17"/>
  <c r="AD61" i="17" s="1"/>
  <c r="X61" i="17"/>
  <c r="Z60" i="17"/>
  <c r="AD60" i="17" s="1"/>
  <c r="X60" i="17"/>
  <c r="Z59" i="17"/>
  <c r="AD59" i="17" s="1"/>
  <c r="X59" i="17"/>
  <c r="AA4" i="18"/>
  <c r="R4" i="26" l="1"/>
  <c r="J4" i="26"/>
  <c r="Z4" i="26"/>
  <c r="Y17" i="17"/>
  <c r="AA25" i="17"/>
  <c r="AA54" i="17"/>
  <c r="AA24" i="17"/>
  <c r="AA68" i="17"/>
  <c r="Y54" i="17"/>
  <c r="AA50" i="17"/>
  <c r="AA48" i="17"/>
  <c r="Y20" i="17"/>
  <c r="Y46" i="17"/>
  <c r="AA23" i="17"/>
  <c r="Y32" i="17"/>
  <c r="Y27" i="17"/>
  <c r="AA61" i="17"/>
  <c r="W45" i="17"/>
  <c r="AA16" i="17"/>
  <c r="Y35" i="17"/>
  <c r="AA65" i="17"/>
  <c r="Y26" i="17"/>
  <c r="U4" i="26"/>
  <c r="AA36" i="17"/>
  <c r="AA40" i="17"/>
  <c r="Y53" i="17"/>
  <c r="W66" i="17"/>
  <c r="Y22" i="17"/>
  <c r="W60" i="17"/>
  <c r="AA33" i="17"/>
  <c r="W34" i="17"/>
  <c r="W15" i="17"/>
  <c r="Y18" i="17"/>
  <c r="AA39" i="17"/>
  <c r="W37" i="17"/>
  <c r="W33" i="17"/>
  <c r="Y12" i="17"/>
  <c r="AA46" i="17"/>
  <c r="Y23" i="17"/>
  <c r="W16" i="17"/>
  <c r="W55" i="17"/>
  <c r="AA51" i="17"/>
  <c r="AA60" i="17"/>
  <c r="Y48" i="17"/>
  <c r="AA34" i="17"/>
  <c r="Y36" i="17"/>
  <c r="AC36" i="17" s="1"/>
  <c r="AA42" i="17"/>
  <c r="W53" i="17"/>
  <c r="W38" i="17"/>
  <c r="Y45" i="17"/>
  <c r="M4" i="26"/>
  <c r="AA20" i="17"/>
  <c r="AA21" i="17"/>
  <c r="AA12" i="17"/>
  <c r="Y34" i="17"/>
  <c r="T4" i="26"/>
  <c r="W39" i="17"/>
  <c r="AA55" i="17"/>
  <c r="AA63" i="17"/>
  <c r="AA27" i="17"/>
  <c r="AA53" i="17"/>
  <c r="AA15" i="17"/>
  <c r="AA26" i="17"/>
  <c r="Y15" i="17"/>
  <c r="AA22" i="17"/>
  <c r="AA45" i="17"/>
  <c r="AA19" i="17"/>
  <c r="AA52" i="17"/>
  <c r="AA4" i="26"/>
  <c r="Y52" i="17"/>
  <c r="Y39" i="17"/>
  <c r="W54" i="17"/>
  <c r="AA14" i="17"/>
  <c r="AA37" i="17"/>
  <c r="AA67" i="17"/>
  <c r="AA56" i="17"/>
  <c r="AA35" i="17"/>
  <c r="W52" i="17"/>
  <c r="AA66" i="17"/>
  <c r="AA47" i="17"/>
  <c r="AA17" i="17"/>
  <c r="Y37" i="17"/>
  <c r="W14" i="17"/>
  <c r="AA59" i="17"/>
  <c r="AA32" i="17"/>
  <c r="AA41" i="17"/>
  <c r="AA49" i="17"/>
  <c r="AA64" i="17"/>
  <c r="AA13" i="17"/>
  <c r="AA31" i="17"/>
  <c r="AA18" i="17"/>
  <c r="Y14" i="17"/>
  <c r="AA62" i="17"/>
  <c r="AA38" i="17"/>
  <c r="AD11" i="16"/>
  <c r="W56" i="17"/>
  <c r="W13" i="17"/>
  <c r="Y62" i="17"/>
  <c r="W19" i="17"/>
  <c r="Y56" i="17"/>
  <c r="Y31" i="17"/>
  <c r="Y68" i="17"/>
  <c r="W22" i="17"/>
  <c r="W48" i="17"/>
  <c r="W24" i="17"/>
  <c r="W27" i="17"/>
  <c r="Y64" i="17"/>
  <c r="W23" i="17"/>
  <c r="Y55" i="17"/>
  <c r="Y47" i="17"/>
  <c r="Y38" i="17"/>
  <c r="Y21" i="17"/>
  <c r="Y13" i="17"/>
  <c r="W59" i="17"/>
  <c r="W35" i="17"/>
  <c r="Y4" i="26"/>
  <c r="W21" i="17"/>
  <c r="Y61" i="17"/>
  <c r="AB4" i="13"/>
  <c r="W18" i="17"/>
  <c r="W47" i="17"/>
  <c r="O4" i="26"/>
  <c r="Y67" i="17"/>
  <c r="Y60" i="17"/>
  <c r="Y63" i="17"/>
  <c r="W65" i="17"/>
  <c r="Y59" i="17"/>
  <c r="W64" i="17"/>
  <c r="W32" i="17"/>
  <c r="W20" i="17"/>
  <c r="Y51" i="17"/>
  <c r="Y25" i="17"/>
  <c r="W17" i="17"/>
  <c r="W51" i="17"/>
  <c r="Y65" i="17"/>
  <c r="Y50" i="17"/>
  <c r="Y41" i="17"/>
  <c r="Y33" i="17"/>
  <c r="Y24" i="17"/>
  <c r="Y16" i="17"/>
  <c r="W62" i="17"/>
  <c r="AB4" i="26"/>
  <c r="W12" i="17"/>
  <c r="W46" i="17"/>
  <c r="W42" i="17"/>
  <c r="V4" i="26"/>
  <c r="W31" i="17"/>
  <c r="W40" i="17"/>
  <c r="S4" i="26"/>
  <c r="W41" i="17"/>
  <c r="Y19" i="17"/>
  <c r="W67" i="17"/>
  <c r="Y66" i="17"/>
  <c r="W4" i="26"/>
  <c r="W49" i="17"/>
  <c r="Y42" i="17"/>
  <c r="W63" i="17"/>
  <c r="W50" i="17"/>
  <c r="W25" i="17"/>
  <c r="Y49" i="17"/>
  <c r="Y40" i="17"/>
  <c r="W61" i="17"/>
  <c r="W36" i="17"/>
  <c r="X4" i="26"/>
  <c r="W26" i="17"/>
  <c r="AC24" i="17" l="1"/>
  <c r="AC27" i="17"/>
  <c r="AC17" i="17"/>
  <c r="AC25" i="17"/>
  <c r="AC50" i="17"/>
  <c r="AC61" i="17"/>
  <c r="AC45" i="17"/>
  <c r="AC22" i="17"/>
  <c r="AC23" i="17"/>
  <c r="W10" i="17"/>
  <c r="AC54" i="17"/>
  <c r="AC20" i="17"/>
  <c r="AC55" i="17"/>
  <c r="AC48" i="17"/>
  <c r="AC46" i="17"/>
  <c r="AC16" i="17"/>
  <c r="AC68" i="17"/>
  <c r="AC53" i="17"/>
  <c r="AC32" i="17"/>
  <c r="AC35" i="17"/>
  <c r="AC33" i="17"/>
  <c r="AC18" i="17"/>
  <c r="AA10" i="17"/>
  <c r="AA28" i="17"/>
  <c r="AC34" i="17"/>
  <c r="AC65" i="17"/>
  <c r="AC63" i="17"/>
  <c r="AC12" i="17"/>
  <c r="AC40" i="17"/>
  <c r="AC26" i="17"/>
  <c r="AC51" i="17"/>
  <c r="AC39" i="17"/>
  <c r="W43" i="17"/>
  <c r="AC13" i="17"/>
  <c r="Y28" i="17"/>
  <c r="Y57" i="17"/>
  <c r="AC21" i="17"/>
  <c r="AC38" i="17"/>
  <c r="AC31" i="17"/>
  <c r="AC56" i="17"/>
  <c r="AC60" i="17"/>
  <c r="W28" i="17"/>
  <c r="AC52" i="17"/>
  <c r="AC42" i="17"/>
  <c r="AC62" i="17"/>
  <c r="AC64" i="17"/>
  <c r="AA57" i="17"/>
  <c r="Y43" i="17"/>
  <c r="AC49" i="17"/>
  <c r="AA43" i="17"/>
  <c r="AC41" i="17"/>
  <c r="AC15" i="17"/>
  <c r="AC66" i="17"/>
  <c r="AC37" i="17"/>
  <c r="AC19" i="17"/>
  <c r="AC47" i="17"/>
  <c r="AC67" i="17"/>
  <c r="AC59" i="17"/>
  <c r="AC14" i="17"/>
  <c r="W57" i="17"/>
  <c r="Z57" i="17"/>
  <c r="AD57" i="17" s="1"/>
  <c r="Z10" i="17"/>
  <c r="AD10" i="17" s="1"/>
  <c r="X28" i="17"/>
  <c r="Y10" i="17"/>
  <c r="Z43" i="17"/>
  <c r="AD43" i="17" s="1"/>
  <c r="X10" i="17"/>
  <c r="X57" i="17"/>
  <c r="Z28" i="17"/>
  <c r="AD28" i="17" s="1"/>
  <c r="X43" i="17"/>
  <c r="E4" i="13"/>
  <c r="F4" i="13"/>
  <c r="G4" i="13"/>
  <c r="H4" i="13"/>
  <c r="P4" i="13"/>
  <c r="Q4" i="13"/>
  <c r="E5" i="13"/>
  <c r="F5" i="13"/>
  <c r="G5" i="13"/>
  <c r="H5" i="13"/>
  <c r="P5" i="13"/>
  <c r="Q5" i="13"/>
  <c r="C6" i="13"/>
  <c r="D6" i="13"/>
  <c r="E6" i="13"/>
  <c r="F6" i="13"/>
  <c r="G6" i="13"/>
  <c r="H6" i="13"/>
  <c r="I6" i="13"/>
  <c r="J6" i="13"/>
  <c r="K6" i="13"/>
  <c r="L6" i="13"/>
  <c r="M6" i="13"/>
  <c r="N6" i="13"/>
  <c r="O6" i="13"/>
  <c r="P6" i="13"/>
  <c r="Q6" i="13"/>
  <c r="R6" i="13"/>
  <c r="S6" i="13"/>
  <c r="T6" i="13"/>
  <c r="U6" i="13"/>
  <c r="V6" i="13"/>
  <c r="W6" i="13"/>
  <c r="X6" i="13"/>
  <c r="Y6" i="13"/>
  <c r="Z6" i="13"/>
  <c r="AA6" i="13"/>
  <c r="E7" i="13"/>
  <c r="F7" i="13"/>
  <c r="G7" i="13"/>
  <c r="H7" i="13"/>
  <c r="J7" i="13"/>
  <c r="M7" i="13"/>
  <c r="O7" i="13"/>
  <c r="P7" i="13"/>
  <c r="Q7" i="13"/>
  <c r="R7" i="13"/>
  <c r="S7" i="13"/>
  <c r="T7" i="13"/>
  <c r="U7" i="13"/>
  <c r="V7" i="13"/>
  <c r="W7" i="13"/>
  <c r="X7" i="13"/>
  <c r="Y7" i="13"/>
  <c r="Z7" i="13"/>
  <c r="E8" i="13"/>
  <c r="F8" i="13"/>
  <c r="G8" i="13"/>
  <c r="H8" i="13"/>
  <c r="J8" i="13"/>
  <c r="M8" i="13"/>
  <c r="O8" i="13"/>
  <c r="P8" i="13"/>
  <c r="Q8" i="13"/>
  <c r="R8" i="13"/>
  <c r="S8" i="13"/>
  <c r="T8" i="13"/>
  <c r="U8" i="13"/>
  <c r="V8" i="13"/>
  <c r="W8" i="13"/>
  <c r="X8" i="13"/>
  <c r="Y8" i="13"/>
  <c r="Z8" i="13"/>
  <c r="C9" i="13"/>
  <c r="E9" i="13"/>
  <c r="F9" i="13"/>
  <c r="G9" i="13"/>
  <c r="H9" i="13"/>
  <c r="I9" i="13"/>
  <c r="J9" i="13"/>
  <c r="K9" i="13"/>
  <c r="L9" i="13"/>
  <c r="M9" i="13"/>
  <c r="O9" i="13"/>
  <c r="P9" i="13"/>
  <c r="Q9" i="13"/>
  <c r="R9" i="13"/>
  <c r="T9" i="13"/>
  <c r="U9" i="13"/>
  <c r="V9" i="13"/>
  <c r="X9" i="13"/>
  <c r="Y9" i="13"/>
  <c r="Z9" i="13"/>
  <c r="E10" i="13"/>
  <c r="F10" i="13"/>
  <c r="G10" i="13"/>
  <c r="H10" i="13"/>
  <c r="J10" i="13"/>
  <c r="M10" i="13"/>
  <c r="O10" i="13"/>
  <c r="P10" i="13"/>
  <c r="Q10" i="13"/>
  <c r="R10" i="13"/>
  <c r="S10" i="13"/>
  <c r="T10" i="13"/>
  <c r="U10" i="13"/>
  <c r="V10" i="13"/>
  <c r="W10" i="13"/>
  <c r="X10" i="13"/>
  <c r="Y10" i="13"/>
  <c r="Z10" i="13"/>
  <c r="E11" i="13"/>
  <c r="F11" i="13"/>
  <c r="G11" i="13"/>
  <c r="H11" i="13"/>
  <c r="J11" i="13"/>
  <c r="M11" i="13"/>
  <c r="O11" i="13"/>
  <c r="P11" i="13"/>
  <c r="Q11" i="13"/>
  <c r="R11" i="13"/>
  <c r="S11" i="13"/>
  <c r="T11" i="13"/>
  <c r="U11" i="13"/>
  <c r="V11" i="13"/>
  <c r="W11" i="13"/>
  <c r="X11" i="13"/>
  <c r="Y11" i="13"/>
  <c r="Z11" i="13"/>
  <c r="E12" i="13"/>
  <c r="F12" i="13"/>
  <c r="G12" i="13"/>
  <c r="H12" i="13"/>
  <c r="J12" i="13"/>
  <c r="M12" i="13"/>
  <c r="O12" i="13"/>
  <c r="P12" i="13"/>
  <c r="Q12" i="13"/>
  <c r="R12" i="13"/>
  <c r="S12" i="13"/>
  <c r="T12" i="13"/>
  <c r="U12" i="13"/>
  <c r="V12" i="13"/>
  <c r="W12" i="13"/>
  <c r="X12" i="13"/>
  <c r="Y12" i="13"/>
  <c r="Z12" i="13"/>
  <c r="E13" i="13"/>
  <c r="F13" i="13"/>
  <c r="G13" i="13"/>
  <c r="H13" i="13"/>
  <c r="J13" i="13"/>
  <c r="M13" i="13"/>
  <c r="O13" i="13"/>
  <c r="P13" i="13"/>
  <c r="Q13" i="13"/>
  <c r="R13" i="13"/>
  <c r="S13" i="13"/>
  <c r="T13" i="13"/>
  <c r="U13" i="13"/>
  <c r="V13" i="13"/>
  <c r="W13" i="13"/>
  <c r="X13" i="13"/>
  <c r="Y13" i="13"/>
  <c r="Z13" i="13"/>
  <c r="E14" i="13"/>
  <c r="F14" i="13"/>
  <c r="G14" i="13"/>
  <c r="H14" i="13"/>
  <c r="J14" i="13"/>
  <c r="M14" i="13"/>
  <c r="O14" i="13"/>
  <c r="P14" i="13"/>
  <c r="Q14" i="13"/>
  <c r="R14" i="13"/>
  <c r="S14" i="13"/>
  <c r="T14" i="13"/>
  <c r="U14" i="13"/>
  <c r="V14" i="13"/>
  <c r="W14" i="13"/>
  <c r="X14" i="13"/>
  <c r="Y14" i="13"/>
  <c r="Z14" i="13"/>
  <c r="E15" i="13"/>
  <c r="F15" i="13"/>
  <c r="G15" i="13"/>
  <c r="H15" i="13"/>
  <c r="J15" i="13"/>
  <c r="M15" i="13"/>
  <c r="O15" i="13"/>
  <c r="P15" i="13"/>
  <c r="Q15" i="13"/>
  <c r="R15" i="13"/>
  <c r="S15" i="13"/>
  <c r="T15" i="13"/>
  <c r="U15" i="13"/>
  <c r="V15" i="13"/>
  <c r="W15" i="13"/>
  <c r="X15" i="13"/>
  <c r="Y15" i="13"/>
  <c r="Z15" i="13"/>
  <c r="E16" i="13"/>
  <c r="F16" i="13"/>
  <c r="G16" i="13"/>
  <c r="H16" i="13"/>
  <c r="J16" i="13"/>
  <c r="M16" i="13"/>
  <c r="O16" i="13"/>
  <c r="P16" i="13"/>
  <c r="Q16" i="13"/>
  <c r="R16" i="13"/>
  <c r="S16" i="13"/>
  <c r="T16" i="13"/>
  <c r="U16" i="13"/>
  <c r="V16" i="13"/>
  <c r="W16" i="13"/>
  <c r="X16" i="13"/>
  <c r="Y16" i="13"/>
  <c r="Z16" i="13"/>
  <c r="E17" i="13"/>
  <c r="F17" i="13"/>
  <c r="G17" i="13"/>
  <c r="H17" i="13"/>
  <c r="J17" i="13"/>
  <c r="M17" i="13"/>
  <c r="O17" i="13"/>
  <c r="P17" i="13"/>
  <c r="Q17" i="13"/>
  <c r="R17" i="13"/>
  <c r="S17" i="13"/>
  <c r="T17" i="13"/>
  <c r="U17" i="13"/>
  <c r="V17" i="13"/>
  <c r="W17" i="13"/>
  <c r="X17" i="13"/>
  <c r="Y17" i="13"/>
  <c r="Z17" i="13"/>
  <c r="E18" i="13"/>
  <c r="F18" i="13"/>
  <c r="G18" i="13"/>
  <c r="H18" i="13"/>
  <c r="J18" i="13"/>
  <c r="M18" i="13"/>
  <c r="O18" i="13"/>
  <c r="P18" i="13"/>
  <c r="Q18" i="13"/>
  <c r="R18" i="13"/>
  <c r="S18" i="13"/>
  <c r="T18" i="13"/>
  <c r="U18" i="13"/>
  <c r="V18" i="13"/>
  <c r="W18" i="13"/>
  <c r="X18" i="13"/>
  <c r="Y18" i="13"/>
  <c r="Z18" i="13"/>
  <c r="E19" i="13"/>
  <c r="F19" i="13"/>
  <c r="G19" i="13"/>
  <c r="H19" i="13"/>
  <c r="J19" i="13"/>
  <c r="M19" i="13"/>
  <c r="O19" i="13"/>
  <c r="P19" i="13"/>
  <c r="Q19" i="13"/>
  <c r="R19" i="13"/>
  <c r="S19" i="13"/>
  <c r="T19" i="13"/>
  <c r="U19" i="13"/>
  <c r="V19" i="13"/>
  <c r="W19" i="13"/>
  <c r="X19" i="13"/>
  <c r="Y19" i="13"/>
  <c r="Z19" i="13"/>
  <c r="E20" i="13"/>
  <c r="F20" i="13"/>
  <c r="G20" i="13"/>
  <c r="H20" i="13"/>
  <c r="J20" i="13"/>
  <c r="M20" i="13"/>
  <c r="O20" i="13"/>
  <c r="P20" i="13"/>
  <c r="Q20" i="13"/>
  <c r="R20" i="13"/>
  <c r="S20" i="13"/>
  <c r="T20" i="13"/>
  <c r="U20" i="13"/>
  <c r="V20" i="13"/>
  <c r="W20" i="13"/>
  <c r="X20" i="13"/>
  <c r="Y20" i="13"/>
  <c r="Z20" i="13"/>
  <c r="E21" i="13"/>
  <c r="F21" i="13"/>
  <c r="G21" i="13"/>
  <c r="H21" i="13"/>
  <c r="J21" i="13"/>
  <c r="M21" i="13"/>
  <c r="O21" i="13"/>
  <c r="P21" i="13"/>
  <c r="Q21" i="13"/>
  <c r="R21" i="13"/>
  <c r="S21" i="13"/>
  <c r="T21" i="13"/>
  <c r="U21" i="13"/>
  <c r="V21" i="13"/>
  <c r="W21" i="13"/>
  <c r="X21" i="13"/>
  <c r="Y21" i="13"/>
  <c r="Z21" i="13"/>
  <c r="E22" i="13"/>
  <c r="F22" i="13"/>
  <c r="G22" i="13"/>
  <c r="H22" i="13"/>
  <c r="J22" i="13"/>
  <c r="M22" i="13"/>
  <c r="O22" i="13"/>
  <c r="P22" i="13"/>
  <c r="Q22" i="13"/>
  <c r="R22" i="13"/>
  <c r="S22" i="13"/>
  <c r="T22" i="13"/>
  <c r="U22" i="13"/>
  <c r="V22" i="13"/>
  <c r="W22" i="13"/>
  <c r="X22" i="13"/>
  <c r="Y22" i="13"/>
  <c r="Z22" i="13"/>
  <c r="C23" i="13"/>
  <c r="D23" i="13"/>
  <c r="E23" i="13"/>
  <c r="F23" i="13"/>
  <c r="G23" i="13"/>
  <c r="H23" i="13"/>
  <c r="I23" i="13"/>
  <c r="K23" i="13"/>
  <c r="L23" i="13"/>
  <c r="N23" i="13"/>
  <c r="P23" i="13"/>
  <c r="Q23" i="13"/>
  <c r="C24" i="13"/>
  <c r="D24" i="13"/>
  <c r="E24" i="13"/>
  <c r="F24" i="13"/>
  <c r="G24" i="13"/>
  <c r="H24" i="13"/>
  <c r="I24" i="13"/>
  <c r="J24" i="13"/>
  <c r="K24" i="13"/>
  <c r="L24" i="13"/>
  <c r="M24" i="13"/>
  <c r="N24" i="13"/>
  <c r="O24" i="13"/>
  <c r="P24" i="13"/>
  <c r="Q24" i="13"/>
  <c r="R24" i="13"/>
  <c r="S24" i="13"/>
  <c r="T24" i="13"/>
  <c r="U24" i="13"/>
  <c r="V24" i="13"/>
  <c r="W24" i="13"/>
  <c r="X24" i="13"/>
  <c r="Y24" i="13"/>
  <c r="Z24" i="13"/>
  <c r="C25" i="13"/>
  <c r="D25" i="13"/>
  <c r="E25" i="13"/>
  <c r="F25" i="13"/>
  <c r="G25" i="13"/>
  <c r="H25" i="13"/>
  <c r="I25" i="13"/>
  <c r="J25" i="13"/>
  <c r="K25" i="13"/>
  <c r="L25" i="13"/>
  <c r="M25" i="13"/>
  <c r="N25" i="13"/>
  <c r="O25" i="13"/>
  <c r="P25" i="13"/>
  <c r="Q25" i="13"/>
  <c r="R25" i="13"/>
  <c r="S25" i="13"/>
  <c r="T25" i="13"/>
  <c r="U25" i="13"/>
  <c r="V25" i="13"/>
  <c r="W25" i="13"/>
  <c r="X25" i="13"/>
  <c r="Y25" i="13"/>
  <c r="Z25" i="13"/>
  <c r="C26" i="13"/>
  <c r="D26" i="13"/>
  <c r="E26" i="13"/>
  <c r="F26" i="13"/>
  <c r="G26" i="13"/>
  <c r="H26" i="13"/>
  <c r="I26" i="13"/>
  <c r="J26" i="13"/>
  <c r="K26" i="13"/>
  <c r="L26" i="13"/>
  <c r="M26" i="13"/>
  <c r="N26" i="13"/>
  <c r="O26" i="13"/>
  <c r="P26" i="13"/>
  <c r="Q26" i="13"/>
  <c r="R26" i="13"/>
  <c r="S26" i="13"/>
  <c r="T26" i="13"/>
  <c r="U26" i="13"/>
  <c r="V26" i="13"/>
  <c r="W26" i="13"/>
  <c r="X26" i="13"/>
  <c r="Y26" i="13"/>
  <c r="Z26" i="13"/>
  <c r="C27" i="13"/>
  <c r="D27" i="13"/>
  <c r="E27" i="13"/>
  <c r="F27" i="13"/>
  <c r="G27" i="13"/>
  <c r="H27" i="13"/>
  <c r="I27" i="13"/>
  <c r="J27" i="13"/>
  <c r="K27" i="13"/>
  <c r="L27" i="13"/>
  <c r="M27" i="13"/>
  <c r="N27" i="13"/>
  <c r="O27" i="13"/>
  <c r="P27" i="13"/>
  <c r="Q27" i="13"/>
  <c r="R27" i="13"/>
  <c r="S27" i="13"/>
  <c r="T27" i="13"/>
  <c r="U27" i="13"/>
  <c r="V27" i="13"/>
  <c r="W27" i="13"/>
  <c r="X27" i="13"/>
  <c r="Y27" i="13"/>
  <c r="Z27" i="13"/>
  <c r="C28" i="13"/>
  <c r="D28" i="13"/>
  <c r="E28" i="13"/>
  <c r="F28" i="13"/>
  <c r="G28" i="13"/>
  <c r="H28" i="13"/>
  <c r="I28" i="13"/>
  <c r="J28" i="13"/>
  <c r="K28" i="13"/>
  <c r="L28" i="13"/>
  <c r="M28" i="13"/>
  <c r="N28" i="13"/>
  <c r="O28" i="13"/>
  <c r="P28" i="13"/>
  <c r="Q28" i="13"/>
  <c r="R28" i="13"/>
  <c r="S28" i="13"/>
  <c r="T28" i="13"/>
  <c r="U28" i="13"/>
  <c r="V28" i="13"/>
  <c r="W28" i="13"/>
  <c r="X28" i="13"/>
  <c r="Y28" i="13"/>
  <c r="Z28" i="13"/>
  <c r="C29" i="13"/>
  <c r="D29" i="13"/>
  <c r="E29" i="13"/>
  <c r="F29" i="13"/>
  <c r="G29" i="13"/>
  <c r="H29" i="13"/>
  <c r="I29" i="13"/>
  <c r="J29" i="13"/>
  <c r="K29" i="13"/>
  <c r="L29" i="13"/>
  <c r="M29" i="13"/>
  <c r="N29" i="13"/>
  <c r="O29" i="13"/>
  <c r="P29" i="13"/>
  <c r="Q29" i="13"/>
  <c r="R29" i="13"/>
  <c r="S29" i="13"/>
  <c r="T29" i="13"/>
  <c r="U29" i="13"/>
  <c r="V29" i="13"/>
  <c r="W29" i="13"/>
  <c r="X29" i="13"/>
  <c r="Y29" i="13"/>
  <c r="Z29" i="13"/>
  <c r="C30" i="13"/>
  <c r="D30" i="13"/>
  <c r="E30" i="13"/>
  <c r="F30" i="13"/>
  <c r="G30" i="13"/>
  <c r="H30" i="13"/>
  <c r="I30" i="13"/>
  <c r="J30" i="13"/>
  <c r="K30" i="13"/>
  <c r="L30" i="13"/>
  <c r="M30" i="13"/>
  <c r="N30" i="13"/>
  <c r="O30" i="13"/>
  <c r="P30" i="13"/>
  <c r="Q30" i="13"/>
  <c r="R30" i="13"/>
  <c r="S30" i="13"/>
  <c r="T30" i="13"/>
  <c r="U30" i="13"/>
  <c r="V30" i="13"/>
  <c r="W30" i="13"/>
  <c r="X30" i="13"/>
  <c r="Y30" i="13"/>
  <c r="Z30" i="13"/>
  <c r="C31" i="13"/>
  <c r="D31" i="13"/>
  <c r="E31" i="13"/>
  <c r="F31" i="13"/>
  <c r="G31" i="13"/>
  <c r="H31" i="13"/>
  <c r="I31" i="13"/>
  <c r="J31" i="13"/>
  <c r="K31" i="13"/>
  <c r="L31" i="13"/>
  <c r="M31" i="13"/>
  <c r="N31" i="13"/>
  <c r="O31" i="13"/>
  <c r="P31" i="13"/>
  <c r="Q31" i="13"/>
  <c r="R31" i="13"/>
  <c r="S31" i="13"/>
  <c r="T31" i="13"/>
  <c r="U31" i="13"/>
  <c r="V31" i="13"/>
  <c r="W31" i="13"/>
  <c r="X31" i="13"/>
  <c r="Y31" i="13"/>
  <c r="Z31" i="13"/>
  <c r="C32" i="13"/>
  <c r="D32" i="13"/>
  <c r="E32" i="13"/>
  <c r="F32" i="13"/>
  <c r="G32" i="13"/>
  <c r="H32" i="13"/>
  <c r="I32" i="13"/>
  <c r="J32" i="13"/>
  <c r="K32" i="13"/>
  <c r="L32" i="13"/>
  <c r="M32" i="13"/>
  <c r="N32" i="13"/>
  <c r="O32" i="13"/>
  <c r="P32" i="13"/>
  <c r="Q32" i="13"/>
  <c r="R32" i="13"/>
  <c r="S32" i="13"/>
  <c r="T32" i="13"/>
  <c r="U32" i="13"/>
  <c r="V32" i="13"/>
  <c r="W32" i="13"/>
  <c r="X32" i="13"/>
  <c r="Y32" i="13"/>
  <c r="Z32" i="13"/>
  <c r="C33" i="13"/>
  <c r="D33" i="13"/>
  <c r="E33" i="13"/>
  <c r="F33" i="13"/>
  <c r="G33" i="13"/>
  <c r="H33" i="13"/>
  <c r="I33" i="13"/>
  <c r="J33" i="13"/>
  <c r="K33" i="13"/>
  <c r="L33" i="13"/>
  <c r="M33" i="13"/>
  <c r="N33" i="13"/>
  <c r="O33" i="13"/>
  <c r="P33" i="13"/>
  <c r="Q33" i="13"/>
  <c r="R33" i="13"/>
  <c r="S33" i="13"/>
  <c r="T33" i="13"/>
  <c r="U33" i="13"/>
  <c r="V33" i="13"/>
  <c r="W33" i="13"/>
  <c r="X33" i="13"/>
  <c r="Y33" i="13"/>
  <c r="Z33" i="13"/>
  <c r="C34" i="13"/>
  <c r="D34" i="13"/>
  <c r="E34" i="13"/>
  <c r="F34" i="13"/>
  <c r="G34" i="13"/>
  <c r="H34" i="13"/>
  <c r="I34" i="13"/>
  <c r="J34" i="13"/>
  <c r="K34" i="13"/>
  <c r="L34" i="13"/>
  <c r="M34" i="13"/>
  <c r="N34" i="13"/>
  <c r="O34" i="13"/>
  <c r="P34" i="13"/>
  <c r="Q34" i="13"/>
  <c r="R34" i="13"/>
  <c r="S34" i="13"/>
  <c r="T34" i="13"/>
  <c r="U34" i="13"/>
  <c r="V34" i="13"/>
  <c r="W34" i="13"/>
  <c r="X34" i="13"/>
  <c r="Y34" i="13"/>
  <c r="Z34" i="13"/>
  <c r="C35" i="13"/>
  <c r="D35" i="13"/>
  <c r="E35" i="13"/>
  <c r="F35" i="13"/>
  <c r="G35" i="13"/>
  <c r="H35" i="13"/>
  <c r="I35" i="13"/>
  <c r="J35" i="13"/>
  <c r="K35" i="13"/>
  <c r="L35" i="13"/>
  <c r="M35" i="13"/>
  <c r="N35" i="13"/>
  <c r="O35" i="13"/>
  <c r="P35" i="13"/>
  <c r="Q35" i="13"/>
  <c r="R35" i="13"/>
  <c r="S35" i="13"/>
  <c r="T35" i="13"/>
  <c r="U35" i="13"/>
  <c r="V35" i="13"/>
  <c r="W35" i="13"/>
  <c r="X35" i="13"/>
  <c r="Y35" i="13"/>
  <c r="Z35" i="13"/>
  <c r="C36" i="13"/>
  <c r="D36" i="13"/>
  <c r="E36" i="13"/>
  <c r="F36" i="13"/>
  <c r="G36" i="13"/>
  <c r="H36" i="13"/>
  <c r="I36" i="13"/>
  <c r="J36" i="13"/>
  <c r="K36" i="13"/>
  <c r="L36" i="13"/>
  <c r="M36" i="13"/>
  <c r="N36" i="13"/>
  <c r="O36" i="13"/>
  <c r="P36" i="13"/>
  <c r="Q36" i="13"/>
  <c r="R36" i="13"/>
  <c r="S36" i="13"/>
  <c r="T36" i="13"/>
  <c r="U36" i="13"/>
  <c r="V36" i="13"/>
  <c r="W36" i="13"/>
  <c r="X36" i="13"/>
  <c r="Y36" i="13"/>
  <c r="Z36" i="13"/>
  <c r="C37" i="13"/>
  <c r="D37" i="13"/>
  <c r="E37" i="13"/>
  <c r="F37" i="13"/>
  <c r="G37" i="13"/>
  <c r="H37" i="13"/>
  <c r="I37" i="13"/>
  <c r="J37" i="13"/>
  <c r="K37" i="13"/>
  <c r="L37" i="13"/>
  <c r="M37" i="13"/>
  <c r="N37" i="13"/>
  <c r="O37" i="13"/>
  <c r="P37" i="13"/>
  <c r="Q37" i="13"/>
  <c r="R37" i="13"/>
  <c r="S37" i="13"/>
  <c r="T37" i="13"/>
  <c r="U37" i="13"/>
  <c r="V37" i="13"/>
  <c r="W37" i="13"/>
  <c r="X37" i="13"/>
  <c r="Y37" i="13"/>
  <c r="Z37" i="13"/>
  <c r="C38" i="13"/>
  <c r="D38" i="13"/>
  <c r="E38" i="13"/>
  <c r="F38" i="13"/>
  <c r="G38" i="13"/>
  <c r="H38" i="13"/>
  <c r="I38" i="13"/>
  <c r="K38" i="13"/>
  <c r="L38" i="13"/>
  <c r="N38" i="13"/>
  <c r="P38" i="13"/>
  <c r="Q38" i="13"/>
  <c r="C39" i="13"/>
  <c r="D39" i="13"/>
  <c r="E39" i="13"/>
  <c r="F39" i="13"/>
  <c r="G39" i="13"/>
  <c r="H39" i="13"/>
  <c r="I39" i="13"/>
  <c r="J39" i="13"/>
  <c r="K39" i="13"/>
  <c r="L39" i="13"/>
  <c r="M39" i="13"/>
  <c r="N39" i="13"/>
  <c r="O39" i="13"/>
  <c r="P39" i="13"/>
  <c r="Q39" i="13"/>
  <c r="R39" i="13"/>
  <c r="S39" i="13"/>
  <c r="T39" i="13"/>
  <c r="U39" i="13"/>
  <c r="V39" i="13"/>
  <c r="W39" i="13"/>
  <c r="X39" i="13"/>
  <c r="Y39" i="13"/>
  <c r="Z39" i="13"/>
  <c r="C40" i="13"/>
  <c r="D40" i="13"/>
  <c r="E40" i="13"/>
  <c r="F40" i="13"/>
  <c r="G40" i="13"/>
  <c r="H40" i="13"/>
  <c r="I40" i="13"/>
  <c r="J40" i="13"/>
  <c r="K40" i="13"/>
  <c r="L40" i="13"/>
  <c r="M40" i="13"/>
  <c r="N40" i="13"/>
  <c r="O40" i="13"/>
  <c r="P40" i="13"/>
  <c r="Q40" i="13"/>
  <c r="R40" i="13"/>
  <c r="S40" i="13"/>
  <c r="T40" i="13"/>
  <c r="U40" i="13"/>
  <c r="V40" i="13"/>
  <c r="W40" i="13"/>
  <c r="X40" i="13"/>
  <c r="Y40" i="13"/>
  <c r="Z40" i="13"/>
  <c r="C41" i="13"/>
  <c r="D41" i="13"/>
  <c r="E41" i="13"/>
  <c r="F41" i="13"/>
  <c r="G41" i="13"/>
  <c r="H41" i="13"/>
  <c r="I41" i="13"/>
  <c r="J41" i="13"/>
  <c r="K41" i="13"/>
  <c r="L41" i="13"/>
  <c r="M41" i="13"/>
  <c r="N41" i="13"/>
  <c r="O41" i="13"/>
  <c r="P41" i="13"/>
  <c r="Q41" i="13"/>
  <c r="R41" i="13"/>
  <c r="S41" i="13"/>
  <c r="T41" i="13"/>
  <c r="U41" i="13"/>
  <c r="V41" i="13"/>
  <c r="W41" i="13"/>
  <c r="X41" i="13"/>
  <c r="Y41" i="13"/>
  <c r="Z41" i="13"/>
  <c r="C42" i="13"/>
  <c r="D42" i="13"/>
  <c r="E42" i="13"/>
  <c r="F42" i="13"/>
  <c r="G42" i="13"/>
  <c r="H42" i="13"/>
  <c r="I42" i="13"/>
  <c r="J42" i="13"/>
  <c r="K42" i="13"/>
  <c r="L42" i="13"/>
  <c r="M42" i="13"/>
  <c r="N42" i="13"/>
  <c r="O42" i="13"/>
  <c r="P42" i="13"/>
  <c r="Q42" i="13"/>
  <c r="R42" i="13"/>
  <c r="S42" i="13"/>
  <c r="T42" i="13"/>
  <c r="U42" i="13"/>
  <c r="V42" i="13"/>
  <c r="W42" i="13"/>
  <c r="X42" i="13"/>
  <c r="Y42" i="13"/>
  <c r="Z42" i="13"/>
  <c r="C43" i="13"/>
  <c r="D43" i="13"/>
  <c r="E43" i="13"/>
  <c r="F43" i="13"/>
  <c r="G43" i="13"/>
  <c r="H43" i="13"/>
  <c r="I43" i="13"/>
  <c r="J43" i="13"/>
  <c r="K43" i="13"/>
  <c r="L43" i="13"/>
  <c r="M43" i="13"/>
  <c r="N43" i="13"/>
  <c r="O43" i="13"/>
  <c r="P43" i="13"/>
  <c r="Q43" i="13"/>
  <c r="R43" i="13"/>
  <c r="S43" i="13"/>
  <c r="T43" i="13"/>
  <c r="U43" i="13"/>
  <c r="V43" i="13"/>
  <c r="W43" i="13"/>
  <c r="X43" i="13"/>
  <c r="Y43" i="13"/>
  <c r="Z43" i="13"/>
  <c r="C44" i="13"/>
  <c r="D44" i="13"/>
  <c r="E44" i="13"/>
  <c r="F44" i="13"/>
  <c r="G44" i="13"/>
  <c r="H44" i="13"/>
  <c r="I44" i="13"/>
  <c r="J44" i="13"/>
  <c r="K44" i="13"/>
  <c r="L44" i="13"/>
  <c r="M44" i="13"/>
  <c r="N44" i="13"/>
  <c r="O44" i="13"/>
  <c r="P44" i="13"/>
  <c r="Q44" i="13"/>
  <c r="R44" i="13"/>
  <c r="S44" i="13"/>
  <c r="T44" i="13"/>
  <c r="U44" i="13"/>
  <c r="V44" i="13"/>
  <c r="W44" i="13"/>
  <c r="X44" i="13"/>
  <c r="Y44" i="13"/>
  <c r="Z44" i="13"/>
  <c r="C45" i="13"/>
  <c r="D45" i="13"/>
  <c r="E45" i="13"/>
  <c r="F45" i="13"/>
  <c r="G45" i="13"/>
  <c r="H45" i="13"/>
  <c r="I45" i="13"/>
  <c r="J45" i="13"/>
  <c r="K45" i="13"/>
  <c r="L45" i="13"/>
  <c r="M45" i="13"/>
  <c r="N45" i="13"/>
  <c r="O45" i="13"/>
  <c r="P45" i="13"/>
  <c r="Q45" i="13"/>
  <c r="R45" i="13"/>
  <c r="S45" i="13"/>
  <c r="T45" i="13"/>
  <c r="U45" i="13"/>
  <c r="V45" i="13"/>
  <c r="W45" i="13"/>
  <c r="X45" i="13"/>
  <c r="Y45" i="13"/>
  <c r="Z45" i="13"/>
  <c r="C46" i="13"/>
  <c r="D46" i="13"/>
  <c r="E46" i="13"/>
  <c r="F46" i="13"/>
  <c r="G46" i="13"/>
  <c r="H46" i="13"/>
  <c r="I46" i="13"/>
  <c r="J46" i="13"/>
  <c r="K46" i="13"/>
  <c r="L46" i="13"/>
  <c r="M46" i="13"/>
  <c r="N46" i="13"/>
  <c r="O46" i="13"/>
  <c r="P46" i="13"/>
  <c r="Q46" i="13"/>
  <c r="R46" i="13"/>
  <c r="S46" i="13"/>
  <c r="T46" i="13"/>
  <c r="U46" i="13"/>
  <c r="V46" i="13"/>
  <c r="W46" i="13"/>
  <c r="X46" i="13"/>
  <c r="Y46" i="13"/>
  <c r="Z46" i="13"/>
  <c r="C47" i="13"/>
  <c r="D47" i="13"/>
  <c r="E47" i="13"/>
  <c r="F47" i="13"/>
  <c r="G47" i="13"/>
  <c r="H47" i="13"/>
  <c r="I47" i="13"/>
  <c r="J47" i="13"/>
  <c r="K47" i="13"/>
  <c r="L47" i="13"/>
  <c r="M47" i="13"/>
  <c r="N47" i="13"/>
  <c r="O47" i="13"/>
  <c r="P47" i="13"/>
  <c r="Q47" i="13"/>
  <c r="R47" i="13"/>
  <c r="S47" i="13"/>
  <c r="T47" i="13"/>
  <c r="U47" i="13"/>
  <c r="V47" i="13"/>
  <c r="W47" i="13"/>
  <c r="X47" i="13"/>
  <c r="Y47" i="13"/>
  <c r="Z47" i="13"/>
  <c r="C48" i="13"/>
  <c r="D48" i="13"/>
  <c r="E48" i="13"/>
  <c r="F48" i="13"/>
  <c r="G48" i="13"/>
  <c r="H48" i="13"/>
  <c r="I48" i="13"/>
  <c r="J48" i="13"/>
  <c r="K48" i="13"/>
  <c r="L48" i="13"/>
  <c r="M48" i="13"/>
  <c r="N48" i="13"/>
  <c r="O48" i="13"/>
  <c r="P48" i="13"/>
  <c r="Q48" i="13"/>
  <c r="R48" i="13"/>
  <c r="S48" i="13"/>
  <c r="T48" i="13"/>
  <c r="U48" i="13"/>
  <c r="V48" i="13"/>
  <c r="W48" i="13"/>
  <c r="X48" i="13"/>
  <c r="Y48" i="13"/>
  <c r="Z48" i="13"/>
  <c r="C49" i="13"/>
  <c r="D49" i="13"/>
  <c r="E49" i="13"/>
  <c r="F49" i="13"/>
  <c r="G49" i="13"/>
  <c r="H49" i="13"/>
  <c r="I49" i="13"/>
  <c r="J49" i="13"/>
  <c r="K49" i="13"/>
  <c r="L49" i="13"/>
  <c r="M49" i="13"/>
  <c r="N49" i="13"/>
  <c r="O49" i="13"/>
  <c r="P49" i="13"/>
  <c r="Q49" i="13"/>
  <c r="R49" i="13"/>
  <c r="S49" i="13"/>
  <c r="T49" i="13"/>
  <c r="U49" i="13"/>
  <c r="V49" i="13"/>
  <c r="W49" i="13"/>
  <c r="X49" i="13"/>
  <c r="Y49" i="13"/>
  <c r="Z49" i="13"/>
  <c r="C50" i="13"/>
  <c r="D50" i="13"/>
  <c r="E50" i="13"/>
  <c r="F50" i="13"/>
  <c r="G50" i="13"/>
  <c r="H50" i="13"/>
  <c r="I50" i="13"/>
  <c r="J50" i="13"/>
  <c r="K50" i="13"/>
  <c r="L50" i="13"/>
  <c r="M50" i="13"/>
  <c r="N50" i="13"/>
  <c r="O50" i="13"/>
  <c r="P50" i="13"/>
  <c r="Q50" i="13"/>
  <c r="R50" i="13"/>
  <c r="S50" i="13"/>
  <c r="T50" i="13"/>
  <c r="U50" i="13"/>
  <c r="V50" i="13"/>
  <c r="W50" i="13"/>
  <c r="X50" i="13"/>
  <c r="Y50" i="13"/>
  <c r="Z50" i="13"/>
  <c r="C51" i="13"/>
  <c r="D51" i="13"/>
  <c r="E51" i="13"/>
  <c r="F51" i="13"/>
  <c r="G51" i="13"/>
  <c r="H51" i="13"/>
  <c r="I51" i="13"/>
  <c r="J51" i="13"/>
  <c r="K51" i="13"/>
  <c r="L51" i="13"/>
  <c r="M51" i="13"/>
  <c r="N51" i="13"/>
  <c r="O51" i="13"/>
  <c r="P51" i="13"/>
  <c r="Q51" i="13"/>
  <c r="R51" i="13"/>
  <c r="S51" i="13"/>
  <c r="T51" i="13"/>
  <c r="U51" i="13"/>
  <c r="V51" i="13"/>
  <c r="W51" i="13"/>
  <c r="X51" i="13"/>
  <c r="Y51" i="13"/>
  <c r="Z51" i="13"/>
  <c r="C52" i="13"/>
  <c r="D52" i="13"/>
  <c r="E52" i="13"/>
  <c r="F52" i="13"/>
  <c r="G52" i="13"/>
  <c r="H52" i="13"/>
  <c r="I52" i="13"/>
  <c r="K52" i="13"/>
  <c r="L52" i="13"/>
  <c r="N52" i="13"/>
  <c r="P52" i="13"/>
  <c r="Q52" i="13"/>
  <c r="C53" i="13"/>
  <c r="D53" i="13"/>
  <c r="E53" i="13"/>
  <c r="F53" i="13"/>
  <c r="G53" i="13"/>
  <c r="H53" i="13"/>
  <c r="I53" i="13"/>
  <c r="J53" i="13"/>
  <c r="K53" i="13"/>
  <c r="L53" i="13"/>
  <c r="M53" i="13"/>
  <c r="N53" i="13"/>
  <c r="O53" i="13"/>
  <c r="P53" i="13"/>
  <c r="Q53" i="13"/>
  <c r="R53" i="13"/>
  <c r="S53" i="13"/>
  <c r="T53" i="13"/>
  <c r="U53" i="13"/>
  <c r="V53" i="13"/>
  <c r="W53" i="13"/>
  <c r="X53" i="13"/>
  <c r="Y53" i="13"/>
  <c r="Z53" i="13"/>
  <c r="C54" i="13"/>
  <c r="D54" i="13"/>
  <c r="E54" i="13"/>
  <c r="F54" i="13"/>
  <c r="G54" i="13"/>
  <c r="H54" i="13"/>
  <c r="I54" i="13"/>
  <c r="J54" i="13"/>
  <c r="K54" i="13"/>
  <c r="L54" i="13"/>
  <c r="M54" i="13"/>
  <c r="N54" i="13"/>
  <c r="O54" i="13"/>
  <c r="P54" i="13"/>
  <c r="Q54" i="13"/>
  <c r="R54" i="13"/>
  <c r="S54" i="13"/>
  <c r="T54" i="13"/>
  <c r="U54" i="13"/>
  <c r="V54" i="13"/>
  <c r="W54" i="13"/>
  <c r="X54" i="13"/>
  <c r="Y54" i="13"/>
  <c r="Z54" i="13"/>
  <c r="C55" i="13"/>
  <c r="D55" i="13"/>
  <c r="E55" i="13"/>
  <c r="F55" i="13"/>
  <c r="G55" i="13"/>
  <c r="H55" i="13"/>
  <c r="I55" i="13"/>
  <c r="J55" i="13"/>
  <c r="K55" i="13"/>
  <c r="L55" i="13"/>
  <c r="M55" i="13"/>
  <c r="N55" i="13"/>
  <c r="O55" i="13"/>
  <c r="P55" i="13"/>
  <c r="Q55" i="13"/>
  <c r="R55" i="13"/>
  <c r="S55" i="13"/>
  <c r="T55" i="13"/>
  <c r="U55" i="13"/>
  <c r="V55" i="13"/>
  <c r="W55" i="13"/>
  <c r="X55" i="13"/>
  <c r="Y55" i="13"/>
  <c r="Z55" i="13"/>
  <c r="C56" i="13"/>
  <c r="D56" i="13"/>
  <c r="E56" i="13"/>
  <c r="F56" i="13"/>
  <c r="G56" i="13"/>
  <c r="H56" i="13"/>
  <c r="I56" i="13"/>
  <c r="J56" i="13"/>
  <c r="K56" i="13"/>
  <c r="L56" i="13"/>
  <c r="M56" i="13"/>
  <c r="N56" i="13"/>
  <c r="O56" i="13"/>
  <c r="P56" i="13"/>
  <c r="Q56" i="13"/>
  <c r="R56" i="13"/>
  <c r="S56" i="13"/>
  <c r="T56" i="13"/>
  <c r="U56" i="13"/>
  <c r="V56" i="13"/>
  <c r="W56" i="13"/>
  <c r="X56" i="13"/>
  <c r="Y56" i="13"/>
  <c r="Z56" i="13"/>
  <c r="C57" i="13"/>
  <c r="D57" i="13"/>
  <c r="E57" i="13"/>
  <c r="F57" i="13"/>
  <c r="G57" i="13"/>
  <c r="H57" i="13"/>
  <c r="I57" i="13"/>
  <c r="J57" i="13"/>
  <c r="K57" i="13"/>
  <c r="L57" i="13"/>
  <c r="M57" i="13"/>
  <c r="N57" i="13"/>
  <c r="O57" i="13"/>
  <c r="P57" i="13"/>
  <c r="Q57" i="13"/>
  <c r="R57" i="13"/>
  <c r="S57" i="13"/>
  <c r="T57" i="13"/>
  <c r="U57" i="13"/>
  <c r="V57" i="13"/>
  <c r="W57" i="13"/>
  <c r="X57" i="13"/>
  <c r="Y57" i="13"/>
  <c r="Z57" i="13"/>
  <c r="C58" i="13"/>
  <c r="D58" i="13"/>
  <c r="E58" i="13"/>
  <c r="F58" i="13"/>
  <c r="G58" i="13"/>
  <c r="H58" i="13"/>
  <c r="I58" i="13"/>
  <c r="J58" i="13"/>
  <c r="K58" i="13"/>
  <c r="L58" i="13"/>
  <c r="M58" i="13"/>
  <c r="N58" i="13"/>
  <c r="O58" i="13"/>
  <c r="P58" i="13"/>
  <c r="Q58" i="13"/>
  <c r="R58" i="13"/>
  <c r="S58" i="13"/>
  <c r="T58" i="13"/>
  <c r="U58" i="13"/>
  <c r="V58" i="13"/>
  <c r="W58" i="13"/>
  <c r="X58" i="13"/>
  <c r="Y58" i="13"/>
  <c r="Z58" i="13"/>
  <c r="C59" i="13"/>
  <c r="D59" i="13"/>
  <c r="E59" i="13"/>
  <c r="F59" i="13"/>
  <c r="G59" i="13"/>
  <c r="H59" i="13"/>
  <c r="I59" i="13"/>
  <c r="J59" i="13"/>
  <c r="K59" i="13"/>
  <c r="L59" i="13"/>
  <c r="M59" i="13"/>
  <c r="N59" i="13"/>
  <c r="O59" i="13"/>
  <c r="P59" i="13"/>
  <c r="Q59" i="13"/>
  <c r="R59" i="13"/>
  <c r="S59" i="13"/>
  <c r="T59" i="13"/>
  <c r="U59" i="13"/>
  <c r="V59" i="13"/>
  <c r="W59" i="13"/>
  <c r="X59" i="13"/>
  <c r="Y59" i="13"/>
  <c r="Z59" i="13"/>
  <c r="C60" i="13"/>
  <c r="D60" i="13"/>
  <c r="E60" i="13"/>
  <c r="F60" i="13"/>
  <c r="G60" i="13"/>
  <c r="H60" i="13"/>
  <c r="I60" i="13"/>
  <c r="J60" i="13"/>
  <c r="K60" i="13"/>
  <c r="L60" i="13"/>
  <c r="M60" i="13"/>
  <c r="N60" i="13"/>
  <c r="O60" i="13"/>
  <c r="P60" i="13"/>
  <c r="Q60" i="13"/>
  <c r="R60" i="13"/>
  <c r="S60" i="13"/>
  <c r="T60" i="13"/>
  <c r="U60" i="13"/>
  <c r="V60" i="13"/>
  <c r="W60" i="13"/>
  <c r="X60" i="13"/>
  <c r="Y60" i="13"/>
  <c r="Z60" i="13"/>
  <c r="C61" i="13"/>
  <c r="D61" i="13"/>
  <c r="E61" i="13"/>
  <c r="F61" i="13"/>
  <c r="G61" i="13"/>
  <c r="H61" i="13"/>
  <c r="I61" i="13"/>
  <c r="J61" i="13"/>
  <c r="K61" i="13"/>
  <c r="L61" i="13"/>
  <c r="M61" i="13"/>
  <c r="N61" i="13"/>
  <c r="O61" i="13"/>
  <c r="P61" i="13"/>
  <c r="Q61" i="13"/>
  <c r="R61" i="13"/>
  <c r="S61" i="13"/>
  <c r="T61" i="13"/>
  <c r="U61" i="13"/>
  <c r="V61" i="13"/>
  <c r="W61" i="13"/>
  <c r="X61" i="13"/>
  <c r="Y61" i="13"/>
  <c r="Z61" i="13"/>
  <c r="C62" i="13"/>
  <c r="D62" i="13"/>
  <c r="E62" i="13"/>
  <c r="F62" i="13"/>
  <c r="G62" i="13"/>
  <c r="H62" i="13"/>
  <c r="I62" i="13"/>
  <c r="J62" i="13"/>
  <c r="K62" i="13"/>
  <c r="L62" i="13"/>
  <c r="M62" i="13"/>
  <c r="N62" i="13"/>
  <c r="O62" i="13"/>
  <c r="P62" i="13"/>
  <c r="Q62" i="13"/>
  <c r="R62" i="13"/>
  <c r="S62" i="13"/>
  <c r="T62" i="13"/>
  <c r="U62" i="13"/>
  <c r="V62" i="13"/>
  <c r="W62" i="13"/>
  <c r="X62" i="13"/>
  <c r="Y62" i="13"/>
  <c r="Z62" i="13"/>
  <c r="C63" i="13"/>
  <c r="D63" i="13"/>
  <c r="E63" i="13"/>
  <c r="F63" i="13"/>
  <c r="G63" i="13"/>
  <c r="H63" i="13"/>
  <c r="I63" i="13"/>
  <c r="J63" i="13"/>
  <c r="K63" i="13"/>
  <c r="L63" i="13"/>
  <c r="M63" i="13"/>
  <c r="N63" i="13"/>
  <c r="O63" i="13"/>
  <c r="P63" i="13"/>
  <c r="Q63" i="13"/>
  <c r="R63" i="13"/>
  <c r="S63" i="13"/>
  <c r="T63" i="13"/>
  <c r="U63" i="13"/>
  <c r="V63" i="13"/>
  <c r="W63" i="13"/>
  <c r="X63" i="13"/>
  <c r="Y63" i="13"/>
  <c r="Z63"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9" i="13"/>
  <c r="B6" i="13"/>
  <c r="D4" i="1"/>
  <c r="C4" i="1"/>
  <c r="B4" i="1"/>
  <c r="Z5" i="1"/>
  <c r="Y5" i="1"/>
  <c r="X5" i="1"/>
  <c r="W5" i="1"/>
  <c r="V5" i="1"/>
  <c r="U5" i="1"/>
  <c r="T5" i="1"/>
  <c r="S5" i="1"/>
  <c r="R5" i="1"/>
  <c r="O5" i="1"/>
  <c r="M5" i="1"/>
  <c r="J5" i="1"/>
  <c r="Z23" i="1"/>
  <c r="Y23" i="1"/>
  <c r="X23" i="1"/>
  <c r="W23" i="1"/>
  <c r="V23" i="1"/>
  <c r="U23" i="1"/>
  <c r="T23" i="1"/>
  <c r="S23" i="1"/>
  <c r="R23" i="1"/>
  <c r="O23" i="1"/>
  <c r="M23" i="1"/>
  <c r="J23" i="1"/>
  <c r="Z38" i="1"/>
  <c r="Y38" i="1"/>
  <c r="X38" i="1"/>
  <c r="W38" i="1"/>
  <c r="V38" i="1"/>
  <c r="U38" i="1"/>
  <c r="T38" i="1"/>
  <c r="S38" i="1"/>
  <c r="R38" i="1"/>
  <c r="O38" i="1"/>
  <c r="M38" i="1"/>
  <c r="J38" i="1"/>
  <c r="Z52" i="1"/>
  <c r="Y52" i="1"/>
  <c r="X52" i="1"/>
  <c r="W52" i="1"/>
  <c r="V52" i="1"/>
  <c r="U52" i="1"/>
  <c r="T52" i="1"/>
  <c r="S52" i="1"/>
  <c r="R52" i="1"/>
  <c r="O52" i="1"/>
  <c r="M52" i="1"/>
  <c r="J52" i="1"/>
  <c r="AA5" i="2"/>
  <c r="Z5" i="2"/>
  <c r="Y5" i="2"/>
  <c r="X5" i="2"/>
  <c r="W5" i="2"/>
  <c r="V5" i="2"/>
  <c r="U5" i="2"/>
  <c r="T5" i="2"/>
  <c r="S5" i="2"/>
  <c r="R5" i="2"/>
  <c r="O5" i="2"/>
  <c r="M5" i="2"/>
  <c r="J5" i="2"/>
  <c r="AA23" i="2"/>
  <c r="Z23" i="2"/>
  <c r="Y23" i="2"/>
  <c r="X23" i="2"/>
  <c r="W23" i="2"/>
  <c r="V23" i="2"/>
  <c r="U23" i="2"/>
  <c r="T23" i="2"/>
  <c r="S23" i="2"/>
  <c r="R23" i="2"/>
  <c r="O23" i="2"/>
  <c r="M23" i="2"/>
  <c r="J23" i="2"/>
  <c r="AA38" i="2"/>
  <c r="Z38" i="2"/>
  <c r="Y38" i="2"/>
  <c r="X38" i="2"/>
  <c r="W38" i="2"/>
  <c r="V38" i="2"/>
  <c r="U38" i="2"/>
  <c r="T38" i="2"/>
  <c r="S38" i="2"/>
  <c r="R38" i="2"/>
  <c r="O38" i="2"/>
  <c r="M38" i="2"/>
  <c r="J38" i="2"/>
  <c r="O52" i="2"/>
  <c r="AA52" i="2"/>
  <c r="Z52" i="2"/>
  <c r="Y52" i="2"/>
  <c r="X52" i="2"/>
  <c r="W52" i="2"/>
  <c r="V52" i="2"/>
  <c r="U52" i="2"/>
  <c r="T52" i="2"/>
  <c r="S52" i="2"/>
  <c r="R52" i="2"/>
  <c r="M52" i="2"/>
  <c r="J52" i="2"/>
  <c r="AA5" i="3"/>
  <c r="Z5" i="3"/>
  <c r="Y5" i="3"/>
  <c r="X5" i="3"/>
  <c r="W5" i="3"/>
  <c r="V5" i="3"/>
  <c r="U5" i="3"/>
  <c r="T5" i="3"/>
  <c r="S5" i="3"/>
  <c r="R5" i="3"/>
  <c r="AA23" i="3"/>
  <c r="Z23" i="3"/>
  <c r="Y23" i="3"/>
  <c r="X23" i="3"/>
  <c r="W23" i="3"/>
  <c r="V23" i="3"/>
  <c r="U23" i="3"/>
  <c r="T23" i="3"/>
  <c r="S23" i="3"/>
  <c r="R23" i="3"/>
  <c r="AA38" i="3"/>
  <c r="Z38" i="3"/>
  <c r="Y38" i="3"/>
  <c r="X38" i="3"/>
  <c r="W38" i="3"/>
  <c r="V38" i="3"/>
  <c r="U38" i="3"/>
  <c r="T38" i="3"/>
  <c r="S38" i="3"/>
  <c r="R38" i="3"/>
  <c r="AA52" i="3"/>
  <c r="Z52" i="3"/>
  <c r="Y52" i="3"/>
  <c r="X52" i="3"/>
  <c r="W52" i="3"/>
  <c r="V52" i="3"/>
  <c r="U52" i="3"/>
  <c r="T52" i="3"/>
  <c r="S52" i="3"/>
  <c r="R52" i="3"/>
  <c r="O5" i="3"/>
  <c r="O23" i="3"/>
  <c r="O38" i="3"/>
  <c r="O52" i="3"/>
  <c r="N5" i="3"/>
  <c r="M52" i="3"/>
  <c r="M38" i="3"/>
  <c r="M23" i="3"/>
  <c r="M5" i="3"/>
  <c r="L5" i="3"/>
  <c r="K5" i="3"/>
  <c r="J5" i="3"/>
  <c r="J23" i="3"/>
  <c r="J38" i="3"/>
  <c r="J52" i="3"/>
  <c r="I5" i="3"/>
  <c r="AA5" i="4"/>
  <c r="Z5" i="4"/>
  <c r="Y5" i="4"/>
  <c r="X5" i="4"/>
  <c r="V5" i="4"/>
  <c r="U5" i="4"/>
  <c r="T5" i="4"/>
  <c r="S5" i="4"/>
  <c r="R5" i="4"/>
  <c r="AA23" i="4"/>
  <c r="Z23" i="4"/>
  <c r="Y23" i="4"/>
  <c r="X23" i="4"/>
  <c r="W23" i="4"/>
  <c r="V23" i="4"/>
  <c r="U23" i="4"/>
  <c r="T23" i="4"/>
  <c r="S23" i="4"/>
  <c r="R23" i="4"/>
  <c r="AA38" i="4"/>
  <c r="Z38" i="4"/>
  <c r="Y38" i="4"/>
  <c r="X38" i="4"/>
  <c r="W38" i="4"/>
  <c r="V38" i="4"/>
  <c r="U38" i="4"/>
  <c r="T38" i="4"/>
  <c r="S38" i="4"/>
  <c r="R38" i="4"/>
  <c r="AA52" i="4"/>
  <c r="Z52" i="4"/>
  <c r="Y52" i="4"/>
  <c r="X52" i="4"/>
  <c r="W52" i="4"/>
  <c r="V52" i="4"/>
  <c r="U52" i="4"/>
  <c r="T52" i="4"/>
  <c r="S52" i="4"/>
  <c r="R52" i="4"/>
  <c r="O5" i="4"/>
  <c r="N5" i="4"/>
  <c r="M5" i="4"/>
  <c r="O52" i="4"/>
  <c r="M52" i="4"/>
  <c r="O38" i="4"/>
  <c r="M38" i="4"/>
  <c r="O23" i="4"/>
  <c r="M23" i="4"/>
  <c r="J52" i="4"/>
  <c r="J38" i="4"/>
  <c r="J23" i="4"/>
  <c r="J5" i="4"/>
  <c r="I5" i="4"/>
  <c r="AA5" i="5"/>
  <c r="Z5" i="5"/>
  <c r="Y5" i="5"/>
  <c r="X5" i="5"/>
  <c r="V5" i="5"/>
  <c r="U5" i="5"/>
  <c r="T5" i="5"/>
  <c r="S5" i="5"/>
  <c r="R5" i="5"/>
  <c r="AA23" i="5"/>
  <c r="Z23" i="5"/>
  <c r="Y23" i="5"/>
  <c r="X23" i="5"/>
  <c r="W23" i="5"/>
  <c r="V23" i="5"/>
  <c r="U23" i="5"/>
  <c r="T23" i="5"/>
  <c r="S23" i="5"/>
  <c r="R23" i="5"/>
  <c r="AA38" i="5"/>
  <c r="Z38" i="5"/>
  <c r="Y38" i="5"/>
  <c r="X38" i="5"/>
  <c r="W38" i="5"/>
  <c r="V38" i="5"/>
  <c r="U38" i="5"/>
  <c r="T38" i="5"/>
  <c r="S38" i="5"/>
  <c r="R38" i="5"/>
  <c r="AA52" i="5"/>
  <c r="Z52" i="5"/>
  <c r="Y52" i="5"/>
  <c r="X52" i="5"/>
  <c r="W52" i="5"/>
  <c r="V52" i="5"/>
  <c r="U52" i="5"/>
  <c r="T52" i="5"/>
  <c r="S52" i="5"/>
  <c r="R52" i="5"/>
  <c r="X4" i="2" l="1"/>
  <c r="S4" i="5"/>
  <c r="J4" i="4"/>
  <c r="V4" i="2"/>
  <c r="AC10" i="17"/>
  <c r="AC28" i="17"/>
  <c r="AC57" i="17"/>
  <c r="AA9" i="17"/>
  <c r="Y9" i="17"/>
  <c r="W9" i="17"/>
  <c r="AC43" i="17"/>
  <c r="R4" i="5"/>
  <c r="T4" i="4"/>
  <c r="X4" i="3"/>
  <c r="J4" i="3"/>
  <c r="Y4" i="3"/>
  <c r="V4" i="1"/>
  <c r="Y4" i="2"/>
  <c r="W4" i="1"/>
  <c r="S4" i="3"/>
  <c r="R4" i="2"/>
  <c r="X4" i="5"/>
  <c r="Z4" i="4"/>
  <c r="O4" i="3"/>
  <c r="T4" i="3"/>
  <c r="S4" i="2"/>
  <c r="AA4" i="2"/>
  <c r="Y4" i="1"/>
  <c r="X9" i="17"/>
  <c r="W4" i="2"/>
  <c r="U4" i="1"/>
  <c r="T4" i="5"/>
  <c r="U4" i="5"/>
  <c r="X4" i="4"/>
  <c r="Z4" i="3"/>
  <c r="Z4" i="2"/>
  <c r="Y4" i="5"/>
  <c r="R4" i="4"/>
  <c r="U4" i="3"/>
  <c r="T4" i="2"/>
  <c r="R4" i="1"/>
  <c r="Z4" i="1"/>
  <c r="W4" i="3"/>
  <c r="T4" i="1"/>
  <c r="V4" i="4"/>
  <c r="R4" i="3"/>
  <c r="V4" i="5"/>
  <c r="AA4" i="3"/>
  <c r="X4" i="1"/>
  <c r="Z9" i="17"/>
  <c r="AD9" i="17" s="1"/>
  <c r="Z4" i="5"/>
  <c r="O4" i="4"/>
  <c r="V4" i="3"/>
  <c r="U4" i="2"/>
  <c r="S4" i="1"/>
  <c r="M4" i="4"/>
  <c r="AA4" i="4"/>
  <c r="S4" i="4"/>
  <c r="U4" i="4"/>
  <c r="Y4" i="4"/>
  <c r="J4" i="1"/>
  <c r="O4" i="1"/>
  <c r="M4" i="1"/>
  <c r="J4" i="2"/>
  <c r="O4" i="2"/>
  <c r="M4" i="2"/>
  <c r="M4" i="3"/>
  <c r="AA4" i="5"/>
  <c r="O52" i="5"/>
  <c r="M52" i="5"/>
  <c r="J52" i="5"/>
  <c r="O38" i="5"/>
  <c r="M38" i="5"/>
  <c r="J38" i="5"/>
  <c r="O23" i="5"/>
  <c r="M23" i="5"/>
  <c r="J23" i="5"/>
  <c r="M5" i="5"/>
  <c r="O5" i="5"/>
  <c r="N4" i="5"/>
  <c r="L4" i="5"/>
  <c r="K4" i="5"/>
  <c r="J5" i="5"/>
  <c r="AA52" i="9"/>
  <c r="Z52" i="9"/>
  <c r="Y52" i="9"/>
  <c r="X52" i="9"/>
  <c r="W52" i="9"/>
  <c r="V52" i="9"/>
  <c r="U52" i="9"/>
  <c r="T52" i="9"/>
  <c r="S52" i="9"/>
  <c r="R52" i="9"/>
  <c r="AA38" i="9"/>
  <c r="Z38" i="9"/>
  <c r="Y38" i="9"/>
  <c r="X38" i="9"/>
  <c r="W38" i="9"/>
  <c r="V38" i="9"/>
  <c r="U38" i="9"/>
  <c r="T38" i="9"/>
  <c r="S38" i="9"/>
  <c r="R38" i="9"/>
  <c r="AA23" i="9"/>
  <c r="Z23" i="9"/>
  <c r="Y23" i="9"/>
  <c r="X23" i="9"/>
  <c r="W23" i="9"/>
  <c r="V23" i="9"/>
  <c r="U23" i="9"/>
  <c r="T23" i="9"/>
  <c r="S23" i="9"/>
  <c r="R23" i="9"/>
  <c r="AA5" i="9"/>
  <c r="Z5" i="9"/>
  <c r="Y5" i="9"/>
  <c r="X5" i="9"/>
  <c r="V5" i="9"/>
  <c r="U5" i="9"/>
  <c r="T5" i="9"/>
  <c r="S5" i="9"/>
  <c r="R5" i="9"/>
  <c r="L5" i="9"/>
  <c r="K5" i="9"/>
  <c r="O5" i="9"/>
  <c r="M5" i="9"/>
  <c r="I5" i="9"/>
  <c r="J5" i="9"/>
  <c r="O52" i="9"/>
  <c r="M52" i="9"/>
  <c r="O38" i="9"/>
  <c r="M38" i="9"/>
  <c r="O23" i="9"/>
  <c r="M23" i="9"/>
  <c r="J52" i="9"/>
  <c r="J38" i="9"/>
  <c r="J23" i="9"/>
  <c r="N4" i="10"/>
  <c r="L4" i="10"/>
  <c r="K4" i="10"/>
  <c r="X4" i="9" l="1"/>
  <c r="Z5" i="13"/>
  <c r="AA20" i="16"/>
  <c r="Y50" i="16"/>
  <c r="AA38" i="16"/>
  <c r="Y68" i="16"/>
  <c r="AC9" i="17"/>
  <c r="Y54" i="16"/>
  <c r="Y37" i="16"/>
  <c r="M4" i="5"/>
  <c r="AA48" i="16"/>
  <c r="AA56" i="16"/>
  <c r="AA39" i="16"/>
  <c r="AA26" i="16"/>
  <c r="AA31" i="16"/>
  <c r="AA35" i="16"/>
  <c r="Y17" i="16"/>
  <c r="Y60" i="16"/>
  <c r="Y4" i="9"/>
  <c r="Z4" i="9"/>
  <c r="T4" i="9"/>
  <c r="AA4" i="9"/>
  <c r="AA52" i="16"/>
  <c r="Y27" i="16"/>
  <c r="AA67" i="16"/>
  <c r="W47" i="16"/>
  <c r="W16" i="16"/>
  <c r="W65" i="16"/>
  <c r="AA17" i="16"/>
  <c r="AA60" i="16"/>
  <c r="AA61" i="16"/>
  <c r="N4" i="1"/>
  <c r="N4" i="13" s="1"/>
  <c r="Y20" i="16"/>
  <c r="AA47" i="16"/>
  <c r="AA51" i="16"/>
  <c r="AA55" i="16"/>
  <c r="Y38" i="16"/>
  <c r="AA24" i="16"/>
  <c r="AA49" i="16"/>
  <c r="AA53" i="16"/>
  <c r="AA57" i="16"/>
  <c r="AA33" i="16"/>
  <c r="AA36" i="16"/>
  <c r="Y66" i="16"/>
  <c r="AA32" i="16"/>
  <c r="AA63" i="16"/>
  <c r="Y61" i="16"/>
  <c r="Y67" i="16"/>
  <c r="Y15" i="16"/>
  <c r="AA19" i="16"/>
  <c r="AA69" i="16"/>
  <c r="Y40" i="16"/>
  <c r="Y33" i="16"/>
  <c r="Y63" i="16"/>
  <c r="AA21" i="16"/>
  <c r="AA13" i="16"/>
  <c r="Y24" i="16"/>
  <c r="AA28" i="16"/>
  <c r="Y49" i="16"/>
  <c r="Y53" i="16"/>
  <c r="Y57" i="16"/>
  <c r="Y18" i="16"/>
  <c r="Y36" i="16"/>
  <c r="AA41" i="16"/>
  <c r="Y69" i="16"/>
  <c r="Y32" i="16"/>
  <c r="AA64" i="16"/>
  <c r="Y65" i="16"/>
  <c r="AA62" i="16"/>
  <c r="Y19" i="16"/>
  <c r="AA23" i="16"/>
  <c r="W42" i="16"/>
  <c r="W37" i="16"/>
  <c r="W17" i="16"/>
  <c r="Y25" i="16"/>
  <c r="Y16" i="16"/>
  <c r="Y46" i="16"/>
  <c r="Y47" i="16"/>
  <c r="Y51" i="16"/>
  <c r="Y55" i="16"/>
  <c r="AA18" i="16"/>
  <c r="AA22" i="16"/>
  <c r="AA42" i="16"/>
  <c r="AA34" i="16"/>
  <c r="AA14" i="16"/>
  <c r="AA25" i="16"/>
  <c r="W60" i="16"/>
  <c r="Y48" i="16"/>
  <c r="Y31" i="16"/>
  <c r="AA15" i="16"/>
  <c r="W61" i="16"/>
  <c r="Y39" i="16"/>
  <c r="AA43" i="16"/>
  <c r="AA66" i="16"/>
  <c r="Y13" i="16"/>
  <c r="Y28" i="16"/>
  <c r="Y41" i="16"/>
  <c r="Y42" i="16"/>
  <c r="AA68" i="16"/>
  <c r="Y34" i="16"/>
  <c r="Y64" i="16"/>
  <c r="AA65" i="16"/>
  <c r="Y21" i="16"/>
  <c r="W23" i="16"/>
  <c r="Y52" i="16"/>
  <c r="Y56" i="16"/>
  <c r="W41" i="16"/>
  <c r="W52" i="16"/>
  <c r="AA16" i="16"/>
  <c r="AA46" i="16"/>
  <c r="AA50" i="16"/>
  <c r="AA54" i="16"/>
  <c r="AC54" i="16" s="1"/>
  <c r="Y22" i="16"/>
  <c r="AA37" i="16"/>
  <c r="Y43" i="16"/>
  <c r="Y26" i="16"/>
  <c r="Y35" i="16"/>
  <c r="Y14" i="16"/>
  <c r="AA40" i="16"/>
  <c r="Y62" i="16"/>
  <c r="Y23" i="16"/>
  <c r="AA27" i="16"/>
  <c r="W40" i="16"/>
  <c r="W51" i="16"/>
  <c r="W64" i="16"/>
  <c r="W50" i="16"/>
  <c r="U4" i="9"/>
  <c r="W18" i="16"/>
  <c r="W34" i="16"/>
  <c r="W38" i="16"/>
  <c r="W39" i="16"/>
  <c r="W62" i="16"/>
  <c r="W66" i="16"/>
  <c r="W69" i="16"/>
  <c r="W20" i="16"/>
  <c r="W49" i="16"/>
  <c r="M4" i="9"/>
  <c r="V4" i="9"/>
  <c r="O4" i="5"/>
  <c r="W57" i="16"/>
  <c r="W67" i="16"/>
  <c r="W19" i="16"/>
  <c r="W48" i="16"/>
  <c r="W32" i="16"/>
  <c r="W55" i="16"/>
  <c r="R4" i="9"/>
  <c r="J4" i="5"/>
  <c r="W53" i="16"/>
  <c r="W21" i="16"/>
  <c r="W25" i="16"/>
  <c r="S4" i="9"/>
  <c r="W24" i="16"/>
  <c r="W26" i="16"/>
  <c r="W31" i="16"/>
  <c r="W35" i="16"/>
  <c r="W36" i="16"/>
  <c r="W63" i="16"/>
  <c r="W13" i="16"/>
  <c r="W28" i="16"/>
  <c r="W27" i="16"/>
  <c r="W68" i="16"/>
  <c r="W22" i="16"/>
  <c r="W33" i="16"/>
  <c r="W43" i="16"/>
  <c r="W54" i="16"/>
  <c r="J4" i="9"/>
  <c r="W14" i="16"/>
  <c r="W56" i="16"/>
  <c r="W46" i="16"/>
  <c r="K4" i="1"/>
  <c r="O4" i="9"/>
  <c r="AC38" i="16" l="1"/>
  <c r="AC50" i="16"/>
  <c r="AC68" i="16"/>
  <c r="AC20" i="16"/>
  <c r="AC37" i="16"/>
  <c r="AC15" i="16"/>
  <c r="AC60" i="16"/>
  <c r="AC35" i="16"/>
  <c r="AC17" i="16"/>
  <c r="AC26" i="16"/>
  <c r="AC56" i="16"/>
  <c r="AC39" i="16"/>
  <c r="AC31" i="16"/>
  <c r="AC48" i="16"/>
  <c r="AC67" i="16"/>
  <c r="AC27" i="16"/>
  <c r="AC52" i="16"/>
  <c r="AC53" i="16"/>
  <c r="AC63" i="16"/>
  <c r="AC33" i="16"/>
  <c r="AC32" i="16"/>
  <c r="AC61" i="16"/>
  <c r="AC18" i="16"/>
  <c r="AC49" i="16"/>
  <c r="AC51" i="16"/>
  <c r="AC24" i="16"/>
  <c r="AC19" i="16"/>
  <c r="AC25" i="16"/>
  <c r="AC47" i="16"/>
  <c r="AC57" i="16"/>
  <c r="AC40" i="16"/>
  <c r="AC69" i="16"/>
  <c r="AC65" i="16"/>
  <c r="AC66" i="16"/>
  <c r="AC41" i="16"/>
  <c r="AC64" i="16"/>
  <c r="AC36" i="16"/>
  <c r="AC55" i="16"/>
  <c r="AC62" i="16"/>
  <c r="AC28" i="16"/>
  <c r="AC23" i="16"/>
  <c r="AC16" i="16"/>
  <c r="AC21" i="16"/>
  <c r="AC13" i="16"/>
  <c r="AC34" i="16"/>
  <c r="AC46" i="16"/>
  <c r="AC22" i="16"/>
  <c r="AC42" i="16"/>
  <c r="AC14" i="16"/>
  <c r="AC43" i="16"/>
  <c r="L4" i="1"/>
  <c r="L4" i="13" s="1"/>
  <c r="K4" i="13"/>
  <c r="AA52" i="10"/>
  <c r="Z52" i="10"/>
  <c r="Y52" i="10"/>
  <c r="Y52" i="13" s="1"/>
  <c r="X52" i="10"/>
  <c r="X52" i="13" s="1"/>
  <c r="W52" i="10"/>
  <c r="V52" i="10"/>
  <c r="V52" i="13" s="1"/>
  <c r="U52" i="10"/>
  <c r="U52" i="13" s="1"/>
  <c r="T52" i="10"/>
  <c r="T52" i="13" s="1"/>
  <c r="S52" i="10"/>
  <c r="S52" i="13" s="1"/>
  <c r="R52" i="10"/>
  <c r="R52" i="13" s="1"/>
  <c r="AA38" i="10"/>
  <c r="Z38" i="10"/>
  <c r="Y38" i="10"/>
  <c r="Y38" i="13" s="1"/>
  <c r="X38" i="10"/>
  <c r="X38" i="13" s="1"/>
  <c r="W38" i="10"/>
  <c r="V38" i="10"/>
  <c r="V38" i="13" s="1"/>
  <c r="U38" i="10"/>
  <c r="U38" i="13" s="1"/>
  <c r="T38" i="10"/>
  <c r="T38" i="13" s="1"/>
  <c r="S38" i="10"/>
  <c r="S38" i="13" s="1"/>
  <c r="R38" i="10"/>
  <c r="R38" i="13" s="1"/>
  <c r="AA23" i="10"/>
  <c r="Z23" i="10"/>
  <c r="Y23" i="10"/>
  <c r="Y23" i="13" s="1"/>
  <c r="X23" i="10"/>
  <c r="X23" i="13" s="1"/>
  <c r="W23" i="10"/>
  <c r="V23" i="10"/>
  <c r="V23" i="13" s="1"/>
  <c r="U23" i="10"/>
  <c r="U23" i="13" s="1"/>
  <c r="T23" i="10"/>
  <c r="T23" i="13" s="1"/>
  <c r="S23" i="10"/>
  <c r="S23" i="13" s="1"/>
  <c r="R23" i="10"/>
  <c r="R23" i="13" s="1"/>
  <c r="Y5" i="10"/>
  <c r="X5" i="10"/>
  <c r="W5" i="10"/>
  <c r="V5" i="10"/>
  <c r="U5" i="10"/>
  <c r="T5" i="10"/>
  <c r="R5" i="10"/>
  <c r="O52" i="10"/>
  <c r="O52" i="13" s="1"/>
  <c r="M52" i="10"/>
  <c r="M52" i="13" s="1"/>
  <c r="J52" i="10"/>
  <c r="J52" i="13" s="1"/>
  <c r="O38" i="10"/>
  <c r="O38" i="13" s="1"/>
  <c r="M38" i="10"/>
  <c r="M38" i="13" s="1"/>
  <c r="J38" i="10"/>
  <c r="J38" i="13" s="1"/>
  <c r="O23" i="10"/>
  <c r="O23" i="13" s="1"/>
  <c r="M23" i="10"/>
  <c r="M23" i="13" s="1"/>
  <c r="J23" i="10"/>
  <c r="J23" i="13" s="1"/>
  <c r="O5" i="10"/>
  <c r="M5" i="10"/>
  <c r="J5" i="10"/>
  <c r="I4" i="10"/>
  <c r="I4" i="13" s="1"/>
  <c r="AA53" i="13"/>
  <c r="AA39" i="13"/>
  <c r="AA24" i="13"/>
  <c r="B7" i="2"/>
  <c r="C7" i="2"/>
  <c r="D7" i="2"/>
  <c r="B8" i="2"/>
  <c r="C8" i="2"/>
  <c r="D8" i="2"/>
  <c r="D9" i="2"/>
  <c r="B10" i="2"/>
  <c r="C10" i="2"/>
  <c r="D10" i="2"/>
  <c r="B11" i="2"/>
  <c r="C11" i="2"/>
  <c r="D11" i="2"/>
  <c r="B12" i="2"/>
  <c r="C12" i="2"/>
  <c r="D12" i="2"/>
  <c r="B13" i="2"/>
  <c r="C13" i="2"/>
  <c r="D13" i="2"/>
  <c r="C14" i="2"/>
  <c r="B15" i="2"/>
  <c r="C15" i="2"/>
  <c r="D15" i="2"/>
  <c r="B16" i="2"/>
  <c r="C16" i="2"/>
  <c r="D16" i="2"/>
  <c r="C17" i="2"/>
  <c r="D17" i="2"/>
  <c r="B18" i="2"/>
  <c r="C18" i="2"/>
  <c r="D18" i="2"/>
  <c r="B19" i="2"/>
  <c r="C19" i="2"/>
  <c r="D19" i="2"/>
  <c r="B20" i="2"/>
  <c r="C20" i="2"/>
  <c r="D20" i="2"/>
  <c r="B21" i="2"/>
  <c r="C21" i="2"/>
  <c r="D21" i="2"/>
  <c r="B22" i="2"/>
  <c r="C22" i="2"/>
  <c r="D22" i="2"/>
  <c r="AA4" i="10" l="1"/>
  <c r="Z23" i="13"/>
  <c r="Z52" i="13"/>
  <c r="Z38" i="13"/>
  <c r="Z4" i="10"/>
  <c r="R4" i="10"/>
  <c r="R4" i="13" s="1"/>
  <c r="R5" i="13"/>
  <c r="U4" i="10"/>
  <c r="U4" i="13" s="1"/>
  <c r="U5" i="13"/>
  <c r="M4" i="10"/>
  <c r="M4" i="13" s="1"/>
  <c r="M5" i="13"/>
  <c r="X4" i="10"/>
  <c r="X4" i="13" s="1"/>
  <c r="X5" i="13"/>
  <c r="O4" i="10"/>
  <c r="O4" i="13" s="1"/>
  <c r="O5" i="13"/>
  <c r="Y4" i="10"/>
  <c r="Y4" i="13" s="1"/>
  <c r="Y5" i="13"/>
  <c r="W23" i="13"/>
  <c r="W38" i="13"/>
  <c r="W52" i="13"/>
  <c r="V4" i="10"/>
  <c r="V4" i="13" s="1"/>
  <c r="V5" i="13"/>
  <c r="T4" i="10"/>
  <c r="T4" i="13" s="1"/>
  <c r="T5" i="13"/>
  <c r="J4" i="10"/>
  <c r="J4" i="13" s="1"/>
  <c r="J5" i="13"/>
  <c r="W4" i="10"/>
  <c r="AA9" i="13"/>
  <c r="AA13" i="13"/>
  <c r="AA8" i="13"/>
  <c r="AA10" i="13"/>
  <c r="AA12" i="13"/>
  <c r="AA14" i="13"/>
  <c r="AA16" i="13"/>
  <c r="AA18" i="13"/>
  <c r="AA20" i="13"/>
  <c r="AA22" i="13"/>
  <c r="AA25" i="13"/>
  <c r="AA27" i="13"/>
  <c r="AA29" i="13"/>
  <c r="AA31" i="13"/>
  <c r="AA33" i="13"/>
  <c r="AA35" i="13"/>
  <c r="AA37" i="13"/>
  <c r="AA40" i="13"/>
  <c r="AA42" i="13"/>
  <c r="AA44" i="13"/>
  <c r="AA46" i="13"/>
  <c r="AA48" i="13"/>
  <c r="AA50" i="13"/>
  <c r="AA55" i="13"/>
  <c r="AA57" i="13"/>
  <c r="AA59" i="13"/>
  <c r="AA61" i="13"/>
  <c r="AA63" i="13"/>
  <c r="AA5" i="1"/>
  <c r="AA7" i="13"/>
  <c r="AA11" i="13"/>
  <c r="AA15" i="13"/>
  <c r="AA17" i="13"/>
  <c r="AA19" i="13"/>
  <c r="AA21" i="13"/>
  <c r="AA26" i="13"/>
  <c r="AA28" i="13"/>
  <c r="AA30" i="13"/>
  <c r="AA32" i="13"/>
  <c r="AA34" i="13"/>
  <c r="AA36" i="13"/>
  <c r="AA41" i="13"/>
  <c r="AA43" i="13"/>
  <c r="AA45" i="13"/>
  <c r="AA47" i="13"/>
  <c r="AA49" i="13"/>
  <c r="AA51" i="13"/>
  <c r="AA52" i="1"/>
  <c r="AA54" i="13"/>
  <c r="AA56" i="13"/>
  <c r="AA58" i="13"/>
  <c r="AA60" i="13"/>
  <c r="AA62" i="13"/>
  <c r="AA23" i="1"/>
  <c r="AA38" i="1"/>
  <c r="W9" i="4"/>
  <c r="W9" i="5"/>
  <c r="W9" i="9"/>
  <c r="N4" i="18"/>
  <c r="D18" i="22"/>
  <c r="D18" i="25"/>
  <c r="D19" i="22"/>
  <c r="D19" i="25"/>
  <c r="D20" i="22"/>
  <c r="D20" i="25"/>
  <c r="D21" i="22"/>
  <c r="D21" i="25"/>
  <c r="B7" i="22"/>
  <c r="B8" i="22"/>
  <c r="B10" i="22"/>
  <c r="B11" i="22"/>
  <c r="B12" i="22"/>
  <c r="B12" i="26" s="1"/>
  <c r="B14" i="22"/>
  <c r="B16" i="22"/>
  <c r="B17" i="22"/>
  <c r="B18" i="22"/>
  <c r="B19" i="22"/>
  <c r="B20" i="22"/>
  <c r="B21" i="22"/>
  <c r="B22" i="22"/>
  <c r="C7" i="22"/>
  <c r="C8" i="22"/>
  <c r="C10" i="22"/>
  <c r="C11" i="22"/>
  <c r="C12" i="22"/>
  <c r="C13" i="22"/>
  <c r="C14" i="22"/>
  <c r="C15" i="22"/>
  <c r="C16" i="22"/>
  <c r="C17" i="22"/>
  <c r="C18" i="22"/>
  <c r="C19" i="22"/>
  <c r="C20" i="22"/>
  <c r="C21" i="22"/>
  <c r="D7" i="22"/>
  <c r="D8" i="22"/>
  <c r="D10" i="22"/>
  <c r="D11" i="22"/>
  <c r="D12" i="22"/>
  <c r="D13" i="22"/>
  <c r="D14" i="22"/>
  <c r="D16" i="22"/>
  <c r="D17" i="22"/>
  <c r="D22" i="22"/>
  <c r="I7" i="22"/>
  <c r="I8" i="22"/>
  <c r="I10" i="22"/>
  <c r="I11" i="22"/>
  <c r="I12" i="22"/>
  <c r="I13" i="22"/>
  <c r="I14" i="22"/>
  <c r="I15" i="22"/>
  <c r="I16" i="22"/>
  <c r="I17" i="22"/>
  <c r="I18" i="22"/>
  <c r="I19" i="22"/>
  <c r="I20" i="22"/>
  <c r="I21" i="22"/>
  <c r="I22" i="22"/>
  <c r="K7" i="22"/>
  <c r="K8" i="22"/>
  <c r="K10" i="22"/>
  <c r="K11" i="22"/>
  <c r="K13" i="22"/>
  <c r="K14" i="22"/>
  <c r="K15" i="22"/>
  <c r="K16" i="22"/>
  <c r="K17" i="22"/>
  <c r="K18" i="22"/>
  <c r="K19" i="22"/>
  <c r="K20" i="22"/>
  <c r="K21" i="22"/>
  <c r="L7" i="22"/>
  <c r="L8" i="22"/>
  <c r="L10" i="22"/>
  <c r="L11" i="22"/>
  <c r="L13" i="22"/>
  <c r="L14" i="22"/>
  <c r="L15" i="22"/>
  <c r="L16" i="22"/>
  <c r="L17" i="22"/>
  <c r="L18" i="22"/>
  <c r="L19" i="22"/>
  <c r="L20" i="22"/>
  <c r="L21" i="22"/>
  <c r="N7" i="22"/>
  <c r="N8" i="22"/>
  <c r="N9" i="22"/>
  <c r="N10" i="22"/>
  <c r="N11" i="22"/>
  <c r="N12" i="22"/>
  <c r="N13" i="22"/>
  <c r="N14" i="22"/>
  <c r="N15" i="22"/>
  <c r="N16" i="22"/>
  <c r="N17" i="22"/>
  <c r="N18" i="22"/>
  <c r="N19" i="22"/>
  <c r="N20" i="22"/>
  <c r="N21" i="22"/>
  <c r="N22" i="22"/>
  <c r="B7" i="5"/>
  <c r="B8" i="5"/>
  <c r="B10" i="5"/>
  <c r="B11" i="5"/>
  <c r="B12" i="5"/>
  <c r="B13" i="5"/>
  <c r="B14" i="5"/>
  <c r="B15" i="5"/>
  <c r="B16" i="5"/>
  <c r="B17" i="5"/>
  <c r="B18" i="5"/>
  <c r="B19" i="5"/>
  <c r="B20" i="5"/>
  <c r="B21" i="5"/>
  <c r="B22" i="5"/>
  <c r="C7" i="5"/>
  <c r="C8" i="5"/>
  <c r="C10" i="5"/>
  <c r="C11" i="5"/>
  <c r="C12" i="5"/>
  <c r="C13" i="5"/>
  <c r="C14" i="5"/>
  <c r="C15" i="5"/>
  <c r="C16" i="5"/>
  <c r="C17" i="5"/>
  <c r="C18" i="5"/>
  <c r="C19" i="5"/>
  <c r="C20" i="5"/>
  <c r="C21" i="5"/>
  <c r="C22" i="5"/>
  <c r="D7" i="5"/>
  <c r="D8" i="5"/>
  <c r="D9" i="5"/>
  <c r="D10" i="5"/>
  <c r="D11" i="5"/>
  <c r="D12" i="5"/>
  <c r="D13" i="5"/>
  <c r="D14" i="5"/>
  <c r="D15" i="5"/>
  <c r="D16" i="5"/>
  <c r="D17" i="5"/>
  <c r="D18" i="5"/>
  <c r="D19" i="5"/>
  <c r="D20" i="5"/>
  <c r="D21" i="5"/>
  <c r="D22" i="5"/>
  <c r="I7" i="5"/>
  <c r="I8" i="5"/>
  <c r="I10" i="5"/>
  <c r="I11" i="5"/>
  <c r="I12" i="5"/>
  <c r="I13" i="5"/>
  <c r="I14" i="5"/>
  <c r="I15" i="5"/>
  <c r="I16" i="5"/>
  <c r="I17" i="5"/>
  <c r="I18" i="5"/>
  <c r="I19" i="5"/>
  <c r="I20" i="5"/>
  <c r="I21" i="5"/>
  <c r="I22" i="5"/>
  <c r="K7" i="5"/>
  <c r="K10" i="5"/>
  <c r="K11" i="5"/>
  <c r="K12" i="5"/>
  <c r="K13" i="5"/>
  <c r="K15" i="5"/>
  <c r="K16" i="5"/>
  <c r="K17" i="5"/>
  <c r="K18" i="5"/>
  <c r="K19" i="5"/>
  <c r="K20" i="5"/>
  <c r="K21" i="5"/>
  <c r="K22" i="5"/>
  <c r="L7" i="5"/>
  <c r="L10" i="5"/>
  <c r="L11" i="5"/>
  <c r="L12" i="5"/>
  <c r="L13" i="5"/>
  <c r="L14" i="5"/>
  <c r="L15" i="5"/>
  <c r="L16" i="5"/>
  <c r="L17" i="5"/>
  <c r="L18" i="5"/>
  <c r="L19" i="5"/>
  <c r="L20" i="5"/>
  <c r="L21" i="5"/>
  <c r="L22" i="5"/>
  <c r="K4" i="18"/>
  <c r="B4" i="25"/>
  <c r="C4" i="25"/>
  <c r="D4" i="25"/>
  <c r="I4" i="25"/>
  <c r="I4" i="26" s="1"/>
  <c r="K4" i="25"/>
  <c r="L4" i="25"/>
  <c r="N4" i="25"/>
  <c r="B7" i="25"/>
  <c r="B8" i="25"/>
  <c r="B10" i="25"/>
  <c r="B11" i="25"/>
  <c r="B13" i="25"/>
  <c r="B13" i="26" s="1"/>
  <c r="B14" i="25"/>
  <c r="B15" i="25"/>
  <c r="B15" i="26" s="1"/>
  <c r="B16" i="25"/>
  <c r="B17" i="25"/>
  <c r="B18" i="25"/>
  <c r="B19" i="25"/>
  <c r="B20" i="25"/>
  <c r="B21" i="25"/>
  <c r="B22" i="25"/>
  <c r="C7" i="25"/>
  <c r="C8" i="25"/>
  <c r="C10" i="25"/>
  <c r="C11" i="25"/>
  <c r="C12" i="25"/>
  <c r="C13" i="25"/>
  <c r="C14" i="25"/>
  <c r="C15" i="25"/>
  <c r="C16" i="25"/>
  <c r="C17" i="25"/>
  <c r="C18" i="25"/>
  <c r="C19" i="25"/>
  <c r="C20" i="25"/>
  <c r="C21" i="25"/>
  <c r="C22" i="25"/>
  <c r="C22" i="26" s="1"/>
  <c r="D7" i="25"/>
  <c r="D8" i="25"/>
  <c r="D9" i="25"/>
  <c r="D9" i="26" s="1"/>
  <c r="D10" i="25"/>
  <c r="D11" i="25"/>
  <c r="D12" i="25"/>
  <c r="D13" i="25"/>
  <c r="D14" i="25"/>
  <c r="D15" i="25"/>
  <c r="D15" i="26" s="1"/>
  <c r="D16" i="25"/>
  <c r="D17" i="25"/>
  <c r="D22" i="25"/>
  <c r="I7" i="25"/>
  <c r="I8" i="25"/>
  <c r="I10" i="25"/>
  <c r="I11" i="25"/>
  <c r="I12" i="25"/>
  <c r="I13" i="25"/>
  <c r="I14" i="25"/>
  <c r="I15" i="25"/>
  <c r="I16" i="25"/>
  <c r="I17" i="25"/>
  <c r="I18" i="25"/>
  <c r="I19" i="25"/>
  <c r="I20" i="25"/>
  <c r="I21" i="25"/>
  <c r="I22" i="25"/>
  <c r="K7" i="25"/>
  <c r="K8" i="25"/>
  <c r="K10" i="25"/>
  <c r="K11" i="25"/>
  <c r="K12" i="25"/>
  <c r="K12" i="26" s="1"/>
  <c r="K13" i="25"/>
  <c r="K14" i="25"/>
  <c r="K15" i="25"/>
  <c r="K16" i="25"/>
  <c r="K17" i="25"/>
  <c r="K18" i="25"/>
  <c r="K19" i="25"/>
  <c r="K20" i="25"/>
  <c r="K21" i="25"/>
  <c r="K22" i="25"/>
  <c r="K22" i="26" s="1"/>
  <c r="L7" i="25"/>
  <c r="L8" i="25"/>
  <c r="L10" i="25"/>
  <c r="L11" i="25"/>
  <c r="L12" i="25"/>
  <c r="L12" i="26" s="1"/>
  <c r="L13" i="25"/>
  <c r="L14" i="25"/>
  <c r="L15" i="25"/>
  <c r="L16" i="25"/>
  <c r="L17" i="25"/>
  <c r="L18" i="25"/>
  <c r="L19" i="25"/>
  <c r="L20" i="25"/>
  <c r="L21" i="25"/>
  <c r="L22" i="25"/>
  <c r="L22" i="26" s="1"/>
  <c r="N7" i="25"/>
  <c r="N8" i="25"/>
  <c r="N9" i="25"/>
  <c r="N10" i="25"/>
  <c r="N11" i="25"/>
  <c r="N12" i="25"/>
  <c r="N13" i="25"/>
  <c r="N14" i="25"/>
  <c r="N15" i="25"/>
  <c r="N16" i="25"/>
  <c r="N17" i="25"/>
  <c r="N18" i="25"/>
  <c r="N19" i="25"/>
  <c r="N20" i="25"/>
  <c r="N21" i="25"/>
  <c r="N22" i="25"/>
  <c r="B4" i="22"/>
  <c r="C4" i="22"/>
  <c r="D4" i="22"/>
  <c r="K4" i="22"/>
  <c r="L4" i="22"/>
  <c r="N4" i="22"/>
  <c r="D4" i="18"/>
  <c r="B4" i="10"/>
  <c r="C4" i="10"/>
  <c r="D4" i="10"/>
  <c r="S9" i="10"/>
  <c r="B7" i="10"/>
  <c r="B8" i="10"/>
  <c r="B10" i="10"/>
  <c r="B11" i="10"/>
  <c r="B12" i="10"/>
  <c r="B13" i="10"/>
  <c r="B14" i="10"/>
  <c r="B15" i="10"/>
  <c r="B16" i="10"/>
  <c r="B17" i="10"/>
  <c r="B18" i="10"/>
  <c r="B19" i="10"/>
  <c r="B20" i="10"/>
  <c r="B21" i="10"/>
  <c r="B22" i="10"/>
  <c r="C7" i="10"/>
  <c r="C8" i="10"/>
  <c r="C10" i="10"/>
  <c r="C11" i="10"/>
  <c r="C12" i="10"/>
  <c r="C13" i="10"/>
  <c r="C14" i="10"/>
  <c r="C15" i="10"/>
  <c r="C16" i="10"/>
  <c r="C17" i="10"/>
  <c r="C18" i="10"/>
  <c r="C19" i="10"/>
  <c r="C20" i="10"/>
  <c r="C21" i="10"/>
  <c r="C22" i="10"/>
  <c r="D7" i="10"/>
  <c r="D8" i="10"/>
  <c r="D9" i="10"/>
  <c r="D10" i="10"/>
  <c r="D11" i="10"/>
  <c r="D12" i="10"/>
  <c r="D13" i="10"/>
  <c r="D14" i="10"/>
  <c r="D15" i="10"/>
  <c r="D16" i="10"/>
  <c r="D17" i="10"/>
  <c r="D18" i="10"/>
  <c r="D19" i="10"/>
  <c r="D20" i="10"/>
  <c r="D21" i="10"/>
  <c r="D22" i="10"/>
  <c r="I7" i="10"/>
  <c r="I8" i="10"/>
  <c r="I10" i="10"/>
  <c r="I11" i="10"/>
  <c r="I12" i="10"/>
  <c r="I13" i="10"/>
  <c r="I14" i="10"/>
  <c r="I15" i="10"/>
  <c r="I16" i="10"/>
  <c r="I17" i="10"/>
  <c r="I18" i="10"/>
  <c r="I19" i="10"/>
  <c r="I20" i="10"/>
  <c r="I21" i="10"/>
  <c r="I22" i="10"/>
  <c r="K7" i="10"/>
  <c r="K8" i="10"/>
  <c r="K8" i="13" s="1"/>
  <c r="K10" i="10"/>
  <c r="K11" i="10"/>
  <c r="K12" i="10"/>
  <c r="K13" i="10"/>
  <c r="K14" i="10"/>
  <c r="K14" i="13" s="1"/>
  <c r="K15" i="10"/>
  <c r="K16" i="10"/>
  <c r="K17" i="10"/>
  <c r="K18" i="10"/>
  <c r="K19" i="10"/>
  <c r="K20" i="10"/>
  <c r="K21" i="10"/>
  <c r="K22" i="10"/>
  <c r="L7" i="10"/>
  <c r="L8" i="10"/>
  <c r="L8" i="13" s="1"/>
  <c r="L10" i="10"/>
  <c r="L11" i="10"/>
  <c r="L12" i="10"/>
  <c r="L13" i="10"/>
  <c r="L14" i="10"/>
  <c r="L15" i="10"/>
  <c r="L16" i="10"/>
  <c r="L17" i="10"/>
  <c r="L18" i="10"/>
  <c r="L19" i="10"/>
  <c r="L20" i="10"/>
  <c r="L21" i="10"/>
  <c r="L22" i="10"/>
  <c r="N7" i="10"/>
  <c r="N8" i="10"/>
  <c r="N9" i="10"/>
  <c r="N10" i="10"/>
  <c r="N11" i="10"/>
  <c r="N12" i="10"/>
  <c r="N13" i="10"/>
  <c r="N14" i="10"/>
  <c r="N15" i="10"/>
  <c r="N16" i="10"/>
  <c r="N17" i="10"/>
  <c r="N18" i="10"/>
  <c r="N19" i="10"/>
  <c r="N20" i="10"/>
  <c r="N21" i="10"/>
  <c r="N22" i="10"/>
  <c r="B4" i="9"/>
  <c r="C4" i="9"/>
  <c r="D4" i="9"/>
  <c r="B7" i="9"/>
  <c r="B8" i="9"/>
  <c r="B11" i="9"/>
  <c r="B13" i="9"/>
  <c r="B15" i="9"/>
  <c r="B16" i="9"/>
  <c r="B18" i="9"/>
  <c r="B19" i="9"/>
  <c r="B20" i="9"/>
  <c r="B21" i="9"/>
  <c r="B22" i="9"/>
  <c r="C7" i="9"/>
  <c r="C8" i="9"/>
  <c r="C10" i="9"/>
  <c r="C11" i="9"/>
  <c r="C12" i="9"/>
  <c r="C13" i="9"/>
  <c r="C14" i="9"/>
  <c r="C15" i="9"/>
  <c r="C16" i="9"/>
  <c r="C17" i="9"/>
  <c r="C18" i="9"/>
  <c r="C19" i="9"/>
  <c r="C20" i="9"/>
  <c r="C21" i="9"/>
  <c r="C22" i="9"/>
  <c r="D7" i="9"/>
  <c r="D8" i="9"/>
  <c r="D10" i="9"/>
  <c r="D11" i="9"/>
  <c r="D12" i="9"/>
  <c r="D13" i="9"/>
  <c r="D14" i="9"/>
  <c r="D15" i="9"/>
  <c r="D16" i="9"/>
  <c r="D17" i="9"/>
  <c r="D18" i="9"/>
  <c r="D19" i="9"/>
  <c r="D20" i="9"/>
  <c r="D21" i="9"/>
  <c r="D22" i="9"/>
  <c r="B4" i="5"/>
  <c r="C4" i="5"/>
  <c r="D4" i="5"/>
  <c r="N7" i="5"/>
  <c r="N8" i="5"/>
  <c r="N9" i="5"/>
  <c r="N10" i="5"/>
  <c r="N11" i="5"/>
  <c r="N12" i="5"/>
  <c r="N13" i="5"/>
  <c r="N14" i="5"/>
  <c r="N15" i="5"/>
  <c r="N16" i="5"/>
  <c r="N17" i="5"/>
  <c r="N18" i="5"/>
  <c r="N19" i="5"/>
  <c r="N20" i="5"/>
  <c r="N21" i="5"/>
  <c r="N22" i="5"/>
  <c r="B4" i="4"/>
  <c r="C4" i="4"/>
  <c r="D4" i="4"/>
  <c r="B7" i="4"/>
  <c r="B8" i="4"/>
  <c r="B10" i="4"/>
  <c r="B11" i="4"/>
  <c r="B12" i="4"/>
  <c r="B13" i="4"/>
  <c r="B15" i="4"/>
  <c r="B16" i="4"/>
  <c r="B18" i="4"/>
  <c r="B19" i="4"/>
  <c r="B20" i="4"/>
  <c r="B21" i="4"/>
  <c r="B22" i="4"/>
  <c r="C7" i="4"/>
  <c r="C8" i="4"/>
  <c r="C10" i="4"/>
  <c r="C11" i="4"/>
  <c r="C12" i="4"/>
  <c r="C13" i="4"/>
  <c r="C14" i="4"/>
  <c r="C15" i="4"/>
  <c r="C16" i="4"/>
  <c r="C18" i="4"/>
  <c r="C19" i="4"/>
  <c r="C20" i="4"/>
  <c r="C21" i="4"/>
  <c r="C22" i="4"/>
  <c r="D7" i="4"/>
  <c r="D8" i="4"/>
  <c r="D9" i="4"/>
  <c r="D10" i="4"/>
  <c r="D11" i="4"/>
  <c r="D12" i="4"/>
  <c r="D13" i="4"/>
  <c r="D14" i="4"/>
  <c r="D15" i="4"/>
  <c r="D16" i="4"/>
  <c r="D17" i="4"/>
  <c r="D18" i="4"/>
  <c r="D19" i="4"/>
  <c r="D20" i="4"/>
  <c r="D21" i="4"/>
  <c r="D22" i="4"/>
  <c r="B4" i="3"/>
  <c r="C4" i="3"/>
  <c r="D4" i="3"/>
  <c r="B7" i="3"/>
  <c r="B5" i="3" s="1"/>
  <c r="C7" i="3"/>
  <c r="C5" i="3" s="1"/>
  <c r="D7" i="3"/>
  <c r="D11" i="3"/>
  <c r="D13" i="3"/>
  <c r="D14" i="3"/>
  <c r="D15" i="3"/>
  <c r="D16" i="3"/>
  <c r="D17" i="3"/>
  <c r="D18" i="3"/>
  <c r="D19" i="3"/>
  <c r="D20" i="3"/>
  <c r="D21" i="3"/>
  <c r="D22" i="3"/>
  <c r="B4" i="2"/>
  <c r="C4" i="2"/>
  <c r="D4" i="2"/>
  <c r="B7" i="1"/>
  <c r="B8" i="1"/>
  <c r="B10" i="1"/>
  <c r="B11" i="1"/>
  <c r="B12" i="1"/>
  <c r="B13" i="1"/>
  <c r="B15" i="1"/>
  <c r="B16" i="1"/>
  <c r="B18" i="1"/>
  <c r="B19" i="1"/>
  <c r="B20" i="1"/>
  <c r="B21" i="1"/>
  <c r="B22" i="1"/>
  <c r="C7" i="1"/>
  <c r="C8" i="1"/>
  <c r="C10" i="1"/>
  <c r="C11" i="1"/>
  <c r="C12" i="1"/>
  <c r="C13" i="1"/>
  <c r="C14" i="1"/>
  <c r="C15" i="1"/>
  <c r="C16" i="1"/>
  <c r="C17" i="1"/>
  <c r="C18" i="1"/>
  <c r="C19" i="1"/>
  <c r="C20" i="1"/>
  <c r="C21" i="1"/>
  <c r="C22" i="1"/>
  <c r="D7" i="1"/>
  <c r="D8" i="1"/>
  <c r="D9" i="1"/>
  <c r="D10" i="1"/>
  <c r="D11" i="1"/>
  <c r="D12" i="1"/>
  <c r="D13" i="1"/>
  <c r="D14" i="1"/>
  <c r="D15" i="1"/>
  <c r="D16" i="1"/>
  <c r="D17" i="1"/>
  <c r="D18" i="1"/>
  <c r="D19" i="1"/>
  <c r="D20" i="1"/>
  <c r="D21" i="1"/>
  <c r="D22" i="1"/>
  <c r="D20" i="26" l="1"/>
  <c r="L19" i="13"/>
  <c r="L11" i="13"/>
  <c r="K15" i="26"/>
  <c r="N18" i="26"/>
  <c r="N10" i="26"/>
  <c r="C20" i="26"/>
  <c r="C12" i="26"/>
  <c r="B19" i="26"/>
  <c r="B8" i="26"/>
  <c r="I21" i="26"/>
  <c r="Z4" i="13"/>
  <c r="N10" i="16" s="1"/>
  <c r="I13" i="26"/>
  <c r="N19" i="13"/>
  <c r="N11" i="13"/>
  <c r="AA29" i="16"/>
  <c r="Y29" i="16"/>
  <c r="D4" i="26"/>
  <c r="N19" i="26"/>
  <c r="N11" i="26"/>
  <c r="L18" i="26"/>
  <c r="D16" i="26"/>
  <c r="C21" i="26"/>
  <c r="C13" i="26"/>
  <c r="B20" i="26"/>
  <c r="B10" i="26"/>
  <c r="B4" i="26"/>
  <c r="K17" i="13"/>
  <c r="N18" i="13"/>
  <c r="N10" i="13"/>
  <c r="B15" i="13"/>
  <c r="L17" i="26"/>
  <c r="I20" i="26"/>
  <c r="N17" i="26"/>
  <c r="N9" i="26"/>
  <c r="L16" i="26"/>
  <c r="K21" i="26"/>
  <c r="K13" i="26"/>
  <c r="C19" i="26"/>
  <c r="C11" i="26"/>
  <c r="B18" i="26"/>
  <c r="B7" i="26"/>
  <c r="L8" i="26"/>
  <c r="D19" i="26"/>
  <c r="L7" i="26"/>
  <c r="K14" i="26"/>
  <c r="I12" i="26"/>
  <c r="N16" i="26"/>
  <c r="N8" i="26"/>
  <c r="C18" i="26"/>
  <c r="C10" i="26"/>
  <c r="B17" i="26"/>
  <c r="N22" i="26"/>
  <c r="K7" i="26"/>
  <c r="I15" i="26"/>
  <c r="D22" i="26"/>
  <c r="C15" i="26"/>
  <c r="B22" i="26"/>
  <c r="B21" i="13"/>
  <c r="C14" i="13"/>
  <c r="C8" i="13"/>
  <c r="N16" i="13"/>
  <c r="N8" i="13"/>
  <c r="I22" i="13"/>
  <c r="I14" i="13"/>
  <c r="C17" i="13"/>
  <c r="L18" i="13"/>
  <c r="L10" i="13"/>
  <c r="K16" i="13"/>
  <c r="C15" i="13"/>
  <c r="B22" i="13"/>
  <c r="L17" i="13"/>
  <c r="L7" i="13"/>
  <c r="K15" i="13"/>
  <c r="L16" i="13"/>
  <c r="K10" i="13"/>
  <c r="I16" i="13"/>
  <c r="I7" i="13"/>
  <c r="B14" i="13"/>
  <c r="C4" i="13"/>
  <c r="C16" i="13"/>
  <c r="B13" i="13"/>
  <c r="D10" i="13"/>
  <c r="D18" i="13"/>
  <c r="C18" i="13"/>
  <c r="B4" i="13"/>
  <c r="N7" i="13"/>
  <c r="I13" i="13"/>
  <c r="D16" i="13"/>
  <c r="B12" i="13"/>
  <c r="N14" i="13"/>
  <c r="I12" i="13"/>
  <c r="I19" i="26"/>
  <c r="D13" i="26"/>
  <c r="D18" i="26"/>
  <c r="D20" i="13"/>
  <c r="D12" i="13"/>
  <c r="C20" i="13"/>
  <c r="C11" i="13"/>
  <c r="B18" i="13"/>
  <c r="L21" i="13"/>
  <c r="L13" i="13"/>
  <c r="K19" i="13"/>
  <c r="N21" i="26"/>
  <c r="N13" i="26"/>
  <c r="L20" i="26"/>
  <c r="L11" i="26"/>
  <c r="K17" i="26"/>
  <c r="D8" i="26"/>
  <c r="D19" i="13"/>
  <c r="D11" i="13"/>
  <c r="C19" i="13"/>
  <c r="C10" i="13"/>
  <c r="B16" i="13"/>
  <c r="D4" i="13"/>
  <c r="N17" i="13"/>
  <c r="N9" i="13"/>
  <c r="L20" i="13"/>
  <c r="L12" i="13"/>
  <c r="K18" i="13"/>
  <c r="K7" i="13"/>
  <c r="I15" i="13"/>
  <c r="N20" i="26"/>
  <c r="N12" i="26"/>
  <c r="L19" i="26"/>
  <c r="L10" i="26"/>
  <c r="K16" i="26"/>
  <c r="I22" i="26"/>
  <c r="I14" i="26"/>
  <c r="D17" i="26"/>
  <c r="D7" i="26"/>
  <c r="C14" i="26"/>
  <c r="B21" i="26"/>
  <c r="B11" i="26"/>
  <c r="D17" i="13"/>
  <c r="D9" i="13"/>
  <c r="N15" i="13"/>
  <c r="I21" i="13"/>
  <c r="D14" i="26"/>
  <c r="D8" i="13"/>
  <c r="N22" i="13"/>
  <c r="I20" i="13"/>
  <c r="I11" i="26"/>
  <c r="B11" i="13"/>
  <c r="N13" i="13"/>
  <c r="K13" i="13"/>
  <c r="I11" i="13"/>
  <c r="B17" i="13"/>
  <c r="L15" i="26"/>
  <c r="K11" i="26"/>
  <c r="I10" i="26"/>
  <c r="D12" i="26"/>
  <c r="D22" i="13"/>
  <c r="D14" i="13"/>
  <c r="C22" i="13"/>
  <c r="C13" i="13"/>
  <c r="B20" i="13"/>
  <c r="B10" i="13"/>
  <c r="N20" i="13"/>
  <c r="N12" i="13"/>
  <c r="S5" i="10"/>
  <c r="S9" i="13"/>
  <c r="K4" i="26"/>
  <c r="L15" i="13"/>
  <c r="K21" i="13"/>
  <c r="K12" i="13"/>
  <c r="I18" i="13"/>
  <c r="I10" i="13"/>
  <c r="N15" i="26"/>
  <c r="N7" i="26"/>
  <c r="L14" i="26"/>
  <c r="K19" i="26"/>
  <c r="K10" i="26"/>
  <c r="I17" i="26"/>
  <c r="I8" i="26"/>
  <c r="D11" i="26"/>
  <c r="C17" i="26"/>
  <c r="C8" i="26"/>
  <c r="B16" i="26"/>
  <c r="D21" i="26"/>
  <c r="W5" i="9"/>
  <c r="D15" i="13"/>
  <c r="N21" i="13"/>
  <c r="K22" i="13"/>
  <c r="I19" i="13"/>
  <c r="K20" i="26"/>
  <c r="I18" i="26"/>
  <c r="N4" i="26"/>
  <c r="D21" i="13"/>
  <c r="D13" i="13"/>
  <c r="C21" i="13"/>
  <c r="C12" i="13"/>
  <c r="B19" i="13"/>
  <c r="B8" i="13"/>
  <c r="C4" i="26"/>
  <c r="L22" i="13"/>
  <c r="L14" i="13"/>
  <c r="K20" i="13"/>
  <c r="K11" i="13"/>
  <c r="I17" i="13"/>
  <c r="I8" i="13"/>
  <c r="N14" i="26"/>
  <c r="L21" i="26"/>
  <c r="L13" i="26"/>
  <c r="K18" i="26"/>
  <c r="K8" i="26"/>
  <c r="I16" i="26"/>
  <c r="I7" i="26"/>
  <c r="D10" i="26"/>
  <c r="C16" i="26"/>
  <c r="C7" i="26"/>
  <c r="B14" i="26"/>
  <c r="W5" i="5"/>
  <c r="D5" i="25"/>
  <c r="L5" i="25"/>
  <c r="C5" i="25"/>
  <c r="N5" i="25"/>
  <c r="K5" i="25"/>
  <c r="I5" i="25"/>
  <c r="B5" i="25"/>
  <c r="L5" i="22"/>
  <c r="I5" i="22"/>
  <c r="D5" i="22"/>
  <c r="C5" i="22"/>
  <c r="C5" i="26" s="1"/>
  <c r="N5" i="22"/>
  <c r="N5" i="26" s="1"/>
  <c r="K5" i="22"/>
  <c r="K5" i="26" s="1"/>
  <c r="B5" i="22"/>
  <c r="AA4" i="1"/>
  <c r="AA23" i="13"/>
  <c r="AA5" i="13"/>
  <c r="AA38" i="13"/>
  <c r="AA52" i="13"/>
  <c r="X57" i="16"/>
  <c r="X55" i="16"/>
  <c r="X53" i="16"/>
  <c r="X51" i="16"/>
  <c r="X49" i="16"/>
  <c r="X47" i="16"/>
  <c r="X42" i="16"/>
  <c r="X40" i="16"/>
  <c r="X38" i="16"/>
  <c r="X36" i="16"/>
  <c r="X34" i="16"/>
  <c r="X32" i="16"/>
  <c r="X27" i="16"/>
  <c r="X25" i="16"/>
  <c r="X23" i="16"/>
  <c r="X21" i="16"/>
  <c r="X17" i="16"/>
  <c r="X13" i="16"/>
  <c r="B5" i="4"/>
  <c r="B7" i="13"/>
  <c r="D7" i="13"/>
  <c r="D5" i="4"/>
  <c r="C7" i="13"/>
  <c r="C5" i="4"/>
  <c r="W9" i="13"/>
  <c r="W5" i="4"/>
  <c r="D5" i="3"/>
  <c r="L5" i="5"/>
  <c r="I5" i="5"/>
  <c r="D5" i="5"/>
  <c r="B5" i="5"/>
  <c r="N5" i="5"/>
  <c r="K5" i="5"/>
  <c r="C5" i="5"/>
  <c r="C5" i="9"/>
  <c r="D5" i="9"/>
  <c r="B5" i="9"/>
  <c r="L5" i="10"/>
  <c r="I5" i="10"/>
  <c r="D5" i="10"/>
  <c r="B5" i="10"/>
  <c r="K5" i="10"/>
  <c r="N5" i="10"/>
  <c r="C5" i="10"/>
  <c r="L4" i="18"/>
  <c r="L4" i="26" s="1"/>
  <c r="Y44" i="16" l="1"/>
  <c r="AA58" i="16"/>
  <c r="AA44" i="16"/>
  <c r="W29" i="16"/>
  <c r="Y58" i="16"/>
  <c r="L5" i="26"/>
  <c r="N5" i="13"/>
  <c r="B5" i="26"/>
  <c r="D5" i="26"/>
  <c r="AC29" i="16"/>
  <c r="L5" i="13"/>
  <c r="K5" i="13"/>
  <c r="C5" i="13"/>
  <c r="AA11" i="16"/>
  <c r="Y11" i="16"/>
  <c r="B5" i="13"/>
  <c r="W4" i="9"/>
  <c r="D5" i="13"/>
  <c r="W58" i="16"/>
  <c r="W44" i="16"/>
  <c r="I5" i="13"/>
  <c r="W4" i="5"/>
  <c r="S4" i="10"/>
  <c r="S4" i="13" s="1"/>
  <c r="S5" i="13"/>
  <c r="I5" i="26"/>
  <c r="AA4" i="13"/>
  <c r="X19" i="16"/>
  <c r="X16" i="16"/>
  <c r="X20" i="16"/>
  <c r="X24" i="16"/>
  <c r="X28" i="16"/>
  <c r="X33" i="16"/>
  <c r="X37" i="16"/>
  <c r="X41" i="16"/>
  <c r="X46" i="16"/>
  <c r="X50" i="16"/>
  <c r="X54" i="16"/>
  <c r="X61" i="16"/>
  <c r="X65" i="16"/>
  <c r="X69" i="16"/>
  <c r="X62" i="16"/>
  <c r="X66" i="16"/>
  <c r="X15" i="16"/>
  <c r="X14" i="16"/>
  <c r="X18" i="16"/>
  <c r="X22" i="16"/>
  <c r="X26" i="16"/>
  <c r="X31" i="16"/>
  <c r="X35" i="16"/>
  <c r="X39" i="16"/>
  <c r="X43" i="16"/>
  <c r="X48" i="16"/>
  <c r="X52" i="16"/>
  <c r="X56" i="16"/>
  <c r="X63" i="16"/>
  <c r="X67" i="16"/>
  <c r="X60" i="16"/>
  <c r="X64" i="16"/>
  <c r="X68" i="16"/>
  <c r="X44" i="16"/>
  <c r="X11" i="16"/>
  <c r="X29" i="16"/>
  <c r="W5" i="13"/>
  <c r="W4" i="4"/>
  <c r="AC44" i="16" l="1"/>
  <c r="J10" i="16"/>
  <c r="AC58" i="16"/>
  <c r="AC11" i="16"/>
  <c r="W4" i="13"/>
  <c r="W15" i="16"/>
  <c r="X58" i="16"/>
  <c r="W11" i="16" l="1"/>
  <c r="X10" i="16"/>
  <c r="W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MJ Kim</author>
  </authors>
  <commentList>
    <comment ref="P30" authorId="0" shapeId="0" xr:uid="{7794E400-6DE5-4A89-A6E5-13274DE3D76E}">
      <text>
        <r>
          <rPr>
            <sz val="10"/>
            <rFont val="SWISS-C"/>
          </rPr>
          <t xml:space="preserve">MJ Kim:
</t>
        </r>
      </text>
    </comment>
    <comment ref="Q30" authorId="0" shapeId="0" xr:uid="{F15A1ECE-A4C6-4CBB-AB89-FCCDD884BFAE}">
      <text>
        <r>
          <rPr>
            <sz val="10"/>
            <rFont val="SWISS-C"/>
          </rPr>
          <t>MJ Kim:
Manual entry</t>
        </r>
      </text>
    </comment>
    <comment ref="R30" authorId="0" shapeId="0" xr:uid="{7B233C75-FD59-4BE8-9672-33BF072FAC9C}">
      <text>
        <r>
          <rPr>
            <sz val="10"/>
            <rFont val="SWISS-C"/>
          </rPr>
          <t>MJ Kim:
Manual entry</t>
        </r>
      </text>
    </comment>
    <comment ref="S30" authorId="0" shapeId="0" xr:uid="{C521E24E-682C-47DD-AC5F-3686B08F08C5}">
      <text>
        <r>
          <rPr>
            <sz val="10"/>
            <rFont val="SWISS-C"/>
          </rPr>
          <t>MJ Kim:
Manual entry</t>
        </r>
      </text>
    </comment>
    <comment ref="T30" authorId="0" shapeId="0" xr:uid="{3CD4DAD1-3CBD-4FD0-9AA4-52B5E13CB572}">
      <text>
        <r>
          <rPr>
            <sz val="10"/>
            <rFont val="SWISS-C"/>
          </rPr>
          <t>MJ Kim:
Manual entry</t>
        </r>
      </text>
    </comment>
    <comment ref="U30" authorId="0" shapeId="0" xr:uid="{142B8993-501C-44FC-88E9-D0838A3215B5}">
      <text>
        <r>
          <rPr>
            <sz val="10"/>
            <rFont val="SWISS-C"/>
          </rPr>
          <t>MJ Kim:
Manual entry</t>
        </r>
      </text>
    </comment>
    <comment ref="C68" authorId="0" shapeId="0" xr:uid="{B1D8FACA-78D1-4557-AE66-F8A65FD361F2}">
      <text>
        <r>
          <rPr>
            <sz val="10"/>
            <rFont val="SWISS-C"/>
          </rPr>
          <t>MJ Kim:
Manual entry</t>
        </r>
      </text>
    </comment>
    <comment ref="D68" authorId="0" shapeId="0" xr:uid="{0E74C36E-7CC0-43D0-9062-904887DBC751}">
      <text>
        <r>
          <rPr>
            <sz val="10"/>
            <rFont val="SWISS-C"/>
          </rPr>
          <t>MJ Kim:
Manual entry</t>
        </r>
      </text>
    </comment>
    <comment ref="E68" authorId="0" shapeId="0" xr:uid="{258410C4-9FAF-4BDC-AE71-652A22110BF6}">
      <text>
        <r>
          <rPr>
            <sz val="10"/>
            <rFont val="SWISS-C"/>
          </rPr>
          <t>MJ Kim:
Manual entry</t>
        </r>
      </text>
    </comment>
    <comment ref="F68" authorId="0" shapeId="0" xr:uid="{5FA39A86-DC1B-4FF0-80DD-99115DE75E00}">
      <text>
        <r>
          <rPr>
            <sz val="10"/>
            <rFont val="SWISS-C"/>
          </rPr>
          <t>MJ Kim:
Manual entry</t>
        </r>
      </text>
    </comment>
    <comment ref="G68" authorId="0" shapeId="0" xr:uid="{D707EAF0-937B-45AC-BB6D-CC3739BE3558}">
      <text>
        <r>
          <rPr>
            <sz val="10"/>
            <rFont val="SWISS-C"/>
          </rPr>
          <t>MJ Kim:
Manual entry</t>
        </r>
      </text>
    </comment>
    <comment ref="H68" authorId="0" shapeId="0" xr:uid="{6823C9A4-6694-415D-A15B-6F3567834C4E}">
      <text>
        <r>
          <rPr>
            <sz val="10"/>
            <rFont val="SWISS-C"/>
          </rPr>
          <t>MJ Kim:
Manual entry</t>
        </r>
      </text>
    </comment>
    <comment ref="I68" authorId="0" shapeId="0" xr:uid="{EDF0C024-F9B3-437D-97B7-8D1856CB6383}">
      <text>
        <r>
          <rPr>
            <sz val="10"/>
            <rFont val="SWISS-C"/>
          </rPr>
          <t>MJ Kim:
Manual entry</t>
        </r>
      </text>
    </comment>
    <comment ref="J68" authorId="0" shapeId="0" xr:uid="{6619E3D2-9A1C-4886-99AE-E387DB6232A8}">
      <text>
        <r>
          <rPr>
            <sz val="10"/>
            <rFont val="SWISS-C"/>
          </rPr>
          <t>MJ Kim:
Manual entry</t>
        </r>
      </text>
    </comment>
    <comment ref="K68" authorId="0" shapeId="0" xr:uid="{67056C8F-69BC-455F-A149-69D2D3C33280}">
      <text>
        <r>
          <rPr>
            <sz val="10"/>
            <rFont val="SWISS-C"/>
          </rPr>
          <t>MJ Kim:
Manual entry</t>
        </r>
      </text>
    </comment>
    <comment ref="L68" authorId="0" shapeId="0" xr:uid="{FCF6DEBF-5D18-4D59-A545-045C445D207E}">
      <text>
        <r>
          <rPr>
            <sz val="10"/>
            <rFont val="SWISS-C"/>
          </rPr>
          <t>MJ Kim:
Manual entry</t>
        </r>
      </text>
    </comment>
    <comment ref="M68" authorId="0" shapeId="0" xr:uid="{D0EE3687-DA1B-4639-8E92-A7E5F491FC11}">
      <text>
        <r>
          <rPr>
            <sz val="10"/>
            <rFont val="SWISS-C"/>
          </rPr>
          <t>MJ Kim:
Manual entry</t>
        </r>
      </text>
    </comment>
    <comment ref="N68" authorId="0" shapeId="0" xr:uid="{63D6FD28-6D2B-4473-81DC-8F82FC5F89DE}">
      <text>
        <r>
          <rPr>
            <sz val="10"/>
            <rFont val="SWISS-C"/>
          </rPr>
          <t>MJ Kim:
Manual entry</t>
        </r>
      </text>
    </comment>
    <comment ref="P68" authorId="0" shapeId="0" xr:uid="{F76C7956-B481-476F-A35B-82C6F7DC6D11}">
      <text>
        <r>
          <rPr>
            <sz val="10"/>
            <rFont val="SWISS-C"/>
          </rPr>
          <t xml:space="preserve">MJ Kim:
</t>
        </r>
      </text>
    </comment>
    <comment ref="Q68" authorId="0" shapeId="0" xr:uid="{F8AD7C28-C0FC-45D5-9FD1-F24AB2261DAC}">
      <text>
        <r>
          <rPr>
            <sz val="10"/>
            <rFont val="SWISS-C"/>
          </rPr>
          <t>MJ Kim:
Manual entry</t>
        </r>
      </text>
    </comment>
    <comment ref="R68" authorId="0" shapeId="0" xr:uid="{F160374D-971C-4EB4-8209-B0A4147A6E71}">
      <text>
        <r>
          <rPr>
            <sz val="10"/>
            <rFont val="SWISS-C"/>
          </rPr>
          <t>MJ Kim:
Manual entry</t>
        </r>
      </text>
    </comment>
    <comment ref="S68" authorId="0" shapeId="0" xr:uid="{9D9A2068-3F75-4E77-A8B5-83A671881C07}">
      <text>
        <r>
          <rPr>
            <sz val="10"/>
            <rFont val="SWISS-C"/>
          </rPr>
          <t>MJ Kim:
Manual entry</t>
        </r>
      </text>
    </comment>
    <comment ref="T68" authorId="0" shapeId="0" xr:uid="{3E42C32D-103C-4187-A9D9-070D2D9E8ACC}">
      <text>
        <r>
          <rPr>
            <sz val="10"/>
            <rFont val="SWISS-C"/>
          </rPr>
          <t>MJ Kim:
Manual entry</t>
        </r>
      </text>
    </comment>
    <comment ref="U68" authorId="0" shapeId="0" xr:uid="{6F7CEDD3-CC3D-4332-8A6C-8DFA8C72B0F1}">
      <text>
        <r>
          <rPr>
            <sz val="10"/>
            <rFont val="SWISS-C"/>
          </rPr>
          <t>MJ Kim:
Manual entry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A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A2" authorId="1" shapeId="0" xr:uid="{00000000-0006-0000-0A00-000002000000}">
      <text>
        <r>
          <rPr>
            <b/>
            <sz val="8"/>
            <color indexed="81"/>
            <rFont val="Tahoma"/>
            <family val="2"/>
          </rPr>
          <t>jmarks:</t>
        </r>
        <r>
          <rPr>
            <sz val="8"/>
            <color indexed="81"/>
            <rFont val="Tahoma"/>
            <family val="2"/>
          </rPr>
          <t xml:space="preserve">
The "all other" amounts are other CF not other E&amp;G and will have to be reassigned as time permits.</t>
        </r>
      </text>
    </comment>
    <comment ref="P3" authorId="1" shapeId="0" xr:uid="{00000000-0006-0000-0A00-000003000000}">
      <text>
        <r>
          <rPr>
            <b/>
            <sz val="10"/>
            <color indexed="81"/>
            <rFont val="Tahoma"/>
            <family val="2"/>
          </rPr>
          <t>jmarks:</t>
        </r>
        <r>
          <rPr>
            <sz val="10"/>
            <color indexed="81"/>
            <rFont val="Tahoma"/>
            <family val="2"/>
          </rPr>
          <t xml:space="preserve">
Not available (Aug. 2010)
</t>
        </r>
      </text>
    </comment>
    <comment ref="Q3" authorId="1" shapeId="0" xr:uid="{00000000-0006-0000-0A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A00-000005000000}">
      <text>
        <r>
          <rPr>
            <b/>
            <sz val="8"/>
            <color indexed="81"/>
            <rFont val="Tahoma"/>
            <family val="2"/>
          </rPr>
          <t>jmarks:</t>
        </r>
        <r>
          <rPr>
            <sz val="8"/>
            <color indexed="81"/>
            <rFont val="Tahoma"/>
            <family val="2"/>
          </rPr>
          <t xml:space="preserve">
last year of old reporting standards
</t>
        </r>
      </text>
    </comment>
    <comment ref="S9" authorId="1" shapeId="0" xr:uid="{00000000-0006-0000-0A00-000006000000}">
      <text>
        <r>
          <rPr>
            <b/>
            <sz val="8"/>
            <color indexed="81"/>
            <rFont val="Tahoma"/>
            <family val="2"/>
          </rPr>
          <t>jmarks:</t>
        </r>
        <r>
          <rPr>
            <sz val="8"/>
            <color indexed="81"/>
            <rFont val="Tahoma"/>
            <family val="2"/>
          </rPr>
          <t xml:space="preserve">
U Del from FASB file</t>
        </r>
      </text>
    </comment>
    <comment ref="W9" authorId="1" shapeId="0" xr:uid="{00000000-0006-0000-0A00-000007000000}">
      <text>
        <r>
          <rPr>
            <b/>
            <sz val="8"/>
            <color indexed="81"/>
            <rFont val="Tahoma"/>
            <family val="2"/>
          </rPr>
          <t>jmarks:</t>
        </r>
        <r>
          <rPr>
            <sz val="8"/>
            <color indexed="81"/>
            <rFont val="Tahoma"/>
            <family val="2"/>
          </rPr>
          <t xml:space="preserve">
U Del from FASB file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B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B00-000002000000}">
      <text>
        <r>
          <rPr>
            <b/>
            <sz val="10"/>
            <color indexed="81"/>
            <rFont val="Tahoma"/>
            <family val="2"/>
          </rPr>
          <t>jmarks:</t>
        </r>
        <r>
          <rPr>
            <sz val="10"/>
            <color indexed="81"/>
            <rFont val="Tahoma"/>
            <family val="2"/>
          </rPr>
          <t xml:space="preserve">
Not available (Aug. 2010)
</t>
        </r>
      </text>
    </comment>
    <comment ref="Q3" authorId="1" shapeId="0" xr:uid="{00000000-0006-0000-0B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B00-000004000000}">
      <text>
        <r>
          <rPr>
            <b/>
            <sz val="8"/>
            <color indexed="81"/>
            <rFont val="Tahoma"/>
            <family val="2"/>
          </rPr>
          <t>jmarks:</t>
        </r>
        <r>
          <rPr>
            <sz val="8"/>
            <color indexed="81"/>
            <rFont val="Tahoma"/>
            <family val="2"/>
          </rPr>
          <t xml:space="preserve">
last year of old reporting standards
</t>
        </r>
      </text>
    </comment>
    <comment ref="K4" authorId="0" shapeId="0" xr:uid="{00000000-0006-0000-0B00-000005000000}">
      <text>
        <r>
          <rPr>
            <b/>
            <sz val="10"/>
            <color indexed="81"/>
            <rFont val="Tahoma"/>
            <family val="2"/>
          </rPr>
          <t>JLM:</t>
        </r>
        <r>
          <rPr>
            <sz val="10"/>
            <color indexed="81"/>
            <rFont val="Tahoma"/>
            <family val="2"/>
          </rPr>
          <t xml:space="preserve">
orginal number lost; extrapolated
</t>
        </r>
      </text>
    </comment>
    <comment ref="L4" authorId="0" shapeId="0" xr:uid="{00000000-0006-0000-0B00-000006000000}">
      <text>
        <r>
          <rPr>
            <b/>
            <sz val="10"/>
            <color indexed="81"/>
            <rFont val="Tahoma"/>
            <family val="2"/>
          </rPr>
          <t>JLM:</t>
        </r>
        <r>
          <rPr>
            <sz val="10"/>
            <color indexed="81"/>
            <rFont val="Tahoma"/>
            <family val="2"/>
          </rPr>
          <t xml:space="preserve">
orginal number lost; extrapolated
</t>
        </r>
      </text>
    </comment>
    <comment ref="N4" authorId="0" shapeId="0" xr:uid="{00000000-0006-0000-0B00-000007000000}">
      <text>
        <r>
          <rPr>
            <b/>
            <sz val="10"/>
            <color indexed="81"/>
            <rFont val="Tahoma"/>
            <family val="2"/>
          </rPr>
          <t>JLM:</t>
        </r>
        <r>
          <rPr>
            <sz val="10"/>
            <color indexed="81"/>
            <rFont val="Tahoma"/>
            <family val="2"/>
          </rPr>
          <t xml:space="preserve">
orginal number lost; extrapolated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D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D00-000002000000}">
      <text>
        <r>
          <rPr>
            <b/>
            <sz val="10"/>
            <color indexed="81"/>
            <rFont val="Tahoma"/>
            <family val="2"/>
          </rPr>
          <t>jmarks:</t>
        </r>
        <r>
          <rPr>
            <sz val="10"/>
            <color indexed="81"/>
            <rFont val="Tahoma"/>
            <family val="2"/>
          </rPr>
          <t xml:space="preserve">
Not available (Aug. 2010)
</t>
        </r>
      </text>
    </comment>
    <comment ref="Q3" authorId="1" shapeId="0" xr:uid="{00000000-0006-0000-0D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D00-000004000000}">
      <text>
        <r>
          <rPr>
            <b/>
            <sz val="8"/>
            <color indexed="81"/>
            <rFont val="Tahoma"/>
            <family val="2"/>
          </rPr>
          <t>jmarks:</t>
        </r>
        <r>
          <rPr>
            <sz val="8"/>
            <color indexed="81"/>
            <rFont val="Tahoma"/>
            <family val="2"/>
          </rPr>
          <t xml:space="preserve">
last year of old reporting standards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C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C00-000002000000}">
      <text>
        <r>
          <rPr>
            <b/>
            <sz val="10"/>
            <color indexed="81"/>
            <rFont val="Tahoma"/>
            <family val="2"/>
          </rPr>
          <t>jmarks:</t>
        </r>
        <r>
          <rPr>
            <sz val="10"/>
            <color indexed="81"/>
            <rFont val="Tahoma"/>
            <family val="2"/>
          </rPr>
          <t xml:space="preserve">
Not available (Aug. 2010)
</t>
        </r>
      </text>
    </comment>
    <comment ref="Q3" authorId="1" shapeId="0" xr:uid="{00000000-0006-0000-0C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C00-000004000000}">
      <text>
        <r>
          <rPr>
            <b/>
            <sz val="8"/>
            <color indexed="81"/>
            <rFont val="Tahoma"/>
            <family val="2"/>
          </rPr>
          <t>jmarks:</t>
        </r>
        <r>
          <rPr>
            <sz val="8"/>
            <color indexed="81"/>
            <rFont val="Tahoma"/>
            <family val="2"/>
          </rPr>
          <t xml:space="preserve">
last year of old reporting standards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E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E00-000002000000}">
      <text>
        <r>
          <rPr>
            <b/>
            <sz val="10"/>
            <color indexed="81"/>
            <rFont val="Tahoma"/>
            <family val="2"/>
          </rPr>
          <t>jmarks:</t>
        </r>
        <r>
          <rPr>
            <sz val="10"/>
            <color indexed="81"/>
            <rFont val="Tahoma"/>
            <family val="2"/>
          </rPr>
          <t xml:space="preserve">
Not available (Aug. 2010)
</t>
        </r>
      </text>
    </comment>
    <comment ref="Q3" authorId="1" shapeId="0" xr:uid="{00000000-0006-0000-0E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E00-000004000000}">
      <text>
        <r>
          <rPr>
            <b/>
            <sz val="8"/>
            <color indexed="81"/>
            <rFont val="Tahoma"/>
            <family val="2"/>
          </rPr>
          <t>jmarks:</t>
        </r>
        <r>
          <rPr>
            <sz val="8"/>
            <color indexed="81"/>
            <rFont val="Tahoma"/>
            <family val="2"/>
          </rPr>
          <t xml:space="preserve">
last year of old reporting standards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F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F00-000002000000}">
      <text>
        <r>
          <rPr>
            <b/>
            <sz val="10"/>
            <color indexed="81"/>
            <rFont val="Tahoma"/>
            <family val="2"/>
          </rPr>
          <t>jmarks:</t>
        </r>
        <r>
          <rPr>
            <sz val="10"/>
            <color indexed="81"/>
            <rFont val="Tahoma"/>
            <family val="2"/>
          </rPr>
          <t xml:space="preserve">
Not available (Aug. 2010)
</t>
        </r>
      </text>
    </comment>
    <comment ref="Q3" authorId="1" shapeId="0" xr:uid="{00000000-0006-0000-0F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F00-000004000000}">
      <text>
        <r>
          <rPr>
            <b/>
            <sz val="8"/>
            <color indexed="81"/>
            <rFont val="Tahoma"/>
            <family val="2"/>
          </rPr>
          <t>jmarks:</t>
        </r>
        <r>
          <rPr>
            <sz val="8"/>
            <color indexed="81"/>
            <rFont val="Tahoma"/>
            <family val="2"/>
          </rPr>
          <t xml:space="preserve">
last year of old reporting standards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0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1000-000002000000}">
      <text>
        <r>
          <rPr>
            <b/>
            <sz val="10"/>
            <color indexed="81"/>
            <rFont val="Tahoma"/>
            <family val="2"/>
          </rPr>
          <t>jmarks:</t>
        </r>
        <r>
          <rPr>
            <sz val="10"/>
            <color indexed="81"/>
            <rFont val="Tahoma"/>
            <family val="2"/>
          </rPr>
          <t xml:space="preserve">
Not available (Aug. 2010)
</t>
        </r>
      </text>
    </comment>
    <comment ref="Q3" authorId="1" shapeId="0" xr:uid="{00000000-0006-0000-10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1000-000004000000}">
      <text>
        <r>
          <rPr>
            <b/>
            <sz val="8"/>
            <color indexed="81"/>
            <rFont val="Tahoma"/>
            <family val="2"/>
          </rPr>
          <t>jmarks:</t>
        </r>
        <r>
          <rPr>
            <sz val="8"/>
            <color indexed="81"/>
            <rFont val="Tahoma"/>
            <family val="2"/>
          </rPr>
          <t xml:space="preserve">
last year of old reporting standards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11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A2" authorId="1" shapeId="0" xr:uid="{00000000-0006-0000-1100-000002000000}">
      <text>
        <r>
          <rPr>
            <b/>
            <sz val="8"/>
            <color indexed="81"/>
            <rFont val="Tahoma"/>
            <family val="2"/>
          </rPr>
          <t>jmarks:</t>
        </r>
        <r>
          <rPr>
            <sz val="8"/>
            <color indexed="81"/>
            <rFont val="Tahoma"/>
            <family val="2"/>
          </rPr>
          <t xml:space="preserve">
The "all other" amounts are other CF not other E&amp;G and will have to be reassigned as time permits.</t>
        </r>
      </text>
    </comment>
    <comment ref="P3" authorId="1" shapeId="0" xr:uid="{00000000-0006-0000-1100-000003000000}">
      <text>
        <r>
          <rPr>
            <b/>
            <sz val="10"/>
            <color indexed="81"/>
            <rFont val="Tahoma"/>
            <family val="2"/>
          </rPr>
          <t>jmarks:</t>
        </r>
        <r>
          <rPr>
            <sz val="10"/>
            <color indexed="81"/>
            <rFont val="Tahoma"/>
            <family val="2"/>
          </rPr>
          <t xml:space="preserve">
Not available (Aug. 2010)
</t>
        </r>
      </text>
    </comment>
    <comment ref="Q3" authorId="1" shapeId="0" xr:uid="{00000000-0006-0000-11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1100-000005000000}">
      <text>
        <r>
          <rPr>
            <b/>
            <sz val="8"/>
            <color indexed="81"/>
            <rFont val="Tahoma"/>
            <family val="2"/>
          </rPr>
          <t>jmarks:</t>
        </r>
        <r>
          <rPr>
            <sz val="8"/>
            <color indexed="81"/>
            <rFont val="Tahoma"/>
            <family val="2"/>
          </rPr>
          <t xml:space="preserve">
last year of old reporting standards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2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S3" authorId="1" shapeId="0" xr:uid="{00000000-0006-0000-0200-000002000000}">
      <text>
        <r>
          <rPr>
            <b/>
            <sz val="8"/>
            <color indexed="81"/>
            <rFont val="Tahoma"/>
            <family val="2"/>
          </rPr>
          <t>jmarks:</t>
        </r>
        <r>
          <rPr>
            <sz val="8"/>
            <color indexed="81"/>
            <rFont val="Tahoma"/>
            <family val="2"/>
          </rPr>
          <t xml:space="preserve">
last year of old reporting standards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3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S3" authorId="1" shapeId="0" xr:uid="{00000000-0006-0000-0300-000002000000}">
      <text>
        <r>
          <rPr>
            <b/>
            <sz val="8"/>
            <color indexed="81"/>
            <rFont val="Tahoma"/>
            <family val="2"/>
          </rPr>
          <t>jmarks:</t>
        </r>
        <r>
          <rPr>
            <sz val="8"/>
            <color indexed="81"/>
            <rFont val="Tahoma"/>
            <family val="2"/>
          </rPr>
          <t xml:space="preserve">
last year of old reporting standards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4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O3" authorId="1" shapeId="0" xr:uid="{00000000-0006-0000-0400-000002000000}">
      <text>
        <r>
          <rPr>
            <b/>
            <sz val="10"/>
            <color indexed="81"/>
            <rFont val="Tahoma"/>
            <family val="2"/>
          </rPr>
          <t>jmarks:</t>
        </r>
        <r>
          <rPr>
            <sz val="10"/>
            <color indexed="81"/>
            <rFont val="Tahoma"/>
            <family val="2"/>
          </rPr>
          <t xml:space="preserve">
No longer available.(Aug. 2010)
</t>
        </r>
      </text>
    </comment>
    <comment ref="P3" authorId="1" shapeId="0" xr:uid="{00000000-0006-0000-0400-000003000000}">
      <text>
        <r>
          <rPr>
            <b/>
            <sz val="10"/>
            <color indexed="81"/>
            <rFont val="Tahoma"/>
            <family val="2"/>
          </rPr>
          <t>jmarks:</t>
        </r>
        <r>
          <rPr>
            <sz val="10"/>
            <color indexed="81"/>
            <rFont val="Tahoma"/>
            <family val="2"/>
          </rPr>
          <t xml:space="preserve">
Not available (Aug. 2010)
</t>
        </r>
      </text>
    </comment>
    <comment ref="Q3" authorId="1" shapeId="0" xr:uid="{00000000-0006-0000-0400-000004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400-000005000000}">
      <text>
        <r>
          <rPr>
            <b/>
            <sz val="8"/>
            <color indexed="81"/>
            <rFont val="Tahoma"/>
            <family val="2"/>
          </rPr>
          <t>jmarks:</t>
        </r>
        <r>
          <rPr>
            <sz val="8"/>
            <color indexed="81"/>
            <rFont val="Tahoma"/>
            <family val="2"/>
          </rPr>
          <t xml:space="preserve">
last year of old reporting standards
</t>
        </r>
      </text>
    </comment>
    <comment ref="K4" authorId="0" shapeId="0" xr:uid="{00000000-0006-0000-0400-000006000000}">
      <text>
        <r>
          <rPr>
            <b/>
            <sz val="10"/>
            <color indexed="81"/>
            <rFont val="Tahoma"/>
            <family val="2"/>
          </rPr>
          <t>JLM:</t>
        </r>
        <r>
          <rPr>
            <sz val="10"/>
            <color indexed="81"/>
            <rFont val="Tahoma"/>
            <family val="2"/>
          </rPr>
          <t xml:space="preserve">
orginal number lost; extrapolated
</t>
        </r>
      </text>
    </comment>
    <comment ref="L4" authorId="0" shapeId="0" xr:uid="{00000000-0006-0000-0400-000007000000}">
      <text>
        <r>
          <rPr>
            <b/>
            <sz val="10"/>
            <color indexed="81"/>
            <rFont val="Tahoma"/>
            <family val="2"/>
          </rPr>
          <t>JLM:</t>
        </r>
        <r>
          <rPr>
            <sz val="10"/>
            <color indexed="81"/>
            <rFont val="Tahoma"/>
            <family val="2"/>
          </rPr>
          <t xml:space="preserve">
orginal number lost; extrapolated
</t>
        </r>
      </text>
    </comment>
    <comment ref="N4" authorId="0" shapeId="0" xr:uid="{00000000-0006-0000-0400-000008000000}">
      <text>
        <r>
          <rPr>
            <b/>
            <sz val="10"/>
            <color indexed="81"/>
            <rFont val="Tahoma"/>
            <family val="2"/>
          </rPr>
          <t>JLM:</t>
        </r>
        <r>
          <rPr>
            <sz val="10"/>
            <color indexed="81"/>
            <rFont val="Tahoma"/>
            <family val="2"/>
          </rPr>
          <t xml:space="preserve">
orginal number lost; extrapolated
</t>
        </r>
      </text>
    </comment>
    <comment ref="S9" authorId="1" shapeId="0" xr:uid="{00000000-0006-0000-0400-000009000000}">
      <text>
        <r>
          <rPr>
            <b/>
            <sz val="8"/>
            <color indexed="81"/>
            <rFont val="Tahoma"/>
            <family val="2"/>
          </rPr>
          <t>jmarks:</t>
        </r>
        <r>
          <rPr>
            <sz val="8"/>
            <color indexed="81"/>
            <rFont val="Tahoma"/>
            <family val="2"/>
          </rPr>
          <t xml:space="preserve">
U Del had to be taken from FASB file</t>
        </r>
      </text>
    </comment>
    <comment ref="W9" authorId="1" shapeId="0" xr:uid="{00000000-0006-0000-0400-00000A000000}">
      <text>
        <r>
          <rPr>
            <b/>
            <sz val="8"/>
            <color indexed="81"/>
            <rFont val="Tahoma"/>
            <family val="2"/>
          </rPr>
          <t>jmarks:</t>
        </r>
        <r>
          <rPr>
            <sz val="8"/>
            <color indexed="81"/>
            <rFont val="Tahoma"/>
            <family val="2"/>
          </rPr>
          <t xml:space="preserve">
U Del had to be taken from FASB file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6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600-000002000000}">
      <text>
        <r>
          <rPr>
            <b/>
            <sz val="10"/>
            <color indexed="81"/>
            <rFont val="Tahoma"/>
            <family val="2"/>
          </rPr>
          <t>jmarks:</t>
        </r>
        <r>
          <rPr>
            <sz val="10"/>
            <color indexed="81"/>
            <rFont val="Tahoma"/>
            <family val="2"/>
          </rPr>
          <t xml:space="preserve">
Not available (Aug. 2010)
</t>
        </r>
      </text>
    </comment>
    <comment ref="Q3" authorId="1" shapeId="0" xr:uid="{00000000-0006-0000-06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6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600-000005000000}">
      <text>
        <r>
          <rPr>
            <b/>
            <sz val="8"/>
            <color indexed="81"/>
            <rFont val="Tahoma"/>
            <family val="2"/>
          </rPr>
          <t>jmarks:</t>
        </r>
        <r>
          <rPr>
            <sz val="8"/>
            <color indexed="81"/>
            <rFont val="Tahoma"/>
            <family val="2"/>
          </rPr>
          <t xml:space="preserve">
U Del taken from FASB file</t>
        </r>
      </text>
    </comment>
    <comment ref="W9" authorId="1" shapeId="0" xr:uid="{00000000-0006-0000-0600-000006000000}">
      <text>
        <r>
          <rPr>
            <b/>
            <sz val="8"/>
            <color indexed="81"/>
            <rFont val="Tahoma"/>
            <family val="2"/>
          </rPr>
          <t>jmarks:</t>
        </r>
        <r>
          <rPr>
            <sz val="8"/>
            <color indexed="81"/>
            <rFont val="Tahoma"/>
            <family val="2"/>
          </rPr>
          <t xml:space="preserve">
U Del taken from FASB file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5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500-000002000000}">
      <text>
        <r>
          <rPr>
            <b/>
            <sz val="10"/>
            <color indexed="81"/>
            <rFont val="Tahoma"/>
            <family val="2"/>
          </rPr>
          <t>jmarks:</t>
        </r>
        <r>
          <rPr>
            <sz val="10"/>
            <color indexed="81"/>
            <rFont val="Tahoma"/>
            <family val="2"/>
          </rPr>
          <t xml:space="preserve">
Not available (Aug. 2010)
</t>
        </r>
      </text>
    </comment>
    <comment ref="Q3" authorId="1" shapeId="0" xr:uid="{00000000-0006-0000-05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500-000004000000}">
      <text>
        <r>
          <rPr>
            <b/>
            <sz val="8"/>
            <color indexed="81"/>
            <rFont val="Tahoma"/>
            <family val="2"/>
          </rPr>
          <t>jmarks:</t>
        </r>
        <r>
          <rPr>
            <sz val="8"/>
            <color indexed="81"/>
            <rFont val="Tahoma"/>
            <family val="2"/>
          </rPr>
          <t xml:space="preserve">
last year of old reporting standards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7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700-000002000000}">
      <text>
        <r>
          <rPr>
            <b/>
            <sz val="10"/>
            <color indexed="81"/>
            <rFont val="Tahoma"/>
            <family val="2"/>
          </rPr>
          <t>jmarks:</t>
        </r>
        <r>
          <rPr>
            <sz val="10"/>
            <color indexed="81"/>
            <rFont val="Tahoma"/>
            <family val="2"/>
          </rPr>
          <t xml:space="preserve">
Not available (Aug. 2010)
</t>
        </r>
      </text>
    </comment>
    <comment ref="Q3" authorId="1" shapeId="0" xr:uid="{00000000-0006-0000-07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7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700-000005000000}">
      <text>
        <r>
          <rPr>
            <b/>
            <sz val="8"/>
            <color indexed="81"/>
            <rFont val="Tahoma"/>
            <family val="2"/>
          </rPr>
          <t>jmarks:</t>
        </r>
        <r>
          <rPr>
            <sz val="8"/>
            <color indexed="81"/>
            <rFont val="Tahoma"/>
            <family val="2"/>
          </rPr>
          <t xml:space="preserve">
U Del taken from FASB file</t>
        </r>
      </text>
    </comment>
    <comment ref="W9" authorId="1" shapeId="0" xr:uid="{00000000-0006-0000-0700-000006000000}">
      <text>
        <r>
          <rPr>
            <b/>
            <sz val="8"/>
            <color indexed="81"/>
            <rFont val="Tahoma"/>
            <family val="2"/>
          </rPr>
          <t>jmarks:</t>
        </r>
        <r>
          <rPr>
            <sz val="8"/>
            <color indexed="81"/>
            <rFont val="Tahoma"/>
            <family val="2"/>
          </rPr>
          <t xml:space="preserve">
U Del taken from FASB file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8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800-000002000000}">
      <text>
        <r>
          <rPr>
            <b/>
            <sz val="10"/>
            <color indexed="81"/>
            <rFont val="Tahoma"/>
            <family val="2"/>
          </rPr>
          <t>jmarks:</t>
        </r>
        <r>
          <rPr>
            <sz val="10"/>
            <color indexed="81"/>
            <rFont val="Tahoma"/>
            <family val="2"/>
          </rPr>
          <t xml:space="preserve">
Not available (Aug. 2010)
</t>
        </r>
      </text>
    </comment>
    <comment ref="Q3" authorId="1" shapeId="0" xr:uid="{00000000-0006-0000-08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8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800-000005000000}">
      <text>
        <r>
          <rPr>
            <b/>
            <sz val="8"/>
            <color indexed="81"/>
            <rFont val="Tahoma"/>
            <family val="2"/>
          </rPr>
          <t>jmarks:</t>
        </r>
        <r>
          <rPr>
            <sz val="8"/>
            <color indexed="81"/>
            <rFont val="Tahoma"/>
            <family val="2"/>
          </rPr>
          <t xml:space="preserve">
U Del from FASB file
</t>
        </r>
      </text>
    </comment>
    <comment ref="W9" authorId="1" shapeId="0" xr:uid="{00000000-0006-0000-0800-000006000000}">
      <text>
        <r>
          <rPr>
            <b/>
            <sz val="8"/>
            <color indexed="81"/>
            <rFont val="Tahoma"/>
            <family val="2"/>
          </rPr>
          <t>jmarks:</t>
        </r>
        <r>
          <rPr>
            <sz val="8"/>
            <color indexed="81"/>
            <rFont val="Tahoma"/>
            <family val="2"/>
          </rPr>
          <t xml:space="preserve">
U Del from FASB file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JLM</author>
    <author>jmarks</author>
  </authors>
  <commentList>
    <comment ref="A1" authorId="0" shapeId="0" xr:uid="{00000000-0006-0000-0900-000001000000}">
      <text>
        <r>
          <rPr>
            <b/>
            <sz val="10"/>
            <color indexed="81"/>
            <rFont val="Tahoma"/>
            <family val="2"/>
          </rPr>
          <t>JLM:</t>
        </r>
        <r>
          <rPr>
            <sz val="10"/>
            <color indexed="81"/>
            <rFont val="Tahoma"/>
            <family val="2"/>
          </rPr>
          <t xml:space="preserve">
E&amp;G through 1999-2000, CORE thereafter when the new GASB reporting standards went into effect.</t>
        </r>
      </text>
    </comment>
    <comment ref="P3" authorId="1" shapeId="0" xr:uid="{00000000-0006-0000-0900-000002000000}">
      <text>
        <r>
          <rPr>
            <b/>
            <sz val="10"/>
            <color indexed="81"/>
            <rFont val="Tahoma"/>
            <family val="2"/>
          </rPr>
          <t>jmarks:</t>
        </r>
        <r>
          <rPr>
            <sz val="10"/>
            <color indexed="81"/>
            <rFont val="Tahoma"/>
            <family val="2"/>
          </rPr>
          <t xml:space="preserve">
Not available (Aug. 2010)
</t>
        </r>
      </text>
    </comment>
    <comment ref="Q3" authorId="1" shapeId="0" xr:uid="{00000000-0006-0000-0900-000003000000}">
      <text>
        <r>
          <rPr>
            <b/>
            <sz val="10"/>
            <color indexed="81"/>
            <rFont val="Tahoma"/>
            <family val="2"/>
          </rPr>
          <t>jmarks:</t>
        </r>
        <r>
          <rPr>
            <sz val="10"/>
            <color indexed="81"/>
            <rFont val="Tahoma"/>
            <family val="2"/>
          </rPr>
          <t xml:space="preserve">
No surveys available for 1999 as of Aug. 2010.</t>
        </r>
      </text>
    </comment>
    <comment ref="S3" authorId="1" shapeId="0" xr:uid="{00000000-0006-0000-0900-000004000000}">
      <text>
        <r>
          <rPr>
            <b/>
            <sz val="8"/>
            <color indexed="81"/>
            <rFont val="Tahoma"/>
            <family val="2"/>
          </rPr>
          <t>jmarks:</t>
        </r>
        <r>
          <rPr>
            <sz val="8"/>
            <color indexed="81"/>
            <rFont val="Tahoma"/>
            <family val="2"/>
          </rPr>
          <t xml:space="preserve">
last year of old reporting standards
</t>
        </r>
      </text>
    </comment>
    <comment ref="S9" authorId="1" shapeId="0" xr:uid="{00000000-0006-0000-0900-000005000000}">
      <text>
        <r>
          <rPr>
            <b/>
            <sz val="8"/>
            <color indexed="81"/>
            <rFont val="Tahoma"/>
            <family val="2"/>
          </rPr>
          <t>jmarks:</t>
        </r>
        <r>
          <rPr>
            <sz val="8"/>
            <color indexed="81"/>
            <rFont val="Tahoma"/>
            <family val="2"/>
          </rPr>
          <t xml:space="preserve">
U Del from FASB file
</t>
        </r>
      </text>
    </comment>
    <comment ref="T9" authorId="1" shapeId="0" xr:uid="{00000000-0006-0000-0900-000006000000}">
      <text>
        <r>
          <rPr>
            <b/>
            <sz val="8"/>
            <color indexed="81"/>
            <rFont val="Tahoma"/>
            <family val="2"/>
          </rPr>
          <t>jmarks:</t>
        </r>
        <r>
          <rPr>
            <sz val="8"/>
            <color indexed="81"/>
            <rFont val="Tahoma"/>
            <family val="2"/>
          </rPr>
          <t xml:space="preserve">
U Del from FASB file
</t>
        </r>
      </text>
    </comment>
    <comment ref="W9" authorId="1" shapeId="0" xr:uid="{00000000-0006-0000-0900-000007000000}">
      <text>
        <r>
          <rPr>
            <b/>
            <sz val="8"/>
            <color indexed="81"/>
            <rFont val="Tahoma"/>
            <family val="2"/>
          </rPr>
          <t>jmarks:</t>
        </r>
        <r>
          <rPr>
            <sz val="8"/>
            <color indexed="81"/>
            <rFont val="Tahoma"/>
            <family val="2"/>
          </rPr>
          <t xml:space="preserve">
U Del from FASB file
</t>
        </r>
      </text>
    </comment>
    <comment ref="Y9" authorId="1" shapeId="0" xr:uid="{00000000-0006-0000-0900-000008000000}">
      <text>
        <r>
          <rPr>
            <b/>
            <sz val="8"/>
            <color indexed="81"/>
            <rFont val="Tahoma"/>
            <family val="2"/>
          </rPr>
          <t>jmarks:</t>
        </r>
        <r>
          <rPr>
            <sz val="8"/>
            <color indexed="81"/>
            <rFont val="Tahoma"/>
            <family val="2"/>
          </rPr>
          <t xml:space="preserve">
U Del from FASB file
</t>
        </r>
      </text>
    </comment>
  </commentList>
</comments>
</file>

<file path=xl/sharedStrings.xml><?xml version="1.0" encoding="utf-8"?>
<sst xmlns="http://schemas.openxmlformats.org/spreadsheetml/2006/main" count="1433" uniqueCount="165">
  <si>
    <t xml:space="preserve">Table 94 </t>
  </si>
  <si>
    <r>
      <t>Percent Distribution of Revenues</t>
    </r>
    <r>
      <rPr>
        <vertAlign val="superscript"/>
        <sz val="10"/>
        <rFont val="Arial"/>
        <family val="2"/>
      </rPr>
      <t>1</t>
    </r>
  </si>
  <si>
    <t>at Public Four-Year Colleges and Universities</t>
  </si>
  <si>
    <t>2019-20</t>
  </si>
  <si>
    <t>Percentage-Point Change, 2014-15 to 2019-20</t>
  </si>
  <si>
    <t>2014-15</t>
  </si>
  <si>
    <t>Tuition</t>
  </si>
  <si>
    <t>Appropriations</t>
  </si>
  <si>
    <t>Tuition and Fees</t>
  </si>
  <si>
    <t>Contracts and Grants</t>
  </si>
  <si>
    <t>All</t>
  </si>
  <si>
    <t>and</t>
  </si>
  <si>
    <t xml:space="preserve">chk figures </t>
  </si>
  <si>
    <t>State + Local</t>
  </si>
  <si>
    <t>State</t>
  </si>
  <si>
    <t>Local</t>
  </si>
  <si>
    <t xml:space="preserve">Federal </t>
  </si>
  <si>
    <r>
      <t>Other</t>
    </r>
    <r>
      <rPr>
        <vertAlign val="superscript"/>
        <sz val="10"/>
        <rFont val="Arial"/>
        <family val="2"/>
      </rPr>
      <t>2</t>
    </r>
  </si>
  <si>
    <r>
      <t>Other</t>
    </r>
    <r>
      <rPr>
        <vertAlign val="superscript"/>
        <sz val="10"/>
        <rFont val="Arial"/>
        <family val="2"/>
      </rPr>
      <t>3</t>
    </r>
  </si>
  <si>
    <t>Fees</t>
  </si>
  <si>
    <t>50 states and D.C.</t>
  </si>
  <si>
    <t>SREB states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</si>
  <si>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</si>
  <si>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</si>
  <si>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</si>
  <si>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</si>
  <si>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</si>
  <si>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</si>
  <si>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</si>
  <si>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</si>
  <si>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</si>
  <si>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</si>
  <si>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</si>
  <si>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</si>
  <si>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</si>
  <si>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</si>
  <si>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</si>
  <si>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</si>
  <si>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</si>
  <si>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</si>
  <si>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</si>
  <si>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</si>
  <si>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</si>
  <si>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</si>
  <si>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</si>
  <si>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</si>
  <si>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</si>
  <si>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</si>
  <si>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</si>
  <si>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</si>
  <si>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</si>
  <si>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</si>
  <si>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</si>
  <si>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</si>
  <si>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</si>
  <si>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</si>
  <si>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</si>
  <si>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</si>
  <si>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</si>
  <si>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</si>
  <si>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</si>
  <si>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</si>
  <si>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</si>
  <si>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</si>
  <si>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</si>
  <si>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</si>
  <si>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</si>
  <si>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</si>
  <si>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</si>
  <si>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</si>
  <si>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</si>
  <si>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</si>
  <si>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</si>
  <si>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</si>
  <si>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</si>
  <si>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</si>
  <si>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rPr>
        <vertAlign val="superscript"/>
        <sz val="10"/>
        <color rgb="FF000000"/>
        <rFont val="Arial"/>
      </rPr>
      <t xml:space="preserve">1 </t>
    </r>
    <r>
      <rPr>
        <sz val="10"/>
        <color rgb="FF000000"/>
        <rFont val="Arial"/>
      </rPr>
      <t>Educational and general operating revenues consist of total revenues for current operations minus revenues from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</si>
  <si>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r>
      <rPr>
        <vertAlign val="superscript"/>
        <sz val="10"/>
        <color rgb="FF000000"/>
        <rFont val="Arial"/>
      </rPr>
      <t>2</t>
    </r>
    <r>
      <rPr>
        <sz val="10"/>
        <color rgb="FF000000"/>
        <rFont val="SWISS-C"/>
      </rPr>
      <t xml:space="preserve"> </t>
    </r>
    <r>
      <rPr>
        <sz val="10"/>
        <color rgb="FF000000"/>
        <rFont val="Arial"/>
      </rPr>
      <t>Includes state and local government contracts and grants and private gifts and grants.</t>
    </r>
  </si>
  <si>
    <r>
      <t xml:space="preserve">3 </t>
    </r>
    <r>
      <rPr>
        <sz val="10"/>
        <rFont val="Arial"/>
        <family val="2"/>
      </rPr>
      <t xml:space="preserve">Includes federal appropriations (other than contracts and grants), sales of educational activities and services, endowment and investment income, and other sources. </t>
    </r>
  </si>
  <si>
    <r>
      <t xml:space="preserve">Source: SREB analysis of National Center for Education Statistics finance survey </t>
    </r>
    <r>
      <rPr>
        <sz val="10"/>
        <rFont val="Calibri"/>
        <family val="2"/>
      </rPr>
      <t>—</t>
    </r>
    <r>
      <rPr>
        <sz val="10"/>
        <rFont val="Arial"/>
        <family val="2"/>
      </rPr>
      <t xml:space="preserve"> www.nces.ed.gov/ipeds.</t>
    </r>
  </si>
  <si>
    <t>September 2024</t>
  </si>
  <si>
    <t>Table 95</t>
  </si>
  <si>
    <t xml:space="preserve">at Public Two-Year Colleges </t>
  </si>
  <si>
    <t>Percentage-Point Change 2014-15 to 2019-20</t>
  </si>
  <si>
    <t>Government</t>
  </si>
  <si>
    <t xml:space="preserve"> </t>
  </si>
  <si>
    <t>chk figures</t>
  </si>
  <si>
    <t>NA</t>
  </si>
  <si>
    <t>"*" indicates less than 0.005 percent.</t>
  </si>
  <si>
    <t xml:space="preserve">"NA" indicates not applicable. There was no institution of this SREB category in the state during the specified years. </t>
  </si>
  <si>
    <r>
      <t xml:space="preserve">1 </t>
    </r>
    <r>
      <rPr>
        <sz val="10"/>
        <rFont val="Arial"/>
        <family val="2"/>
      </rPr>
      <t>Educational and general operating revenues consist of total revenues for current operations minus revenues from auxiliary enterprises, hospitals and independent operations. Auxiliary enterprises are essentially self-supporting operations that exist to furnish a service to students, faculty or staff and that charge a fee that is directly related to, although not necessarily equal to, the cost of the service. Examples are residence halls, food services, college stores and intercollegiate athletics. Independent operations are essentially independent institutes or centers affiliated with a college or university, such as a formally designated Federally Funded Research and Development Center.</t>
    </r>
  </si>
  <si>
    <r>
      <rPr>
        <vertAlign val="superscript"/>
        <sz val="10"/>
        <color rgb="FF000000"/>
        <rFont val="Arial"/>
      </rPr>
      <t>2</t>
    </r>
    <r>
      <rPr>
        <sz val="10"/>
        <color rgb="FF000000"/>
        <rFont val="SWISS-C"/>
      </rPr>
      <t xml:space="preserve"> </t>
    </r>
    <r>
      <rPr>
        <sz val="10"/>
        <color rgb="FF000000"/>
        <rFont val="Arial"/>
      </rPr>
      <t>Includes state and local government contracts, grants, and private gifts and grants.</t>
    </r>
  </si>
  <si>
    <t>Educational &amp; General (E&amp;G) / CORE Revenues, Public Institutions (000s)</t>
  </si>
  <si>
    <t>Total E&amp;G / CORE</t>
  </si>
  <si>
    <t xml:space="preserve">   as a percent of U.S.</t>
  </si>
  <si>
    <t xml:space="preserve"> * See Tuition tab for sources.</t>
  </si>
  <si>
    <t xml:space="preserve"> * All</t>
  </si>
  <si>
    <t>Source:</t>
  </si>
  <si>
    <t>National</t>
  </si>
  <si>
    <t>Source: SREB analysis of unpublished</t>
  </si>
  <si>
    <t xml:space="preserve">SREB analysis of National Center for </t>
  </si>
  <si>
    <t>DE Source: NSF</t>
  </si>
  <si>
    <t>Source: unpublished NCES</t>
  </si>
  <si>
    <t>Other =</t>
  </si>
  <si>
    <t>Center for</t>
  </si>
  <si>
    <t>NCES Finance data 91-92</t>
  </si>
  <si>
    <t xml:space="preserve">Education Statistics finance surveys — </t>
  </si>
  <si>
    <t xml:space="preserve">WebCASPAR </t>
  </si>
  <si>
    <t>Finance data 96-97</t>
  </si>
  <si>
    <t>Finance data 1999-2000</t>
  </si>
  <si>
    <t>Federal</t>
  </si>
  <si>
    <t>Education</t>
  </si>
  <si>
    <t>(analyzed March 2001)</t>
  </si>
  <si>
    <t>(www.nces.ed.gov/ipeds) and (http://caspar.nsf.gov).</t>
  </si>
  <si>
    <t>Database System.</t>
  </si>
  <si>
    <t>Statistics,</t>
  </si>
  <si>
    <t>+ Sales</t>
  </si>
  <si>
    <t>"Financial</t>
  </si>
  <si>
    <t>Statistics of</t>
  </si>
  <si>
    <t>Services</t>
  </si>
  <si>
    <t>Institutions</t>
  </si>
  <si>
    <t>of</t>
  </si>
  <si>
    <t>of Higher</t>
  </si>
  <si>
    <t>Educational</t>
  </si>
  <si>
    <t>Education,</t>
  </si>
  <si>
    <t>Activities</t>
  </si>
  <si>
    <t>Fiscal Year</t>
  </si>
  <si>
    <t>+ Other</t>
  </si>
  <si>
    <t>1991,"</t>
  </si>
  <si>
    <t>Sources +</t>
  </si>
  <si>
    <t>1984,"</t>
  </si>
  <si>
    <t>unpublished</t>
  </si>
  <si>
    <t>Independent</t>
  </si>
  <si>
    <t>data (1993).</t>
  </si>
  <si>
    <t>Operations</t>
  </si>
  <si>
    <t>data (1985).</t>
  </si>
  <si>
    <t>(Federally</t>
  </si>
  <si>
    <t>Supported</t>
  </si>
  <si>
    <t>Research</t>
  </si>
  <si>
    <t>Development</t>
  </si>
  <si>
    <t>Centers).</t>
  </si>
  <si>
    <t>State Appropriations</t>
  </si>
  <si>
    <t>1986</t>
  </si>
  <si>
    <t>2001</t>
  </si>
  <si>
    <t>2002</t>
  </si>
  <si>
    <t>2003</t>
  </si>
  <si>
    <t>2004</t>
  </si>
  <si>
    <t>2005</t>
  </si>
  <si>
    <t>2006</t>
  </si>
  <si>
    <t>2007</t>
  </si>
  <si>
    <t>2009</t>
  </si>
  <si>
    <t>2010</t>
  </si>
  <si>
    <t>2011</t>
  </si>
  <si>
    <t>Local Appropriations</t>
  </si>
  <si>
    <t>Federal Contracts and Grants</t>
  </si>
  <si>
    <t>Other (state gvmt, local gvmt, private gift/grants) Contracts and Grants</t>
  </si>
  <si>
    <t>Endownment Income (through 2001) / Investment Income (after 2001)</t>
  </si>
  <si>
    <t>All Other E&amp;G Revenues (sales &amp; services of educational activities, federal appropriations, all other)</t>
  </si>
  <si>
    <t xml:space="preserve"> * All Other = Federal Appropriations + Sales and Services</t>
  </si>
  <si>
    <r>
      <t xml:space="preserve">of Educational Activities + Other Sources + </t>
    </r>
    <r>
      <rPr>
        <sz val="10"/>
        <color indexed="10"/>
        <rFont val="Arial"/>
        <family val="2"/>
      </rPr>
      <t>Independent</t>
    </r>
  </si>
  <si>
    <r>
      <t>Operations</t>
    </r>
    <r>
      <rPr>
        <sz val="10"/>
        <rFont val="Arial"/>
        <family val="2"/>
      </rPr>
      <t xml:space="preserve"> (Federally Supported Research and Development</t>
    </r>
  </si>
  <si>
    <t>Some years seem to be "total CF" others "E&amp;G"</t>
  </si>
  <si>
    <t>Clarify treatment of indp. Ops.</t>
  </si>
  <si>
    <t>Other (State gvmt, local gvmt, private gifts/grants) Contracts and Grants</t>
  </si>
  <si>
    <t>Endowment Income (through 2001) / Investment Income (after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</si>
</sst>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_)"/>
    <numFmt numFmtId="165" formatCode="#,##0.0_);\(#,##0.0\)"/>
    <numFmt numFmtId="166" formatCode="_(* #,##0_);_(* \(#,##0\);_(* &quot;-&quot;??_);_(@_)"/>
    <numFmt numFmtId="167" formatCode="#,##0.0"/>
    <numFmt numFmtId="168" formatCode="#,##0.0000_);\(#,##0.0000\)"/>
    <numFmt numFmtId="169" formatCode="#,##0.000_);\(#,##0.000\)"/>
    <numFmt numFmtId="170" formatCode="#,##0.000"/>
  </numFmts>
  <fonts count="28">
    <font>
      <sz val="10"/>
      <name val="SWISS-C"/>
    </font>
    <font>
      <sz val="10"/>
      <color theme="1"/>
      <name val="Arial"/>
      <family val="2"/>
    </font>
    <font>
      <sz val="12"/>
      <name val="AGaramond"/>
      <family val="3"/>
    </font>
    <font>
      <sz val="10"/>
      <name val="SWISS-C"/>
    </font>
    <font>
      <sz val="10"/>
      <name val="Arial"/>
      <family val="2"/>
    </font>
    <font>
      <b/>
      <sz val="10"/>
      <name val="Arial"/>
      <family val="2"/>
    </font>
    <font>
      <vertAlign val="superscript"/>
      <sz val="10"/>
      <name val="Arial"/>
      <family val="2"/>
    </font>
    <font>
      <sz val="10"/>
      <color indexed="10"/>
      <name val="Arial"/>
      <family val="2"/>
    </font>
    <font>
      <sz val="8"/>
      <name val="SWISS-C"/>
    </font>
    <font>
      <sz val="10"/>
      <color indexed="0"/>
      <name val="Times New Roman"/>
      <family val="1"/>
    </font>
    <font>
      <u/>
      <sz val="10"/>
      <name val="Arial"/>
      <family val="2"/>
    </font>
    <font>
      <sz val="10"/>
      <color indexed="12"/>
      <name val="Arial"/>
      <family val="2"/>
    </font>
    <font>
      <sz val="8"/>
      <color indexed="81"/>
      <name val="Tahoma"/>
      <family val="2"/>
    </font>
    <font>
      <b/>
      <sz val="8"/>
      <color indexed="81"/>
      <name val="Tahoma"/>
      <family val="2"/>
    </font>
    <font>
      <i/>
      <sz val="10"/>
      <name val="Arial"/>
      <family val="2"/>
    </font>
    <font>
      <sz val="10"/>
      <name val="SWISS-C"/>
    </font>
    <font>
      <b/>
      <sz val="10"/>
      <color indexed="81"/>
      <name val="Tahoma"/>
      <family val="2"/>
    </font>
    <font>
      <sz val="10"/>
      <color indexed="81"/>
      <name val="Tahoma"/>
      <family val="2"/>
    </font>
    <font>
      <sz val="10"/>
      <color rgb="FF0000FF"/>
      <name val="Arial"/>
      <family val="2"/>
    </font>
    <font>
      <sz val="10"/>
      <color rgb="FF33CCFF"/>
      <name val="Arial"/>
      <family val="2"/>
    </font>
    <font>
      <sz val="10"/>
      <color rgb="FFFF0000"/>
      <name val="Arial"/>
      <family val="2"/>
    </font>
    <font>
      <sz val="10"/>
      <name val="Calibri"/>
      <family val="2"/>
    </font>
    <font>
      <sz val="10"/>
      <color rgb="FFFF0000"/>
      <name val="SWISS-C"/>
    </font>
    <font>
      <vertAlign val="superscript"/>
      <sz val="10"/>
      <color rgb="FF000000"/>
      <name val="Arial"/>
    </font>
    <font>
      <sz val="10"/>
      <color rgb="FF000000"/>
      <name val="Arial"/>
    </font>
    <font>
      <sz val="10"/>
      <color rgb="FF000000"/>
      <name val="SWISS-C"/>
    </font>
    <font>
      <vertAlign val="superscript"/>
      <sz val="10"/>
      <color rgb="FF000000"/>
      <name val="Arial"/>
      <family val="2"/>
    </font>
    <font>
      <sz val="10"/>
      <name val="Arial"/>
    </font>
  </fonts>
  <fills count="9">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9" tint="0.59999389629810485"/>
        <bgColor indexed="64"/>
      </patternFill>
    </fill>
  </fills>
  <borders count="39">
    <border>
      <left/>
      <right/>
      <top/>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indexed="64"/>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8"/>
      </top>
      <bottom style="thin">
        <color indexed="8"/>
      </bottom>
      <diagonal/>
    </border>
    <border>
      <left/>
      <right style="thin">
        <color rgb="FF000000"/>
      </right>
      <top style="thin">
        <color indexed="8"/>
      </top>
      <bottom/>
      <diagonal/>
    </border>
    <border>
      <left/>
      <right style="thin">
        <color rgb="FF000000"/>
      </right>
      <top/>
      <bottom style="thin">
        <color indexed="8"/>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2">
    <xf numFmtId="0" fontId="0" fillId="0" borderId="0">
      <alignment horizontal="left" wrapText="1"/>
    </xf>
    <xf numFmtId="43" fontId="2" fillId="0" borderId="0" applyFont="0" applyFill="0" applyBorder="0" applyAlignment="0" applyProtection="0"/>
  </cellStyleXfs>
  <cellXfs count="217">
    <xf numFmtId="37" fontId="0" fillId="0" borderId="0" xfId="0" applyNumberFormat="1" applyAlignment="1"/>
    <xf numFmtId="37" fontId="4" fillId="0" borderId="0" xfId="0" applyNumberFormat="1" applyFont="1" applyAlignment="1"/>
    <xf numFmtId="37" fontId="4" fillId="0" borderId="1" xfId="0" applyNumberFormat="1" applyFont="1" applyBorder="1" applyAlignment="1">
      <alignment horizontal="centerContinuous"/>
    </xf>
    <xf numFmtId="37" fontId="4" fillId="0" borderId="1" xfId="0" applyNumberFormat="1" applyFont="1" applyBorder="1" applyAlignment="1"/>
    <xf numFmtId="37" fontId="4" fillId="0" borderId="0" xfId="0" applyNumberFormat="1" applyFont="1" applyAlignment="1">
      <alignment horizontal="centerContinuous"/>
    </xf>
    <xf numFmtId="37" fontId="4" fillId="0" borderId="0" xfId="0" applyNumberFormat="1" applyFont="1" applyAlignment="1">
      <alignment horizontal="center"/>
    </xf>
    <xf numFmtId="37" fontId="4" fillId="0" borderId="0" xfId="0" applyNumberFormat="1" applyFont="1" applyAlignment="1">
      <alignment horizontal="left"/>
    </xf>
    <xf numFmtId="37" fontId="5" fillId="0" borderId="1" xfId="0" applyNumberFormat="1" applyFont="1" applyBorder="1" applyAlignment="1"/>
    <xf numFmtId="37" fontId="5" fillId="0" borderId="0" xfId="0" applyNumberFormat="1" applyFont="1" applyAlignment="1"/>
    <xf numFmtId="37" fontId="5" fillId="0" borderId="2" xfId="0" applyNumberFormat="1" applyFont="1" applyBorder="1" applyAlignment="1"/>
    <xf numFmtId="37" fontId="4" fillId="0" borderId="0" xfId="0" applyNumberFormat="1" applyFont="1" applyAlignment="1">
      <alignment horizontal="right"/>
    </xf>
    <xf numFmtId="37" fontId="4" fillId="0" borderId="0" xfId="0" applyNumberFormat="1" applyFont="1" applyAlignment="1">
      <alignment horizontal="fill"/>
    </xf>
    <xf numFmtId="37" fontId="4" fillId="0" borderId="2" xfId="0" applyNumberFormat="1" applyFont="1" applyBorder="1" applyAlignment="1"/>
    <xf numFmtId="165" fontId="4" fillId="0" borderId="0" xfId="0" applyNumberFormat="1" applyFont="1" applyAlignment="1"/>
    <xf numFmtId="165" fontId="0" fillId="0" borderId="0" xfId="0" applyNumberFormat="1" applyAlignment="1"/>
    <xf numFmtId="37" fontId="4" fillId="0" borderId="3" xfId="0" applyNumberFormat="1" applyFont="1" applyBorder="1" applyAlignment="1"/>
    <xf numFmtId="37" fontId="4" fillId="0" borderId="4" xfId="0" applyNumberFormat="1" applyFont="1" applyBorder="1" applyAlignment="1">
      <alignment horizontal="centerContinuous"/>
    </xf>
    <xf numFmtId="37" fontId="4" fillId="0" borderId="5" xfId="0" applyNumberFormat="1" applyFont="1" applyBorder="1" applyAlignment="1">
      <alignment horizontal="center"/>
    </xf>
    <xf numFmtId="166" fontId="0" fillId="0" borderId="0" xfId="1" applyNumberFormat="1" applyFont="1"/>
    <xf numFmtId="0" fontId="9" fillId="0" borderId="0" xfId="0" applyFont="1" applyAlignment="1">
      <alignment horizontal="left"/>
    </xf>
    <xf numFmtId="37" fontId="14" fillId="0" borderId="0" xfId="0" applyNumberFormat="1" applyFont="1" applyAlignment="1">
      <alignment horizontal="right"/>
    </xf>
    <xf numFmtId="164" fontId="4" fillId="0" borderId="0" xfId="0" applyNumberFormat="1" applyFont="1" applyAlignment="1">
      <alignment horizontal="right"/>
    </xf>
    <xf numFmtId="164" fontId="4" fillId="0" borderId="5" xfId="0" applyNumberFormat="1" applyFont="1" applyBorder="1" applyAlignment="1">
      <alignment horizontal="right"/>
    </xf>
    <xf numFmtId="164" fontId="4" fillId="0" borderId="6" xfId="0" applyNumberFormat="1" applyFont="1" applyBorder="1" applyAlignment="1">
      <alignment horizontal="right"/>
    </xf>
    <xf numFmtId="166" fontId="3" fillId="0" borderId="0" xfId="1" applyNumberFormat="1" applyFont="1"/>
    <xf numFmtId="37" fontId="4" fillId="0" borderId="7" xfId="0" applyNumberFormat="1" applyFont="1" applyBorder="1" applyAlignment="1">
      <alignment horizontal="centerContinuous"/>
    </xf>
    <xf numFmtId="37" fontId="4" fillId="0" borderId="8" xfId="0" applyNumberFormat="1" applyFont="1" applyBorder="1" applyAlignment="1">
      <alignment horizontal="centerContinuous"/>
    </xf>
    <xf numFmtId="37" fontId="4" fillId="0" borderId="9" xfId="0" applyNumberFormat="1" applyFont="1" applyBorder="1" applyAlignment="1"/>
    <xf numFmtId="0" fontId="4" fillId="0" borderId="0" xfId="0" quotePrefix="1" applyFont="1" applyAlignment="1">
      <alignment horizontal="right"/>
    </xf>
    <xf numFmtId="0" fontId="4" fillId="0" borderId="0" xfId="0" applyFont="1" applyAlignment="1"/>
    <xf numFmtId="17" fontId="4" fillId="0" borderId="0" xfId="0" quotePrefix="1" applyNumberFormat="1" applyFont="1" applyAlignment="1">
      <alignment horizontal="right"/>
    </xf>
    <xf numFmtId="165" fontId="4" fillId="0" borderId="0" xfId="0" applyNumberFormat="1" applyFont="1" applyAlignment="1">
      <alignment horizontal="left" vertical="top"/>
    </xf>
    <xf numFmtId="37" fontId="0" fillId="0" borderId="0" xfId="0" applyNumberFormat="1" applyAlignment="1">
      <alignment vertical="top"/>
    </xf>
    <xf numFmtId="37" fontId="15" fillId="0" borderId="0" xfId="0" applyNumberFormat="1" applyFont="1" applyAlignment="1"/>
    <xf numFmtId="164" fontId="4" fillId="0" borderId="0" xfId="0" applyNumberFormat="1" applyFont="1" applyAlignment="1">
      <alignment horizontal="center"/>
    </xf>
    <xf numFmtId="166" fontId="4" fillId="0" borderId="0" xfId="0" applyNumberFormat="1" applyFont="1">
      <alignment horizontal="left" wrapText="1"/>
    </xf>
    <xf numFmtId="0" fontId="4" fillId="0" borderId="0" xfId="0" applyFont="1" applyAlignment="1">
      <alignment horizontal="left"/>
    </xf>
    <xf numFmtId="166" fontId="0" fillId="0" borderId="9" xfId="1" applyNumberFormat="1" applyFont="1" applyBorder="1"/>
    <xf numFmtId="37" fontId="0" fillId="0" borderId="0" xfId="0" applyNumberFormat="1" applyAlignment="1">
      <alignment wrapText="1"/>
    </xf>
    <xf numFmtId="37" fontId="11" fillId="0" borderId="0" xfId="0" applyNumberFormat="1" applyFont="1" applyAlignment="1"/>
    <xf numFmtId="0" fontId="4" fillId="0" borderId="0" xfId="0" applyFont="1" applyAlignment="1">
      <alignment horizontal="right"/>
    </xf>
    <xf numFmtId="37" fontId="4" fillId="0" borderId="13" xfId="0" applyNumberFormat="1" applyFont="1" applyBorder="1" applyAlignment="1">
      <alignment horizontal="centerContinuous"/>
    </xf>
    <xf numFmtId="37" fontId="5" fillId="0" borderId="0" xfId="0" applyNumberFormat="1" applyFont="1" applyAlignment="1">
      <alignment horizontal="right"/>
    </xf>
    <xf numFmtId="0" fontId="4" fillId="0" borderId="5" xfId="0" quotePrefix="1" applyFont="1" applyBorder="1" applyAlignment="1">
      <alignment horizontal="right"/>
    </xf>
    <xf numFmtId="37" fontId="4" fillId="0" borderId="5" xfId="0" applyNumberFormat="1" applyFont="1" applyBorder="1" applyAlignment="1"/>
    <xf numFmtId="166" fontId="4" fillId="0" borderId="5" xfId="0" applyNumberFormat="1" applyFont="1" applyBorder="1">
      <alignment horizontal="left" wrapText="1"/>
    </xf>
    <xf numFmtId="37" fontId="4" fillId="0" borderId="14" xfId="0" applyNumberFormat="1" applyFont="1" applyBorder="1" applyAlignment="1"/>
    <xf numFmtId="166" fontId="0" fillId="0" borderId="14" xfId="1" applyNumberFormat="1" applyFont="1" applyBorder="1"/>
    <xf numFmtId="37" fontId="4" fillId="0" borderId="15" xfId="0" applyNumberFormat="1" applyFont="1" applyBorder="1" applyAlignment="1"/>
    <xf numFmtId="0" fontId="4" fillId="0" borderId="14" xfId="0" applyFont="1" applyBorder="1" applyAlignment="1"/>
    <xf numFmtId="37" fontId="4" fillId="0" borderId="0" xfId="0" quotePrefix="1" applyNumberFormat="1" applyFont="1" applyAlignment="1">
      <alignment horizontal="fill"/>
    </xf>
    <xf numFmtId="37" fontId="18" fillId="0" borderId="0" xfId="0" applyNumberFormat="1" applyFont="1" applyAlignment="1"/>
    <xf numFmtId="3" fontId="18" fillId="0" borderId="0" xfId="0" applyNumberFormat="1" applyFont="1" applyAlignment="1">
      <alignment horizontal="right" wrapText="1"/>
    </xf>
    <xf numFmtId="37" fontId="18" fillId="0" borderId="14" xfId="0" applyNumberFormat="1" applyFont="1" applyBorder="1" applyAlignment="1"/>
    <xf numFmtId="3" fontId="18" fillId="0" borderId="14" xfId="0" applyNumberFormat="1" applyFont="1" applyBorder="1" applyAlignment="1">
      <alignment horizontal="right" wrapText="1"/>
    </xf>
    <xf numFmtId="37" fontId="18" fillId="0" borderId="9" xfId="0" applyNumberFormat="1" applyFont="1" applyBorder="1" applyAlignment="1"/>
    <xf numFmtId="37" fontId="1" fillId="0" borderId="14" xfId="0" applyNumberFormat="1" applyFont="1" applyBorder="1" applyAlignment="1"/>
    <xf numFmtId="166" fontId="4" fillId="0" borderId="0" xfId="1" applyNumberFormat="1" applyFont="1" applyAlignment="1">
      <alignment horizontal="right"/>
    </xf>
    <xf numFmtId="37" fontId="11" fillId="0" borderId="14" xfId="0" applyNumberFormat="1" applyFont="1" applyBorder="1" applyAlignment="1"/>
    <xf numFmtId="3" fontId="18" fillId="0" borderId="15" xfId="0" applyNumberFormat="1" applyFont="1" applyBorder="1" applyAlignment="1">
      <alignment horizontal="right" wrapText="1"/>
    </xf>
    <xf numFmtId="37" fontId="18" fillId="0" borderId="5" xfId="0" applyNumberFormat="1" applyFont="1" applyBorder="1" applyAlignment="1"/>
    <xf numFmtId="37" fontId="4" fillId="0" borderId="16" xfId="0" applyNumberFormat="1" applyFont="1" applyBorder="1" applyAlignment="1"/>
    <xf numFmtId="3" fontId="4" fillId="0" borderId="9" xfId="0" applyNumberFormat="1" applyFont="1" applyBorder="1" applyAlignment="1"/>
    <xf numFmtId="3" fontId="4" fillId="0" borderId="0" xfId="0" applyNumberFormat="1" applyFont="1" applyAlignment="1"/>
    <xf numFmtId="3" fontId="4" fillId="2" borderId="0" xfId="0" applyNumberFormat="1" applyFont="1" applyFill="1" applyAlignment="1"/>
    <xf numFmtId="3" fontId="4" fillId="2" borderId="9" xfId="0" applyNumberFormat="1" applyFont="1" applyFill="1" applyBorder="1" applyAlignment="1"/>
    <xf numFmtId="3" fontId="4" fillId="0" borderId="17" xfId="0" applyNumberFormat="1" applyFont="1" applyBorder="1" applyAlignment="1"/>
    <xf numFmtId="37" fontId="4" fillId="0" borderId="3" xfId="0" applyNumberFormat="1" applyFont="1" applyBorder="1" applyAlignment="1">
      <alignment horizontal="centerContinuous"/>
    </xf>
    <xf numFmtId="37" fontId="4" fillId="0" borderId="5" xfId="0" applyNumberFormat="1" applyFont="1" applyBorder="1" applyAlignment="1">
      <alignment horizontal="centerContinuous"/>
    </xf>
    <xf numFmtId="167" fontId="4" fillId="0" borderId="0" xfId="0" applyNumberFormat="1" applyFont="1" applyAlignment="1">
      <alignment horizontal="right"/>
    </xf>
    <xf numFmtId="167" fontId="4" fillId="2" borderId="0" xfId="0" applyNumberFormat="1" applyFont="1" applyFill="1" applyAlignment="1">
      <alignment horizontal="right"/>
    </xf>
    <xf numFmtId="167" fontId="4" fillId="0" borderId="9" xfId="0" applyNumberFormat="1" applyFont="1" applyBorder="1" applyAlignment="1">
      <alignment horizontal="right"/>
    </xf>
    <xf numFmtId="167" fontId="4" fillId="2" borderId="9" xfId="0" applyNumberFormat="1" applyFont="1" applyFill="1" applyBorder="1" applyAlignment="1">
      <alignment horizontal="right"/>
    </xf>
    <xf numFmtId="167" fontId="4" fillId="0" borderId="17" xfId="0" applyNumberFormat="1" applyFont="1" applyBorder="1" applyAlignment="1">
      <alignment horizontal="right"/>
    </xf>
    <xf numFmtId="37" fontId="4" fillId="0" borderId="1" xfId="0" applyNumberFormat="1" applyFont="1" applyBorder="1" applyAlignment="1">
      <alignment horizontal="center"/>
    </xf>
    <xf numFmtId="167" fontId="4" fillId="0" borderId="16" xfId="0" applyNumberFormat="1" applyFont="1" applyBorder="1" applyAlignment="1">
      <alignment horizontal="right"/>
    </xf>
    <xf numFmtId="167" fontId="4" fillId="0" borderId="5" xfId="0" applyNumberFormat="1" applyFont="1" applyBorder="1" applyAlignment="1">
      <alignment horizontal="right"/>
    </xf>
    <xf numFmtId="167" fontId="4" fillId="2" borderId="5" xfId="0" applyNumberFormat="1" applyFont="1" applyFill="1" applyBorder="1" applyAlignment="1">
      <alignment horizontal="right"/>
    </xf>
    <xf numFmtId="167" fontId="4" fillId="2" borderId="16" xfId="0" applyNumberFormat="1" applyFont="1" applyFill="1" applyBorder="1" applyAlignment="1">
      <alignment horizontal="right"/>
    </xf>
    <xf numFmtId="167" fontId="4" fillId="0" borderId="18" xfId="0" applyNumberFormat="1" applyFont="1" applyBorder="1" applyAlignment="1">
      <alignment horizontal="right"/>
    </xf>
    <xf numFmtId="37" fontId="4" fillId="0" borderId="0" xfId="0" applyNumberFormat="1" applyFont="1" applyAlignment="1">
      <alignment vertical="top"/>
    </xf>
    <xf numFmtId="165" fontId="4" fillId="0" borderId="0" xfId="0" applyNumberFormat="1" applyFont="1" applyAlignment="1">
      <alignment vertical="top"/>
    </xf>
    <xf numFmtId="37" fontId="18" fillId="0" borderId="14" xfId="0" applyNumberFormat="1" applyFont="1" applyBorder="1" applyAlignment="1">
      <alignment horizontal="right"/>
    </xf>
    <xf numFmtId="37" fontId="18" fillId="0" borderId="0" xfId="0" applyNumberFormat="1" applyFont="1" applyAlignment="1">
      <alignment horizontal="right"/>
    </xf>
    <xf numFmtId="37" fontId="18" fillId="0" borderId="9" xfId="0" applyNumberFormat="1" applyFont="1" applyBorder="1" applyAlignment="1">
      <alignment horizontal="right"/>
    </xf>
    <xf numFmtId="0" fontId="18" fillId="0" borderId="14" xfId="0" applyFont="1" applyBorder="1" applyAlignment="1">
      <alignment horizontal="right"/>
    </xf>
    <xf numFmtId="37" fontId="0" fillId="0" borderId="0" xfId="0" applyNumberFormat="1" applyAlignment="1">
      <alignment horizontal="right"/>
    </xf>
    <xf numFmtId="165" fontId="0" fillId="0" borderId="19" xfId="0" applyNumberFormat="1" applyBorder="1" applyAlignment="1">
      <alignment horizontal="centerContinuous" wrapText="1"/>
    </xf>
    <xf numFmtId="165" fontId="0" fillId="0" borderId="20" xfId="0" applyNumberFormat="1" applyBorder="1" applyAlignment="1">
      <alignment horizontal="centerContinuous" wrapText="1"/>
    </xf>
    <xf numFmtId="37" fontId="4" fillId="0" borderId="1" xfId="0" applyNumberFormat="1" applyFont="1" applyBorder="1" applyAlignment="1">
      <alignment horizontal="centerContinuous" wrapText="1"/>
    </xf>
    <xf numFmtId="37" fontId="4" fillId="0" borderId="0" xfId="0" applyNumberFormat="1" applyFont="1" applyAlignment="1">
      <alignment horizontal="left" vertical="top" wrapText="1"/>
    </xf>
    <xf numFmtId="37" fontId="4" fillId="0" borderId="0" xfId="0" applyNumberFormat="1" applyFont="1" applyAlignment="1">
      <alignment wrapText="1"/>
    </xf>
    <xf numFmtId="165" fontId="0" fillId="0" borderId="0" xfId="0" applyNumberFormat="1" applyAlignment="1">
      <alignment wrapText="1"/>
    </xf>
    <xf numFmtId="167" fontId="4" fillId="0" borderId="9" xfId="0" quotePrefix="1" applyNumberFormat="1" applyFont="1" applyBorder="1" applyAlignment="1">
      <alignment horizontal="right"/>
    </xf>
    <xf numFmtId="165" fontId="4" fillId="0" borderId="5" xfId="0" applyNumberFormat="1" applyFont="1" applyBorder="1" applyAlignment="1"/>
    <xf numFmtId="165" fontId="4" fillId="0" borderId="6" xfId="0" applyNumberFormat="1" applyFont="1" applyBorder="1" applyAlignment="1"/>
    <xf numFmtId="165" fontId="4" fillId="0" borderId="16" xfId="0" applyNumberFormat="1" applyFont="1" applyBorder="1" applyAlignment="1"/>
    <xf numFmtId="165" fontId="4" fillId="0" borderId="13" xfId="0" applyNumberFormat="1" applyFont="1" applyBorder="1" applyAlignment="1"/>
    <xf numFmtId="165" fontId="4" fillId="0" borderId="18" xfId="0" applyNumberFormat="1" applyFont="1" applyBorder="1" applyAlignment="1"/>
    <xf numFmtId="37" fontId="19" fillId="0" borderId="1" xfId="0" applyNumberFormat="1" applyFont="1" applyBorder="1" applyAlignment="1">
      <alignment horizontal="centerContinuous"/>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7" fontId="4" fillId="0" borderId="2" xfId="0" applyNumberFormat="1" applyFont="1" applyBorder="1" applyAlignment="1">
      <alignment horizontal="center"/>
    </xf>
    <xf numFmtId="37" fontId="4" fillId="0" borderId="7" xfId="0" applyNumberFormat="1" applyFont="1" applyBorder="1" applyAlignment="1">
      <alignment horizontal="center"/>
    </xf>
    <xf numFmtId="37" fontId="4" fillId="0" borderId="12" xfId="0" applyNumberFormat="1" applyFont="1" applyBorder="1" applyAlignment="1">
      <alignment horizontal="center"/>
    </xf>
    <xf numFmtId="0" fontId="4" fillId="3" borderId="0" xfId="0" applyFont="1" applyFill="1" applyAlignment="1"/>
    <xf numFmtId="37" fontId="20" fillId="0" borderId="0" xfId="0" applyNumberFormat="1" applyFont="1" applyAlignment="1"/>
    <xf numFmtId="0" fontId="4" fillId="4" borderId="0" xfId="0" applyFont="1" applyFill="1" applyAlignment="1"/>
    <xf numFmtId="0" fontId="4" fillId="0" borderId="9" xfId="0" applyFont="1" applyBorder="1" applyAlignment="1"/>
    <xf numFmtId="4" fontId="4" fillId="0" borderId="24" xfId="0" applyNumberFormat="1" applyFont="1" applyBorder="1" applyAlignment="1">
      <alignment horizontal="right"/>
    </xf>
    <xf numFmtId="4" fontId="4" fillId="0" borderId="23" xfId="0" applyNumberFormat="1" applyFont="1" applyBorder="1" applyAlignment="1">
      <alignment horizontal="right"/>
    </xf>
    <xf numFmtId="37" fontId="4" fillId="5" borderId="0" xfId="0" applyNumberFormat="1" applyFont="1" applyFill="1" applyAlignment="1"/>
    <xf numFmtId="37" fontId="4" fillId="6" borderId="0" xfId="0" applyNumberFormat="1" applyFont="1" applyFill="1" applyAlignment="1"/>
    <xf numFmtId="37" fontId="18" fillId="6" borderId="0" xfId="0" applyNumberFormat="1" applyFont="1" applyFill="1" applyAlignment="1">
      <alignment horizontal="right"/>
    </xf>
    <xf numFmtId="37" fontId="22" fillId="0" borderId="0" xfId="0" applyNumberFormat="1" applyFont="1" applyAlignment="1">
      <alignment vertical="top"/>
    </xf>
    <xf numFmtId="0" fontId="4" fillId="7" borderId="0" xfId="0" applyFont="1" applyFill="1" applyAlignment="1"/>
    <xf numFmtId="168" fontId="4" fillId="0" borderId="0" xfId="0" applyNumberFormat="1" applyFont="1" applyAlignment="1"/>
    <xf numFmtId="169" fontId="0" fillId="0" borderId="0" xfId="0" applyNumberFormat="1" applyAlignment="1"/>
    <xf numFmtId="169" fontId="4" fillId="0" borderId="0" xfId="0" applyNumberFormat="1" applyFont="1" applyAlignment="1">
      <alignment horizontal="right"/>
    </xf>
    <xf numFmtId="4" fontId="4" fillId="0" borderId="0" xfId="0" applyNumberFormat="1" applyFont="1" applyAlignment="1">
      <alignment horizontal="right"/>
    </xf>
    <xf numFmtId="170" fontId="4" fillId="0" borderId="0" xfId="0" applyNumberFormat="1" applyFont="1" applyAlignment="1">
      <alignment horizontal="right"/>
    </xf>
    <xf numFmtId="4" fontId="4" fillId="2" borderId="0" xfId="0" applyNumberFormat="1" applyFont="1" applyFill="1" applyAlignment="1">
      <alignment horizontal="right"/>
    </xf>
    <xf numFmtId="4" fontId="4" fillId="0" borderId="5" xfId="0" applyNumberFormat="1" applyFont="1" applyBorder="1" applyAlignment="1">
      <alignment horizontal="right"/>
    </xf>
    <xf numFmtId="4" fontId="4" fillId="2" borderId="5" xfId="0" applyNumberFormat="1" applyFont="1" applyFill="1" applyBorder="1" applyAlignment="1">
      <alignment horizontal="right"/>
    </xf>
    <xf numFmtId="170" fontId="4" fillId="2" borderId="0" xfId="0" applyNumberFormat="1" applyFont="1" applyFill="1" applyAlignment="1">
      <alignment horizontal="right"/>
    </xf>
    <xf numFmtId="4" fontId="4" fillId="0" borderId="17" xfId="0" applyNumberFormat="1" applyFont="1" applyBorder="1" applyAlignment="1">
      <alignment horizontal="right"/>
    </xf>
    <xf numFmtId="3" fontId="4" fillId="0" borderId="0" xfId="0" applyNumberFormat="1" applyFont="1" applyAlignment="1">
      <alignment horizontal="right" wrapText="1"/>
    </xf>
    <xf numFmtId="3" fontId="4" fillId="0" borderId="9" xfId="0" applyNumberFormat="1" applyFont="1" applyBorder="1" applyAlignment="1">
      <alignment horizontal="right" wrapText="1"/>
    </xf>
    <xf numFmtId="3" fontId="4" fillId="0" borderId="14" xfId="0" applyNumberFormat="1" applyFont="1" applyBorder="1" applyAlignment="1">
      <alignment horizontal="right" wrapText="1"/>
    </xf>
    <xf numFmtId="1" fontId="4" fillId="0" borderId="0" xfId="0" applyNumberFormat="1" applyFont="1" applyAlignment="1"/>
    <xf numFmtId="37" fontId="4" fillId="0" borderId="25" xfId="0" applyNumberFormat="1" applyFont="1" applyBorder="1" applyAlignment="1"/>
    <xf numFmtId="37" fontId="18" fillId="0" borderId="26" xfId="0" applyNumberFormat="1" applyFont="1" applyBorder="1" applyAlignment="1"/>
    <xf numFmtId="3" fontId="18" fillId="0" borderId="27" xfId="0" applyNumberFormat="1" applyFont="1" applyBorder="1" applyAlignment="1">
      <alignment horizontal="right" wrapText="1"/>
    </xf>
    <xf numFmtId="3" fontId="18" fillId="0" borderId="25" xfId="0" applyNumberFormat="1" applyFont="1" applyBorder="1" applyAlignment="1">
      <alignment horizontal="right" wrapText="1"/>
    </xf>
    <xf numFmtId="3" fontId="4" fillId="0" borderId="25" xfId="0" applyNumberFormat="1" applyFont="1" applyBorder="1" applyAlignment="1">
      <alignment horizontal="right" wrapText="1"/>
    </xf>
    <xf numFmtId="3" fontId="18" fillId="0" borderId="26" xfId="0" applyNumberFormat="1" applyFont="1" applyBorder="1" applyAlignment="1">
      <alignment horizontal="right" wrapText="1"/>
    </xf>
    <xf numFmtId="167" fontId="4" fillId="0" borderId="0" xfId="0" quotePrefix="1" applyNumberFormat="1" applyFont="1" applyAlignment="1">
      <alignment horizontal="right"/>
    </xf>
    <xf numFmtId="167" fontId="4" fillId="0" borderId="28" xfId="0" applyNumberFormat="1" applyFont="1" applyBorder="1" applyAlignment="1">
      <alignment horizontal="right"/>
    </xf>
    <xf numFmtId="167" fontId="4" fillId="0" borderId="26" xfId="0" applyNumberFormat="1" applyFont="1" applyBorder="1" applyAlignment="1">
      <alignment horizontal="right"/>
    </xf>
    <xf numFmtId="167" fontId="4" fillId="0" borderId="26" xfId="0" quotePrefix="1" applyNumberFormat="1" applyFont="1" applyBorder="1" applyAlignment="1">
      <alignment horizontal="right"/>
    </xf>
    <xf numFmtId="167" fontId="4" fillId="0" borderId="29" xfId="0" applyNumberFormat="1" applyFont="1" applyBorder="1" applyAlignment="1">
      <alignment horizontal="right"/>
    </xf>
    <xf numFmtId="167" fontId="4" fillId="0" borderId="30" xfId="0" applyNumberFormat="1" applyFont="1" applyBorder="1" applyAlignment="1">
      <alignment horizontal="right"/>
    </xf>
    <xf numFmtId="167" fontId="4" fillId="0" borderId="30" xfId="0" quotePrefix="1" applyNumberFormat="1" applyFont="1" applyBorder="1" applyAlignment="1">
      <alignment horizontal="right"/>
    </xf>
    <xf numFmtId="167" fontId="4" fillId="0" borderId="31" xfId="0" applyNumberFormat="1" applyFont="1" applyBorder="1" applyAlignment="1">
      <alignment horizontal="right"/>
    </xf>
    <xf numFmtId="3" fontId="4" fillId="0" borderId="30" xfId="0" applyNumberFormat="1" applyFont="1" applyBorder="1" applyAlignment="1"/>
    <xf numFmtId="3" fontId="4" fillId="2" borderId="30" xfId="0" applyNumberFormat="1" applyFont="1" applyFill="1" applyBorder="1" applyAlignment="1"/>
    <xf numFmtId="167" fontId="4" fillId="2" borderId="30" xfId="0" applyNumberFormat="1" applyFont="1" applyFill="1" applyBorder="1" applyAlignment="1">
      <alignment horizontal="right"/>
    </xf>
    <xf numFmtId="167" fontId="4" fillId="2" borderId="0" xfId="0" quotePrefix="1" applyNumberFormat="1" applyFont="1" applyFill="1" applyAlignment="1">
      <alignment horizontal="right"/>
    </xf>
    <xf numFmtId="167" fontId="4" fillId="2" borderId="28" xfId="0" applyNumberFormat="1" applyFont="1" applyFill="1" applyBorder="1" applyAlignment="1">
      <alignment horizontal="right"/>
    </xf>
    <xf numFmtId="167" fontId="4" fillId="2" borderId="30" xfId="0" quotePrefix="1" applyNumberFormat="1" applyFont="1" applyFill="1" applyBorder="1" applyAlignment="1">
      <alignment horizontal="right"/>
    </xf>
    <xf numFmtId="167" fontId="4" fillId="2" borderId="31" xfId="0" applyNumberFormat="1" applyFont="1" applyFill="1" applyBorder="1" applyAlignment="1">
      <alignment horizontal="right"/>
    </xf>
    <xf numFmtId="3" fontId="4" fillId="0" borderId="25" xfId="0" applyNumberFormat="1" applyFont="1" applyBorder="1" applyAlignment="1"/>
    <xf numFmtId="167" fontId="4" fillId="0" borderId="25" xfId="0" applyNumberFormat="1" applyFont="1" applyBorder="1" applyAlignment="1">
      <alignment horizontal="right"/>
    </xf>
    <xf numFmtId="167" fontId="4" fillId="0" borderId="25" xfId="0" quotePrefix="1" applyNumberFormat="1" applyFont="1" applyBorder="1" applyAlignment="1">
      <alignment horizontal="right"/>
    </xf>
    <xf numFmtId="167" fontId="4" fillId="0" borderId="32" xfId="0" applyNumberFormat="1" applyFont="1" applyBorder="1" applyAlignment="1">
      <alignment horizontal="right"/>
    </xf>
    <xf numFmtId="49" fontId="27" fillId="0" borderId="0" xfId="0" applyNumberFormat="1" applyFont="1" applyAlignment="1">
      <alignment horizontal="right"/>
    </xf>
    <xf numFmtId="37" fontId="4" fillId="0" borderId="33" xfId="0" applyNumberFormat="1" applyFont="1" applyBorder="1" applyAlignment="1">
      <alignment horizontal="center"/>
    </xf>
    <xf numFmtId="167" fontId="4" fillId="0" borderId="34" xfId="0" applyNumberFormat="1" applyFont="1" applyBorder="1" applyAlignment="1">
      <alignment horizontal="right"/>
    </xf>
    <xf numFmtId="37" fontId="4" fillId="0" borderId="35" xfId="0" applyNumberFormat="1" applyFont="1" applyBorder="1" applyAlignment="1">
      <alignment horizontal="center"/>
    </xf>
    <xf numFmtId="3" fontId="4" fillId="0" borderId="26" xfId="0" applyNumberFormat="1" applyFont="1" applyBorder="1" applyAlignment="1"/>
    <xf numFmtId="164" fontId="4" fillId="0" borderId="0" xfId="0" applyNumberFormat="1" applyFont="1" applyAlignment="1"/>
    <xf numFmtId="165" fontId="4" fillId="8" borderId="36" xfId="0" applyNumberFormat="1" applyFont="1" applyFill="1" applyBorder="1" applyAlignment="1">
      <alignment horizontal="left"/>
    </xf>
    <xf numFmtId="165" fontId="4" fillId="8" borderId="29" xfId="0" applyNumberFormat="1" applyFont="1" applyFill="1" applyBorder="1" applyAlignment="1">
      <alignment horizontal="left"/>
    </xf>
    <xf numFmtId="165" fontId="10" fillId="8" borderId="37" xfId="0" applyNumberFormat="1" applyFont="1" applyFill="1" applyBorder="1" applyAlignment="1">
      <alignment horizontal="right"/>
    </xf>
    <xf numFmtId="165" fontId="10" fillId="8" borderId="28" xfId="0" applyNumberFormat="1" applyFont="1" applyFill="1" applyBorder="1" applyAlignment="1">
      <alignment horizontal="right"/>
    </xf>
    <xf numFmtId="164" fontId="4" fillId="8" borderId="37" xfId="0" applyNumberFormat="1" applyFont="1" applyFill="1" applyBorder="1" applyAlignment="1"/>
    <xf numFmtId="164" fontId="4" fillId="8" borderId="28" xfId="0" applyNumberFormat="1" applyFont="1" applyFill="1" applyBorder="1" applyAlignment="1"/>
    <xf numFmtId="164" fontId="4" fillId="8" borderId="38" xfId="0" applyNumberFormat="1" applyFont="1" applyFill="1" applyBorder="1" applyAlignment="1"/>
    <xf numFmtId="164" fontId="4" fillId="8" borderId="31" xfId="0" applyNumberFormat="1" applyFont="1" applyFill="1" applyBorder="1" applyAlignment="1"/>
    <xf numFmtId="37" fontId="4" fillId="8" borderId="18" xfId="0" applyNumberFormat="1" applyFont="1" applyFill="1" applyBorder="1" applyAlignment="1"/>
    <xf numFmtId="37" fontId="4" fillId="8" borderId="19" xfId="0" applyNumberFormat="1" applyFont="1" applyFill="1" applyBorder="1" applyAlignment="1"/>
    <xf numFmtId="165" fontId="4" fillId="8" borderId="0" xfId="0" applyNumberFormat="1" applyFont="1" applyFill="1" applyAlignment="1">
      <alignment horizontal="left"/>
    </xf>
    <xf numFmtId="165" fontId="10" fillId="8" borderId="5" xfId="0" applyNumberFormat="1" applyFont="1" applyFill="1" applyBorder="1" applyAlignment="1">
      <alignment horizontal="right"/>
    </xf>
    <xf numFmtId="165" fontId="10" fillId="8" borderId="6" xfId="0" applyNumberFormat="1" applyFont="1" applyFill="1" applyBorder="1" applyAlignment="1">
      <alignment horizontal="right"/>
    </xf>
    <xf numFmtId="165" fontId="4" fillId="8" borderId="18" xfId="0" applyNumberFormat="1" applyFont="1" applyFill="1" applyBorder="1" applyAlignment="1"/>
    <xf numFmtId="165" fontId="4" fillId="8" borderId="19" xfId="0" applyNumberFormat="1" applyFont="1" applyFill="1" applyBorder="1" applyAlignment="1"/>
    <xf numFmtId="165" fontId="4" fillId="8" borderId="5" xfId="0" applyNumberFormat="1" applyFont="1" applyFill="1" applyBorder="1" applyAlignment="1"/>
    <xf numFmtId="165" fontId="4" fillId="8" borderId="6" xfId="0" applyNumberFormat="1" applyFont="1" applyFill="1" applyBorder="1" applyAlignment="1"/>
    <xf numFmtId="165" fontId="4" fillId="8" borderId="16" xfId="0" applyNumberFormat="1" applyFont="1" applyFill="1" applyBorder="1" applyAlignment="1"/>
    <xf numFmtId="165" fontId="4" fillId="8" borderId="13" xfId="0" applyNumberFormat="1" applyFont="1" applyFill="1" applyBorder="1" applyAlignment="1"/>
    <xf numFmtId="165" fontId="10" fillId="0" borderId="0" xfId="0" applyNumberFormat="1" applyFont="1" applyAlignment="1">
      <alignment horizontal="right"/>
    </xf>
    <xf numFmtId="165" fontId="4" fillId="0" borderId="17" xfId="0" applyNumberFormat="1" applyFont="1" applyBorder="1" applyAlignment="1"/>
    <xf numFmtId="165" fontId="4" fillId="0" borderId="9" xfId="0" applyNumberFormat="1" applyFont="1" applyBorder="1" applyAlignment="1"/>
    <xf numFmtId="165" fontId="4" fillId="8" borderId="18" xfId="0" applyNumberFormat="1" applyFont="1" applyFill="1" applyBorder="1" applyAlignment="1">
      <alignment horizontal="centerContinuous"/>
    </xf>
    <xf numFmtId="165" fontId="4" fillId="8" borderId="19" xfId="0" applyNumberFormat="1" applyFont="1" applyFill="1" applyBorder="1" applyAlignment="1">
      <alignment horizontal="centerContinuous"/>
    </xf>
    <xf numFmtId="37" fontId="4" fillId="8" borderId="17" xfId="0" applyNumberFormat="1" applyFont="1" applyFill="1" applyBorder="1" applyAlignment="1"/>
    <xf numFmtId="165" fontId="4" fillId="8" borderId="36" xfId="0" applyNumberFormat="1" applyFont="1" applyFill="1" applyBorder="1" applyAlignment="1">
      <alignment horizontal="centerContinuous"/>
    </xf>
    <xf numFmtId="165" fontId="4" fillId="8" borderId="29" xfId="0" applyNumberFormat="1" applyFont="1" applyFill="1" applyBorder="1" applyAlignment="1">
      <alignment horizontal="centerContinuous"/>
    </xf>
    <xf numFmtId="37" fontId="10" fillId="8" borderId="5" xfId="0" applyNumberFormat="1" applyFont="1" applyFill="1" applyBorder="1" applyAlignment="1">
      <alignment horizontal="right"/>
    </xf>
    <xf numFmtId="165" fontId="10" fillId="8" borderId="0" xfId="0" applyNumberFormat="1" applyFont="1" applyFill="1" applyAlignment="1">
      <alignment horizontal="right"/>
    </xf>
    <xf numFmtId="37" fontId="10" fillId="8" borderId="37" xfId="0" applyNumberFormat="1" applyFont="1" applyFill="1" applyBorder="1" applyAlignment="1">
      <alignment horizontal="right"/>
    </xf>
    <xf numFmtId="164" fontId="4" fillId="8" borderId="5" xfId="0" applyNumberFormat="1" applyFont="1" applyFill="1" applyBorder="1" applyAlignment="1"/>
    <xf numFmtId="164" fontId="4" fillId="8" borderId="16" xfId="0" applyNumberFormat="1" applyFont="1" applyFill="1" applyBorder="1" applyAlignment="1"/>
    <xf numFmtId="165" fontId="4" fillId="8" borderId="37" xfId="0" applyNumberFormat="1" applyFont="1" applyFill="1" applyBorder="1" applyAlignment="1"/>
    <xf numFmtId="165" fontId="4" fillId="8" borderId="28" xfId="0" applyNumberFormat="1" applyFont="1" applyFill="1" applyBorder="1" applyAlignment="1"/>
    <xf numFmtId="165" fontId="4" fillId="8" borderId="38" xfId="0" applyNumberFormat="1" applyFont="1" applyFill="1" applyBorder="1" applyAlignment="1"/>
    <xf numFmtId="165" fontId="4" fillId="8" borderId="31" xfId="0" applyNumberFormat="1" applyFont="1" applyFill="1" applyBorder="1" applyAlignment="1"/>
    <xf numFmtId="37" fontId="27" fillId="0" borderId="0" xfId="0" applyNumberFormat="1" applyFont="1" applyAlignment="1"/>
    <xf numFmtId="17" fontId="27" fillId="0" borderId="0" xfId="0" quotePrefix="1" applyNumberFormat="1" applyFont="1" applyAlignment="1">
      <alignment horizontal="right"/>
    </xf>
    <xf numFmtId="37" fontId="3" fillId="0" borderId="0" xfId="0" applyNumberFormat="1" applyFont="1" applyAlignment="1"/>
    <xf numFmtId="165" fontId="4" fillId="0" borderId="0" xfId="0" applyNumberFormat="1" applyFont="1" applyAlignment="1">
      <alignment horizontal="left" vertical="top" wrapText="1"/>
    </xf>
    <xf numFmtId="37" fontId="0" fillId="0" borderId="0" xfId="0" applyNumberFormat="1" applyAlignment="1">
      <alignment wrapText="1"/>
    </xf>
    <xf numFmtId="37" fontId="4" fillId="0" borderId="6" xfId="0" applyNumberFormat="1" applyFont="1" applyBorder="1" applyAlignment="1">
      <alignment horizontal="center" wrapText="1"/>
    </xf>
    <xf numFmtId="37" fontId="0" fillId="0" borderId="8" xfId="0" applyNumberFormat="1" applyBorder="1" applyAlignment="1">
      <alignment horizontal="center" wrapText="1"/>
    </xf>
    <xf numFmtId="37" fontId="4" fillId="0" borderId="21" xfId="0" applyNumberFormat="1" applyFont="1" applyBorder="1" applyAlignment="1">
      <alignment horizontal="center" wrapText="1"/>
    </xf>
    <xf numFmtId="37" fontId="0" fillId="0" borderId="22" xfId="0" applyNumberFormat="1" applyBorder="1" applyAlignment="1">
      <alignment horizontal="center" wrapText="1"/>
    </xf>
    <xf numFmtId="165" fontId="6" fillId="0" borderId="0" xfId="0" applyNumberFormat="1" applyFont="1" applyAlignment="1">
      <alignment horizontal="left" vertical="top" wrapText="1"/>
    </xf>
    <xf numFmtId="37" fontId="3" fillId="0" borderId="0" xfId="0" applyNumberFormat="1" applyFont="1" applyAlignment="1">
      <alignment vertical="top" wrapText="1"/>
    </xf>
    <xf numFmtId="165" fontId="23" fillId="0" borderId="0" xfId="0" applyNumberFormat="1" applyFont="1" applyAlignment="1">
      <alignment horizontal="left" vertical="top" wrapText="1"/>
    </xf>
    <xf numFmtId="165" fontId="26" fillId="0" borderId="0" xfId="0" applyNumberFormat="1" applyFont="1" applyAlignment="1">
      <alignment horizontal="left" vertical="top" wrapText="1"/>
    </xf>
    <xf numFmtId="37" fontId="4" fillId="0" borderId="7" xfId="0" applyNumberFormat="1" applyFont="1" applyBorder="1" applyAlignment="1">
      <alignment horizontal="center"/>
    </xf>
    <xf numFmtId="37" fontId="4" fillId="0" borderId="8" xfId="0" applyNumberFormat="1" applyFont="1" applyBorder="1" applyAlignment="1">
      <alignment horizontal="center"/>
    </xf>
    <xf numFmtId="37" fontId="0" fillId="0" borderId="0" xfId="0" applyNumberFormat="1" applyAlignment="1"/>
    <xf numFmtId="37" fontId="4" fillId="0" borderId="0" xfId="0" applyNumberFormat="1" applyFont="1" applyAlignment="1">
      <alignment horizontal="left" vertical="top" wrapText="1"/>
    </xf>
    <xf numFmtId="37" fontId="4" fillId="0" borderId="3" xfId="0" applyNumberFormat="1" applyFont="1" applyBorder="1" applyAlignment="1">
      <alignment horizontal="center"/>
    </xf>
    <xf numFmtId="37" fontId="4" fillId="0" borderId="4" xfId="0" applyNumberFormat="1" applyFont="1" applyBorder="1" applyAlignment="1">
      <alignment horizontal="center"/>
    </xf>
    <xf numFmtId="37" fontId="4" fillId="0" borderId="1" xfId="0" applyNumberFormat="1"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CC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Revenues at Public Four-Year Colleges and Universities, 2019-20</a:t>
            </a:r>
          </a:p>
        </c:rich>
      </c:tx>
      <c:overlay val="0"/>
    </c:title>
    <c:autoTitleDeleted val="0"/>
    <c:plotArea>
      <c:layout/>
      <c:barChart>
        <c:barDir val="col"/>
        <c:grouping val="clustered"/>
        <c:varyColors val="0"/>
        <c:ser>
          <c:idx val="0"/>
          <c:order val="0"/>
          <c:tx>
            <c:strRef>
              <c:f>'TABLE 94'!$A$10</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94'!$C$10:$H$10</c:f>
              <c:numCache>
                <c:formatCode>#,##0.0</c:formatCode>
                <c:ptCount val="6"/>
                <c:pt idx="0">
                  <c:v>0.68224405594171667</c:v>
                </c:pt>
                <c:pt idx="1">
                  <c:v>1.0405617328497121</c:v>
                </c:pt>
                <c:pt idx="2">
                  <c:v>0</c:v>
                </c:pt>
                <c:pt idx="3">
                  <c:v>97.768289458584036</c:v>
                </c:pt>
                <c:pt idx="4">
                  <c:v>0.24041632900451718</c:v>
                </c:pt>
                <c:pt idx="5">
                  <c:v>0.26532819939341029</c:v>
                </c:pt>
              </c:numCache>
            </c:numRef>
          </c:val>
          <c:extLst>
            <c:ext xmlns:c16="http://schemas.microsoft.com/office/drawing/2014/chart" uri="{C3380CC4-5D6E-409C-BE32-E72D297353CC}">
              <c16:uniqueId val="{00000000-F1D9-4CD8-859C-AE744044CC8B}"/>
            </c:ext>
          </c:extLst>
        </c:ser>
        <c:ser>
          <c:idx val="1"/>
          <c:order val="1"/>
          <c:tx>
            <c:strRef>
              <c:f>'TABLE 94'!$A$11</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94'!$C$11:$H$11</c:f>
              <c:numCache>
                <c:formatCode>#,##0.0</c:formatCode>
                <c:ptCount val="6"/>
                <c:pt idx="0">
                  <c:v>33.941202922633252</c:v>
                </c:pt>
                <c:pt idx="1">
                  <c:v>22.634135572375751</c:v>
                </c:pt>
                <c:pt idx="2">
                  <c:v>0</c:v>
                </c:pt>
                <c:pt idx="3">
                  <c:v>16.581120524011929</c:v>
                </c:pt>
                <c:pt idx="4">
                  <c:v>13.550937821590381</c:v>
                </c:pt>
                <c:pt idx="5">
                  <c:v>13.25670334685341</c:v>
                </c:pt>
              </c:numCache>
            </c:numRef>
          </c:val>
          <c:extLst>
            <c:ext xmlns:c16="http://schemas.microsoft.com/office/drawing/2014/chart" uri="{C3380CC4-5D6E-409C-BE32-E72D297353CC}">
              <c16:uniqueId val="{00000001-F1D9-4CD8-859C-AE744044CC8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94'!$C$8:$H$9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94'!$C$13:$H$13</c:f>
              <c:numCache>
                <c:formatCode>#,##0.0</c:formatCode>
                <c:ptCount val="6"/>
                <c:pt idx="0">
                  <c:v>44.6805287613331</c:v>
                </c:pt>
                <c:pt idx="1">
                  <c:v>21.170268966496884</c:v>
                </c:pt>
                <c:pt idx="2">
                  <c:v>0</c:v>
                </c:pt>
                <c:pt idx="3">
                  <c:v>18.374919287578759</c:v>
                </c:pt>
                <c:pt idx="4">
                  <c:v>6.2372236184205603</c:v>
                </c:pt>
                <c:pt idx="5">
                  <c:v>9.537059366170709</c:v>
                </c:pt>
              </c:numCache>
            </c:numRef>
          </c:val>
          <c:extLst>
            <c:ext xmlns:c16="http://schemas.microsoft.com/office/drawing/2014/chart" uri="{C3380CC4-5D6E-409C-BE32-E72D297353CC}">
              <c16:uniqueId val="{00000002-F1D9-4CD8-859C-AE744044CC8B}"/>
            </c:ext>
          </c:extLst>
        </c:ser>
        <c:dLbls>
          <c:showLegendKey val="0"/>
          <c:showVal val="1"/>
          <c:showCatName val="0"/>
          <c:showSerName val="0"/>
          <c:showPercent val="0"/>
          <c:showBubbleSize val="0"/>
        </c:dLbls>
        <c:gapWidth val="150"/>
        <c:axId val="239198336"/>
        <c:axId val="239198720"/>
      </c:barChart>
      <c:catAx>
        <c:axId val="239198336"/>
        <c:scaling>
          <c:orientation val="minMax"/>
        </c:scaling>
        <c:delete val="0"/>
        <c:axPos val="b"/>
        <c:numFmt formatCode="General" sourceLinked="0"/>
        <c:majorTickMark val="out"/>
        <c:minorTickMark val="none"/>
        <c:tickLblPos val="nextTo"/>
        <c:txPr>
          <a:bodyPr/>
          <a:lstStyle/>
          <a:p>
            <a:pPr>
              <a:defRPr b="1"/>
            </a:pPr>
            <a:endParaRPr lang="en-US"/>
          </a:p>
        </c:txPr>
        <c:crossAx val="239198720"/>
        <c:crosses val="autoZero"/>
        <c:auto val="1"/>
        <c:lblAlgn val="ctr"/>
        <c:lblOffset val="100"/>
        <c:noMultiLvlLbl val="0"/>
      </c:catAx>
      <c:valAx>
        <c:axId val="239198720"/>
        <c:scaling>
          <c:orientation val="minMax"/>
        </c:scaling>
        <c:delete val="1"/>
        <c:axPos val="l"/>
        <c:numFmt formatCode="#,##0.0" sourceLinked="1"/>
        <c:majorTickMark val="out"/>
        <c:minorTickMark val="none"/>
        <c:tickLblPos val="none"/>
        <c:crossAx val="239198336"/>
        <c:crosses val="autoZero"/>
        <c:crossBetween val="between"/>
      </c:valAx>
    </c:plotArea>
    <c:legend>
      <c:legendPos val="r"/>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Percentage-Point Change 2014-15 to 2019-20</a:t>
            </a:r>
          </a:p>
        </c:rich>
      </c:tx>
      <c:overlay val="0"/>
    </c:title>
    <c:autoTitleDeleted val="0"/>
    <c:plotArea>
      <c:layout>
        <c:manualLayout>
          <c:layoutTarget val="inner"/>
          <c:xMode val="edge"/>
          <c:yMode val="edge"/>
          <c:x val="0.15116033158668776"/>
          <c:y val="0.18369214113888641"/>
          <c:w val="0.83261547773854139"/>
          <c:h val="0.79201636604793013"/>
        </c:manualLayout>
      </c:layout>
      <c:barChart>
        <c:barDir val="bar"/>
        <c:grouping val="clustered"/>
        <c:varyColors val="0"/>
        <c:ser>
          <c:idx val="0"/>
          <c:order val="0"/>
          <c:tx>
            <c:strRef>
              <c:f>'TABLE 94'!$A$10</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94'!$I$10:$N$10</c:f>
              <c:numCache>
                <c:formatCode>#,##0.0</c:formatCode>
                <c:ptCount val="6"/>
                <c:pt idx="0">
                  <c:v>-37.024150864711736</c:v>
                </c:pt>
                <c:pt idx="1">
                  <c:v>20.698431914640356</c:v>
                </c:pt>
                <c:pt idx="2">
                  <c:v>-0.10236955354080274</c:v>
                </c:pt>
                <c:pt idx="3" formatCode="#,##0.00">
                  <c:v>81.809236959786034</c:v>
                </c:pt>
                <c:pt idx="4" formatCode="#,##0.00">
                  <c:v>-11.823193267291169</c:v>
                </c:pt>
                <c:pt idx="5">
                  <c:v>12.16425158382857</c:v>
                </c:pt>
              </c:numCache>
            </c:numRef>
          </c:val>
          <c:extLst>
            <c:ext xmlns:c16="http://schemas.microsoft.com/office/drawing/2014/chart" uri="{C3380CC4-5D6E-409C-BE32-E72D297353CC}">
              <c16:uniqueId val="{00000000-9720-45BA-9D1F-10C982F1F92B}"/>
            </c:ext>
          </c:extLst>
        </c:ser>
        <c:ser>
          <c:idx val="1"/>
          <c:order val="1"/>
          <c:tx>
            <c:strRef>
              <c:f>'TABLE 94'!$A$11</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94'!$I$11:$N$11</c:f>
              <c:numCache>
                <c:formatCode>#,##0.0</c:formatCode>
                <c:ptCount val="6"/>
                <c:pt idx="0">
                  <c:v>-3.298638053851576</c:v>
                </c:pt>
                <c:pt idx="1">
                  <c:v>-1.1941556028558011</c:v>
                </c:pt>
                <c:pt idx="2">
                  <c:v>-7.2086381044281347E-2</c:v>
                </c:pt>
                <c:pt idx="3">
                  <c:v>0.74309967194995075</c:v>
                </c:pt>
                <c:pt idx="4">
                  <c:v>0.98450112359575925</c:v>
                </c:pt>
                <c:pt idx="5">
                  <c:v>2.801379429670666</c:v>
                </c:pt>
              </c:numCache>
            </c:numRef>
          </c:val>
          <c:extLst>
            <c:ext xmlns:c16="http://schemas.microsoft.com/office/drawing/2014/chart" uri="{C3380CC4-5D6E-409C-BE32-E72D297353CC}">
              <c16:uniqueId val="{00000001-9720-45BA-9D1F-10C982F1F92B}"/>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94'!$I$8:$N$9</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94'!$I$13:$N$13</c:f>
              <c:numCache>
                <c:formatCode>#,##0.0</c:formatCode>
                <c:ptCount val="6"/>
                <c:pt idx="0">
                  <c:v>0.39250146525472474</c:v>
                </c:pt>
                <c:pt idx="1">
                  <c:v>-1.3761427964174118</c:v>
                </c:pt>
                <c:pt idx="2">
                  <c:v>0</c:v>
                </c:pt>
                <c:pt idx="3">
                  <c:v>1.0281579681346287</c:v>
                </c:pt>
                <c:pt idx="4">
                  <c:v>-2.8765204692882191</c:v>
                </c:pt>
                <c:pt idx="5">
                  <c:v>2.8330878874603487</c:v>
                </c:pt>
              </c:numCache>
            </c:numRef>
          </c:val>
          <c:extLst>
            <c:ext xmlns:c16="http://schemas.microsoft.com/office/drawing/2014/chart" uri="{C3380CC4-5D6E-409C-BE32-E72D297353CC}">
              <c16:uniqueId val="{00000002-9720-45BA-9D1F-10C982F1F92B}"/>
            </c:ext>
          </c:extLst>
        </c:ser>
        <c:dLbls>
          <c:showLegendKey val="0"/>
          <c:showVal val="1"/>
          <c:showCatName val="0"/>
          <c:showSerName val="0"/>
          <c:showPercent val="0"/>
          <c:showBubbleSize val="0"/>
        </c:dLbls>
        <c:gapWidth val="150"/>
        <c:overlap val="-25"/>
        <c:axId val="239171312"/>
        <c:axId val="240091856"/>
      </c:barChart>
      <c:catAx>
        <c:axId val="239171312"/>
        <c:scaling>
          <c:orientation val="maxMin"/>
        </c:scaling>
        <c:delete val="0"/>
        <c:axPos val="l"/>
        <c:numFmt formatCode="General" sourceLinked="0"/>
        <c:majorTickMark val="none"/>
        <c:minorTickMark val="none"/>
        <c:tickLblPos val="low"/>
        <c:txPr>
          <a:bodyPr/>
          <a:lstStyle/>
          <a:p>
            <a:pPr>
              <a:defRPr b="1"/>
            </a:pPr>
            <a:endParaRPr lang="en-US"/>
          </a:p>
        </c:txPr>
        <c:crossAx val="240091856"/>
        <c:crosses val="autoZero"/>
        <c:auto val="1"/>
        <c:lblAlgn val="ctr"/>
        <c:lblOffset val="100"/>
        <c:noMultiLvlLbl val="0"/>
      </c:catAx>
      <c:valAx>
        <c:axId val="240091856"/>
        <c:scaling>
          <c:orientation val="minMax"/>
        </c:scaling>
        <c:delete val="1"/>
        <c:axPos val="t"/>
        <c:numFmt formatCode="#,##0.0" sourceLinked="1"/>
        <c:majorTickMark val="out"/>
        <c:minorTickMark val="none"/>
        <c:tickLblPos val="none"/>
        <c:crossAx val="239171312"/>
        <c:crosses val="autoZero"/>
        <c:crossBetween val="between"/>
      </c:valAx>
    </c:plotArea>
    <c:legend>
      <c:legendPos val="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Distribution of Revenues at Public Two-Year Colleges, 2019-20</a:t>
            </a:r>
          </a:p>
        </c:rich>
      </c:tx>
      <c:overlay val="0"/>
    </c:title>
    <c:autoTitleDeleted val="0"/>
    <c:plotArea>
      <c:layout/>
      <c:barChart>
        <c:barDir val="col"/>
        <c:grouping val="clustered"/>
        <c:varyColors val="0"/>
        <c:ser>
          <c:idx val="0"/>
          <c:order val="0"/>
          <c:tx>
            <c:strRef>
              <c:f>'TABLE 95'!$A$9</c:f>
              <c:strCache>
                <c:ptCount val="1"/>
                <c:pt idx="0">
                  <c:v>50 states and D.C.</c:v>
                </c:pt>
              </c:strCache>
            </c:strRef>
          </c:tx>
          <c:spPr>
            <a:solidFill>
              <a:srgbClr val="0033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95'!$C$9:$H$9</c:f>
              <c:numCache>
                <c:formatCode>#,##0.0</c:formatCode>
                <c:ptCount val="6"/>
                <c:pt idx="0">
                  <c:v>24.844147682434787</c:v>
                </c:pt>
                <c:pt idx="1">
                  <c:v>23.46555231470645</c:v>
                </c:pt>
                <c:pt idx="2">
                  <c:v>19.008705907063604</c:v>
                </c:pt>
                <c:pt idx="3">
                  <c:v>18.291574866532738</c:v>
                </c:pt>
                <c:pt idx="4">
                  <c:v>9.6425553965512787</c:v>
                </c:pt>
                <c:pt idx="5">
                  <c:v>4.7474638327111256</c:v>
                </c:pt>
              </c:numCache>
            </c:numRef>
          </c:val>
          <c:extLst>
            <c:ext xmlns:c16="http://schemas.microsoft.com/office/drawing/2014/chart" uri="{C3380CC4-5D6E-409C-BE32-E72D297353CC}">
              <c16:uniqueId val="{00000000-CD99-4535-89E8-A38D6C9EDA79}"/>
            </c:ext>
          </c:extLst>
        </c:ser>
        <c:ser>
          <c:idx val="1"/>
          <c:order val="1"/>
          <c:tx>
            <c:strRef>
              <c:f>'TABLE 95'!$A$10</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95'!$C$10:$H$10</c:f>
              <c:numCache>
                <c:formatCode>#,##0.0</c:formatCode>
                <c:ptCount val="6"/>
                <c:pt idx="0">
                  <c:v>27.496207887850638</c:v>
                </c:pt>
                <c:pt idx="1">
                  <c:v>27.607322481924552</c:v>
                </c:pt>
                <c:pt idx="2">
                  <c:v>14.755661999123394</c:v>
                </c:pt>
                <c:pt idx="3">
                  <c:v>21.826520893946757</c:v>
                </c:pt>
                <c:pt idx="4">
                  <c:v>5.5731809744801426</c:v>
                </c:pt>
                <c:pt idx="5">
                  <c:v>2.7411057626745396</c:v>
                </c:pt>
              </c:numCache>
            </c:numRef>
          </c:val>
          <c:extLst>
            <c:ext xmlns:c16="http://schemas.microsoft.com/office/drawing/2014/chart" uri="{C3380CC4-5D6E-409C-BE32-E72D297353CC}">
              <c16:uniqueId val="{00000001-CD99-4535-89E8-A38D6C9EDA79}"/>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95'!$C$7:$H$8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95'!$C$12:$H$12</c:f>
              <c:numCache>
                <c:formatCode>#,##0.0</c:formatCode>
                <c:ptCount val="6"/>
                <c:pt idx="0">
                  <c:v>30.204912939005514</c:v>
                </c:pt>
                <c:pt idx="1">
                  <c:v>36.148588797764887</c:v>
                </c:pt>
                <c:pt idx="2">
                  <c:v>0.27103137162953939</c:v>
                </c:pt>
                <c:pt idx="3">
                  <c:v>25.863157853548557</c:v>
                </c:pt>
                <c:pt idx="4">
                  <c:v>4.6912931445405377</c:v>
                </c:pt>
                <c:pt idx="5">
                  <c:v>2.8210158935109653</c:v>
                </c:pt>
              </c:numCache>
            </c:numRef>
          </c:val>
          <c:extLst>
            <c:ext xmlns:c16="http://schemas.microsoft.com/office/drawing/2014/chart" uri="{C3380CC4-5D6E-409C-BE32-E72D297353CC}">
              <c16:uniqueId val="{00000002-CD99-4535-89E8-A38D6C9EDA79}"/>
            </c:ext>
          </c:extLst>
        </c:ser>
        <c:dLbls>
          <c:showLegendKey val="0"/>
          <c:showVal val="1"/>
          <c:showCatName val="0"/>
          <c:showSerName val="0"/>
          <c:showPercent val="0"/>
          <c:showBubbleSize val="0"/>
        </c:dLbls>
        <c:gapWidth val="150"/>
        <c:overlap val="-25"/>
        <c:axId val="239545720"/>
        <c:axId val="240107464"/>
      </c:barChart>
      <c:catAx>
        <c:axId val="239545720"/>
        <c:scaling>
          <c:orientation val="minMax"/>
        </c:scaling>
        <c:delete val="0"/>
        <c:axPos val="b"/>
        <c:numFmt formatCode="General" sourceLinked="0"/>
        <c:majorTickMark val="none"/>
        <c:minorTickMark val="none"/>
        <c:tickLblPos val="nextTo"/>
        <c:txPr>
          <a:bodyPr/>
          <a:lstStyle/>
          <a:p>
            <a:pPr>
              <a:defRPr b="1"/>
            </a:pPr>
            <a:endParaRPr lang="en-US"/>
          </a:p>
        </c:txPr>
        <c:crossAx val="240107464"/>
        <c:crosses val="autoZero"/>
        <c:auto val="1"/>
        <c:lblAlgn val="ctr"/>
        <c:lblOffset val="100"/>
        <c:noMultiLvlLbl val="0"/>
      </c:catAx>
      <c:valAx>
        <c:axId val="240107464"/>
        <c:scaling>
          <c:orientation val="minMax"/>
        </c:scaling>
        <c:delete val="1"/>
        <c:axPos val="l"/>
        <c:numFmt formatCode="#,##0.0" sourceLinked="1"/>
        <c:majorTickMark val="out"/>
        <c:minorTickMark val="none"/>
        <c:tickLblPos val="none"/>
        <c:crossAx val="2395457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Percentage-Point Change 2014-15 to 2019-20</a:t>
            </a:r>
          </a:p>
        </c:rich>
      </c:tx>
      <c:layout>
        <c:manualLayout>
          <c:xMode val="edge"/>
          <c:yMode val="edge"/>
          <c:x val="0.25130528085212189"/>
          <c:y val="1.6194328542121512E-2"/>
        </c:manualLayout>
      </c:layout>
      <c:overlay val="0"/>
    </c:title>
    <c:autoTitleDeleted val="0"/>
    <c:plotArea>
      <c:layout>
        <c:manualLayout>
          <c:layoutTarget val="inner"/>
          <c:xMode val="edge"/>
          <c:yMode val="edge"/>
          <c:x val="0.15116033158668782"/>
          <c:y val="0.18369214113888641"/>
          <c:w val="0.83261547773854172"/>
          <c:h val="0.79201636604792969"/>
        </c:manualLayout>
      </c:layout>
      <c:barChart>
        <c:barDir val="bar"/>
        <c:grouping val="clustered"/>
        <c:varyColors val="0"/>
        <c:ser>
          <c:idx val="0"/>
          <c:order val="0"/>
          <c:tx>
            <c:strRef>
              <c:f>'TABLE 95'!$A$9</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95'!$I$9:$N$9</c:f>
              <c:numCache>
                <c:formatCode>#,##0.0</c:formatCode>
                <c:ptCount val="6"/>
                <c:pt idx="0">
                  <c:v>-3.7321430505141002</c:v>
                </c:pt>
                <c:pt idx="1">
                  <c:v>-1.6443806658238103</c:v>
                </c:pt>
                <c:pt idx="2">
                  <c:v>4.4862161433067556</c:v>
                </c:pt>
                <c:pt idx="3">
                  <c:v>-3.3094071119905699</c:v>
                </c:pt>
                <c:pt idx="4">
                  <c:v>2.6382527162641276</c:v>
                </c:pt>
                <c:pt idx="5">
                  <c:v>1.5614619687575848</c:v>
                </c:pt>
              </c:numCache>
            </c:numRef>
          </c:val>
          <c:extLst>
            <c:ext xmlns:c16="http://schemas.microsoft.com/office/drawing/2014/chart" uri="{C3380CC4-5D6E-409C-BE32-E72D297353CC}">
              <c16:uniqueId val="{00000000-9E9B-44AE-875B-BC25571A20CD}"/>
            </c:ext>
          </c:extLst>
        </c:ser>
        <c:ser>
          <c:idx val="1"/>
          <c:order val="1"/>
          <c:tx>
            <c:strRef>
              <c:f>'TABLE 95'!$A$10</c:f>
              <c:strCache>
                <c:ptCount val="1"/>
                <c:pt idx="0">
                  <c:v>SREB states</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95'!$I$10:$N$10</c:f>
              <c:numCache>
                <c:formatCode>#,##0.0</c:formatCode>
                <c:ptCount val="6"/>
                <c:pt idx="0">
                  <c:v>-2.0147024581663224</c:v>
                </c:pt>
                <c:pt idx="1">
                  <c:v>0.48393316090708538</c:v>
                </c:pt>
                <c:pt idx="2">
                  <c:v>2.8275013163982745</c:v>
                </c:pt>
                <c:pt idx="3">
                  <c:v>-2.3917981342369146</c:v>
                </c:pt>
                <c:pt idx="4">
                  <c:v>0.4348694346723736</c:v>
                </c:pt>
                <c:pt idx="5">
                  <c:v>0.66019668042552793</c:v>
                </c:pt>
              </c:numCache>
            </c:numRef>
          </c:val>
          <c:extLst>
            <c:ext xmlns:c16="http://schemas.microsoft.com/office/drawing/2014/chart" uri="{C3380CC4-5D6E-409C-BE32-E72D297353CC}">
              <c16:uniqueId val="{00000001-9E9B-44AE-875B-BC25571A20CD}"/>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95'!$I$7:$N$8</c:f>
              <c:multiLvlStrCache>
                <c:ptCount val="6"/>
                <c:lvl>
                  <c:pt idx="1">
                    <c:v>State</c:v>
                  </c:pt>
                  <c:pt idx="2">
                    <c:v>Local</c:v>
                  </c:pt>
                  <c:pt idx="3">
                    <c:v>Federal </c:v>
                  </c:pt>
                  <c:pt idx="4">
                    <c:v>Other2</c:v>
                  </c:pt>
                  <c:pt idx="5">
                    <c:v>Other3</c:v>
                  </c:pt>
                </c:lvl>
                <c:lvl>
                  <c:pt idx="0">
                    <c:v>Tuition and Fees</c:v>
                  </c:pt>
                  <c:pt idx="1">
                    <c:v>Appropriations</c:v>
                  </c:pt>
                  <c:pt idx="3">
                    <c:v>Contracts and Grants</c:v>
                  </c:pt>
                  <c:pt idx="5">
                    <c:v>All</c:v>
                  </c:pt>
                </c:lvl>
              </c:multiLvlStrCache>
            </c:multiLvlStrRef>
          </c:cat>
          <c:val>
            <c:numRef>
              <c:f>'TABLE 95'!$I$12:$N$12</c:f>
              <c:numCache>
                <c:formatCode>#,##0.0</c:formatCode>
                <c:ptCount val="6"/>
                <c:pt idx="0">
                  <c:v>-2.5929835833780679</c:v>
                </c:pt>
                <c:pt idx="1">
                  <c:v>2.9851484631842595</c:v>
                </c:pt>
                <c:pt idx="2">
                  <c:v>4.2507774313490759E-2</c:v>
                </c:pt>
                <c:pt idx="3">
                  <c:v>-2.551353575687898</c:v>
                </c:pt>
                <c:pt idx="4">
                  <c:v>0.88998195722284112</c:v>
                </c:pt>
                <c:pt idx="5">
                  <c:v>1.2266989643454072</c:v>
                </c:pt>
              </c:numCache>
            </c:numRef>
          </c:val>
          <c:extLst>
            <c:ext xmlns:c16="http://schemas.microsoft.com/office/drawing/2014/chart" uri="{C3380CC4-5D6E-409C-BE32-E72D297353CC}">
              <c16:uniqueId val="{00000002-9E9B-44AE-875B-BC25571A20CD}"/>
            </c:ext>
          </c:extLst>
        </c:ser>
        <c:dLbls>
          <c:showLegendKey val="0"/>
          <c:showVal val="1"/>
          <c:showCatName val="0"/>
          <c:showSerName val="0"/>
          <c:showPercent val="0"/>
          <c:showBubbleSize val="0"/>
        </c:dLbls>
        <c:gapWidth val="150"/>
        <c:overlap val="-25"/>
        <c:axId val="239357328"/>
        <c:axId val="239526000"/>
      </c:barChart>
      <c:catAx>
        <c:axId val="239357328"/>
        <c:scaling>
          <c:orientation val="maxMin"/>
        </c:scaling>
        <c:delete val="0"/>
        <c:axPos val="l"/>
        <c:numFmt formatCode="General" sourceLinked="0"/>
        <c:majorTickMark val="none"/>
        <c:minorTickMark val="none"/>
        <c:tickLblPos val="low"/>
        <c:txPr>
          <a:bodyPr/>
          <a:lstStyle/>
          <a:p>
            <a:pPr>
              <a:defRPr b="1"/>
            </a:pPr>
            <a:endParaRPr lang="en-US"/>
          </a:p>
        </c:txPr>
        <c:crossAx val="239526000"/>
        <c:crosses val="autoZero"/>
        <c:auto val="1"/>
        <c:lblAlgn val="ctr"/>
        <c:lblOffset val="100"/>
        <c:noMultiLvlLbl val="0"/>
      </c:catAx>
      <c:valAx>
        <c:axId val="239526000"/>
        <c:scaling>
          <c:orientation val="minMax"/>
        </c:scaling>
        <c:delete val="1"/>
        <c:axPos val="t"/>
        <c:numFmt formatCode="#,##0.0" sourceLinked="1"/>
        <c:majorTickMark val="out"/>
        <c:minorTickMark val="none"/>
        <c:tickLblPos val="none"/>
        <c:crossAx val="239357328"/>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31</xdr:col>
      <xdr:colOff>38099</xdr:colOff>
      <xdr:row>0</xdr:row>
      <xdr:rowOff>142875</xdr:rowOff>
    </xdr:from>
    <xdr:to>
      <xdr:col>44</xdr:col>
      <xdr:colOff>219075</xdr:colOff>
      <xdr:row>27</xdr:row>
      <xdr:rowOff>123825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38100</xdr:colOff>
      <xdr:row>29</xdr:row>
      <xdr:rowOff>95249</xdr:rowOff>
    </xdr:from>
    <xdr:to>
      <xdr:col>44</xdr:col>
      <xdr:colOff>228599</xdr:colOff>
      <xdr:row>58</xdr:row>
      <xdr:rowOff>104775</xdr:rowOff>
    </xdr:to>
    <xdr:graphicFrame macro="">
      <xdr:nvGraphicFramePr>
        <xdr:cNvPr id="3" name="Chart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45</xdr:col>
      <xdr:colOff>276225</xdr:colOff>
      <xdr:row>1</xdr:row>
      <xdr:rowOff>19050</xdr:rowOff>
    </xdr:from>
    <xdr:to>
      <xdr:col>47</xdr:col>
      <xdr:colOff>590550</xdr:colOff>
      <xdr:row>11</xdr:row>
      <xdr:rowOff>52915</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24574500" y="180975"/>
          <a:ext cx="1609725" cy="1853140"/>
        </a:xfrm>
        <a:prstGeom prst="wedgeEllipseCallout">
          <a:avLst>
            <a:gd name="adj1" fmla="val -333881"/>
            <a:gd name="adj2" fmla="val 72688"/>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352425</xdr:colOff>
      <xdr:row>2</xdr:row>
      <xdr:rowOff>38100</xdr:rowOff>
    </xdr:from>
    <xdr:to>
      <xdr:col>43</xdr:col>
      <xdr:colOff>533401</xdr:colOff>
      <xdr:row>30</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361950</xdr:colOff>
      <xdr:row>32</xdr:row>
      <xdr:rowOff>142875</xdr:rowOff>
    </xdr:from>
    <xdr:to>
      <xdr:col>43</xdr:col>
      <xdr:colOff>552449</xdr:colOff>
      <xdr:row>61</xdr:row>
      <xdr:rowOff>152401</xdr:rowOff>
    </xdr:to>
    <xdr:graphicFrame macro="">
      <xdr:nvGraphicFramePr>
        <xdr:cNvPr id="3" name="Chart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44</xdr:col>
      <xdr:colOff>228600</xdr:colOff>
      <xdr:row>1</xdr:row>
      <xdr:rowOff>76200</xdr:rowOff>
    </xdr:from>
    <xdr:to>
      <xdr:col>46</xdr:col>
      <xdr:colOff>542925</xdr:colOff>
      <xdr:row>11</xdr:row>
      <xdr:rowOff>110065</xdr:rowOff>
    </xdr:to>
    <xdr:sp macro="" textlink="">
      <xdr:nvSpPr>
        <xdr:cNvPr id="4" name="Oval Callout 3">
          <a:extLst>
            <a:ext uri="{FF2B5EF4-FFF2-40B4-BE49-F238E27FC236}">
              <a16:creationId xmlns:a16="http://schemas.microsoft.com/office/drawing/2014/main" id="{00000000-0008-0000-0100-000004000000}"/>
            </a:ext>
          </a:extLst>
        </xdr:cNvPr>
        <xdr:cNvSpPr/>
      </xdr:nvSpPr>
      <xdr:spPr>
        <a:xfrm>
          <a:off x="24669750" y="238125"/>
          <a:ext cx="1609725" cy="1853140"/>
        </a:xfrm>
        <a:prstGeom prst="wedgeEllipseCallout">
          <a:avLst>
            <a:gd name="adj1" fmla="val -261692"/>
            <a:gd name="adj2" fmla="val 7063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rgb="FFFF0000"/>
  </sheetPr>
  <dimension ref="A1:AF77"/>
  <sheetViews>
    <sheetView showGridLines="0" view="pageBreakPreview" topLeftCell="A57" zoomScale="92" zoomScaleNormal="100" zoomScaleSheetLayoutView="92" workbookViewId="0">
      <selection activeCell="N76" sqref="N76"/>
    </sheetView>
  </sheetViews>
  <sheetFormatPr defaultColWidth="9.7109375" defaultRowHeight="12.75"/>
  <cols>
    <col min="1" max="1" width="10" customWidth="1"/>
    <col min="2" max="2" width="6.42578125" customWidth="1"/>
    <col min="3" max="3" width="8.85546875" style="14" customWidth="1"/>
    <col min="4" max="5" width="8.7109375" customWidth="1"/>
    <col min="6" max="7" width="9.7109375" customWidth="1"/>
    <col min="8" max="8" width="8.7109375" customWidth="1"/>
    <col min="9" max="9" width="9.42578125" customWidth="1"/>
    <col min="10" max="10" width="8.7109375" customWidth="1"/>
    <col min="11" max="11" width="10" customWidth="1"/>
    <col min="12" max="12" width="10.7109375" customWidth="1"/>
    <col min="13" max="13" width="8.7109375" customWidth="1"/>
    <col min="14" max="14" width="8.5703125" customWidth="1"/>
    <col min="15" max="15" width="6.140625" customWidth="1"/>
    <col min="16" max="16" width="8.7109375" customWidth="1"/>
    <col min="17" max="17" width="7.7109375" customWidth="1"/>
    <col min="18" max="18" width="10.140625" customWidth="1"/>
    <col min="22" max="22" width="4" customWidth="1"/>
  </cols>
  <sheetData>
    <row r="1" spans="1:32">
      <c r="A1" s="6" t="s">
        <v>0</v>
      </c>
      <c r="B1" s="6"/>
      <c r="C1" s="4"/>
      <c r="D1" s="4"/>
      <c r="E1" s="4"/>
      <c r="F1" s="4"/>
      <c r="G1" s="4"/>
      <c r="I1" s="4"/>
      <c r="J1" s="4"/>
      <c r="K1" s="4"/>
      <c r="L1" s="4"/>
      <c r="M1" s="4"/>
      <c r="N1" s="4"/>
      <c r="O1" s="10"/>
      <c r="Q1" s="1"/>
      <c r="R1" s="1"/>
      <c r="S1" s="1"/>
      <c r="T1" s="1"/>
    </row>
    <row r="2" spans="1:32">
      <c r="A2" s="6"/>
      <c r="B2" s="6"/>
      <c r="C2" s="1"/>
      <c r="D2" s="1"/>
      <c r="E2" s="1"/>
      <c r="F2" s="1"/>
      <c r="G2" s="1"/>
      <c r="I2" s="4"/>
      <c r="J2" s="4"/>
      <c r="K2" s="4"/>
      <c r="L2" s="4"/>
      <c r="M2" s="4"/>
      <c r="N2" s="4"/>
      <c r="O2" s="20"/>
      <c r="Q2" s="1"/>
      <c r="R2" s="1"/>
      <c r="S2" s="1"/>
      <c r="T2" s="1"/>
    </row>
    <row r="3" spans="1:32" ht="14.25">
      <c r="A3" s="6" t="s">
        <v>1</v>
      </c>
      <c r="B3" s="6"/>
      <c r="C3" s="1"/>
      <c r="D3" s="1"/>
      <c r="E3" s="1"/>
      <c r="F3" s="1"/>
      <c r="G3" s="1"/>
      <c r="H3" s="1"/>
      <c r="I3" s="4"/>
      <c r="J3" s="4"/>
      <c r="K3" s="4"/>
      <c r="L3" s="4"/>
      <c r="M3" s="4"/>
      <c r="N3" s="4"/>
      <c r="O3" s="1"/>
      <c r="P3" s="1"/>
      <c r="Q3" s="116"/>
      <c r="R3" s="1"/>
      <c r="S3" s="1"/>
      <c r="T3" s="1"/>
    </row>
    <row r="4" spans="1:32">
      <c r="A4" s="6" t="s">
        <v>2</v>
      </c>
      <c r="B4" s="6"/>
      <c r="C4" s="1"/>
      <c r="D4" s="1"/>
      <c r="E4" s="1"/>
      <c r="F4" s="1"/>
      <c r="G4" s="1"/>
      <c r="H4" s="1"/>
      <c r="I4" s="4"/>
      <c r="J4" s="4"/>
      <c r="K4" s="4"/>
      <c r="L4" s="4"/>
      <c r="M4" s="4"/>
      <c r="N4" s="4"/>
      <c r="O4" s="1"/>
      <c r="P4" s="1"/>
      <c r="Q4" s="1"/>
      <c r="R4" s="1"/>
      <c r="S4" s="1"/>
      <c r="T4" s="1"/>
    </row>
    <row r="5" spans="1:32">
      <c r="A5" s="1"/>
      <c r="B5" s="1"/>
      <c r="C5" s="1"/>
      <c r="D5" s="1"/>
      <c r="E5" s="1"/>
      <c r="F5" s="1"/>
      <c r="G5" s="13"/>
      <c r="H5" s="1"/>
      <c r="I5" s="1"/>
      <c r="J5" s="1"/>
      <c r="K5" s="1"/>
      <c r="L5" s="1"/>
      <c r="M5" s="1"/>
      <c r="N5" s="1"/>
      <c r="O5" s="1"/>
      <c r="P5" s="14"/>
      <c r="Q5" s="117"/>
      <c r="W5" s="1"/>
      <c r="X5" s="1"/>
      <c r="Y5" s="1"/>
      <c r="Z5" s="1"/>
      <c r="AA5" s="1"/>
      <c r="AB5" s="1"/>
      <c r="AC5" s="1"/>
      <c r="AD5" s="1"/>
      <c r="AE5" s="1"/>
      <c r="AF5" s="1"/>
    </row>
    <row r="6" spans="1:32">
      <c r="A6" s="7"/>
      <c r="B6" s="7"/>
      <c r="C6" s="216" t="s">
        <v>3</v>
      </c>
      <c r="D6" s="216"/>
      <c r="E6" s="216"/>
      <c r="F6" s="216"/>
      <c r="G6" s="216"/>
      <c r="H6" s="215"/>
      <c r="I6" s="214" t="s">
        <v>4</v>
      </c>
      <c r="J6" s="216"/>
      <c r="K6" s="216"/>
      <c r="L6" s="216"/>
      <c r="M6" s="216"/>
      <c r="N6" s="216"/>
      <c r="O6" s="42"/>
      <c r="P6" s="2" t="s">
        <v>5</v>
      </c>
      <c r="Q6" s="2"/>
      <c r="R6" s="2"/>
      <c r="S6" s="99"/>
      <c r="T6" s="2"/>
      <c r="U6" s="2"/>
      <c r="V6" s="4"/>
      <c r="W6" s="4"/>
      <c r="X6" s="1"/>
      <c r="Y6" s="1"/>
      <c r="Z6" s="1"/>
      <c r="AA6" s="1"/>
      <c r="AB6" s="1"/>
      <c r="AC6" s="1"/>
      <c r="AD6" s="1"/>
      <c r="AE6" s="1"/>
      <c r="AF6" s="1"/>
    </row>
    <row r="7" spans="1:32" ht="12.75" customHeight="1">
      <c r="A7" s="8"/>
      <c r="B7" s="8"/>
      <c r="C7" s="87"/>
      <c r="D7" s="15"/>
      <c r="E7" s="16"/>
      <c r="F7" s="67"/>
      <c r="G7" s="16"/>
      <c r="H7" s="15"/>
      <c r="I7" s="88"/>
      <c r="J7" s="15"/>
      <c r="K7" s="16"/>
      <c r="L7" s="67"/>
      <c r="M7" s="16"/>
      <c r="N7" s="15"/>
      <c r="O7" s="42"/>
      <c r="P7" s="74" t="s">
        <v>6</v>
      </c>
      <c r="Q7" s="214" t="s">
        <v>7</v>
      </c>
      <c r="R7" s="215"/>
      <c r="S7" s="2"/>
      <c r="T7" s="16"/>
      <c r="U7" s="3"/>
      <c r="V7" s="1"/>
      <c r="W7" s="1"/>
      <c r="X7" s="1"/>
      <c r="Y7" s="1"/>
      <c r="Z7" s="1"/>
      <c r="AA7" s="1"/>
      <c r="AB7" s="1"/>
      <c r="AC7" s="1"/>
      <c r="AD7" s="1"/>
      <c r="AE7" s="1"/>
      <c r="AF7" s="1"/>
    </row>
    <row r="8" spans="1:32">
      <c r="A8" s="8"/>
      <c r="B8" s="8"/>
      <c r="C8" s="202" t="s">
        <v>8</v>
      </c>
      <c r="D8" s="25" t="s">
        <v>7</v>
      </c>
      <c r="E8" s="26"/>
      <c r="F8" s="68" t="s">
        <v>9</v>
      </c>
      <c r="G8" s="41"/>
      <c r="H8" s="17" t="s">
        <v>10</v>
      </c>
      <c r="I8" s="204" t="s">
        <v>8</v>
      </c>
      <c r="J8" s="25" t="s">
        <v>7</v>
      </c>
      <c r="K8" s="26"/>
      <c r="L8" s="68" t="s">
        <v>9</v>
      </c>
      <c r="M8" s="41"/>
      <c r="N8" s="17" t="s">
        <v>10</v>
      </c>
      <c r="O8" s="42"/>
      <c r="P8" s="5" t="s">
        <v>11</v>
      </c>
      <c r="Q8" s="210"/>
      <c r="R8" s="211"/>
      <c r="S8" s="4" t="s">
        <v>9</v>
      </c>
      <c r="T8" s="41"/>
      <c r="U8" s="5" t="s">
        <v>10</v>
      </c>
      <c r="V8" s="5"/>
      <c r="W8" s="183" t="s">
        <v>12</v>
      </c>
      <c r="X8" s="184"/>
      <c r="Y8" s="169" t="s">
        <v>13</v>
      </c>
      <c r="Z8" s="170"/>
      <c r="AA8" s="169" t="s">
        <v>9</v>
      </c>
      <c r="AB8" s="185"/>
      <c r="AC8" s="186" t="s">
        <v>12</v>
      </c>
      <c r="AD8" s="187"/>
      <c r="AE8" s="1"/>
      <c r="AF8" s="1"/>
    </row>
    <row r="9" spans="1:32">
      <c r="A9" s="9"/>
      <c r="B9" s="9"/>
      <c r="C9" s="203"/>
      <c r="D9" s="100" t="s">
        <v>14</v>
      </c>
      <c r="E9" s="101" t="s">
        <v>15</v>
      </c>
      <c r="F9" s="100" t="s">
        <v>16</v>
      </c>
      <c r="G9" s="102" t="s">
        <v>17</v>
      </c>
      <c r="H9" s="103" t="s">
        <v>18</v>
      </c>
      <c r="I9" s="205"/>
      <c r="J9" s="100" t="s">
        <v>14</v>
      </c>
      <c r="K9" s="101" t="s">
        <v>15</v>
      </c>
      <c r="L9" s="100" t="s">
        <v>16</v>
      </c>
      <c r="M9" s="102" t="s">
        <v>17</v>
      </c>
      <c r="N9" s="103" t="s">
        <v>18</v>
      </c>
      <c r="O9" s="42"/>
      <c r="P9" s="102" t="s">
        <v>19</v>
      </c>
      <c r="Q9" s="100" t="s">
        <v>14</v>
      </c>
      <c r="R9" s="101" t="s">
        <v>15</v>
      </c>
      <c r="S9" s="104" t="s">
        <v>16</v>
      </c>
      <c r="T9" s="102" t="s">
        <v>17</v>
      </c>
      <c r="U9" s="103" t="s">
        <v>18</v>
      </c>
      <c r="V9" s="5"/>
      <c r="W9" s="188" t="s">
        <v>5</v>
      </c>
      <c r="X9" s="173" t="s">
        <v>3</v>
      </c>
      <c r="Y9" s="188" t="s">
        <v>5</v>
      </c>
      <c r="Z9" s="173" t="s">
        <v>3</v>
      </c>
      <c r="AA9" s="188" t="s">
        <v>5</v>
      </c>
      <c r="AB9" s="189" t="s">
        <v>3</v>
      </c>
      <c r="AC9" s="190" t="s">
        <v>5</v>
      </c>
      <c r="AD9" s="164" t="s">
        <v>3</v>
      </c>
      <c r="AE9" s="180"/>
      <c r="AF9" s="1"/>
    </row>
    <row r="10" spans="1:32">
      <c r="A10" s="62" t="s">
        <v>20</v>
      </c>
      <c r="B10" s="62"/>
      <c r="C10" s="69">
        <f>('Tuition-4Yr'!AL4/'Total E&amp;G-4yr'!AL4)*100</f>
        <v>0.68224405594171667</v>
      </c>
      <c r="D10" s="76">
        <f>('State Appropriations-4Yr'!AL4)/('Total E&amp;G-4yr'!AL4)*100</f>
        <v>1.0405617328497121</v>
      </c>
      <c r="E10" s="136" t="str">
        <f>IF((('Local Appropriations-4Yr'!AL4/'Total E&amp;G-4yr'!AL4)*100)=0,(('Local Appropriations-4Yr'!AL4/'Total E&amp;G-4yr'!AL4)*100),IF((('Local Appropriations-4Yr'!AL4/'Total E&amp;G-4yr'!AL4)*100)&gt;=0.05,('Local Appropriations-4Yr'!AL4/'Total E&amp;G-4yr'!AL4)*100,"*"))</f>
        <v>*</v>
      </c>
      <c r="F10" s="76">
        <f>('Fed Contracts Grnts-4Yr'!AL4)/('Total E&amp;G-4yr'!AL4)*100</f>
        <v>97.768289458584036</v>
      </c>
      <c r="G10" s="69">
        <f>('Other Contract Grnts-4Yr'!AL4)/('Total E&amp;G-4yr'!AL4)*100</f>
        <v>0.24041632900451718</v>
      </c>
      <c r="H10" s="76">
        <f>('All Other E&amp;G-4Yr'!AL4+'Investment Income-4Yr'!AL4)/('Total E&amp;G-4yr'!AL4)*100</f>
        <v>0.26532819939341029</v>
      </c>
      <c r="I10" s="75">
        <f>IF((C10-P10)=0,(C10-P10),IF((C10-P10)&gt;=0.005,(C10-P10),IF((C10-P10&lt;=-0.005),(C10-P10),"**")))</f>
        <v>-37.024150864711736</v>
      </c>
      <c r="J10" s="75">
        <f>+Q10-D10</f>
        <v>20.698431914640356</v>
      </c>
      <c r="K10" s="93">
        <f t="shared" ref="K10:M11" si="0">IF((E10-R10)=0,(E10-R10),IF((E10-R10)&gt;=0.005,(E10-R10),IF((E10-R10&lt;=-0.005),(E10-R10),"**")))</f>
        <v>-0.10236955354080274</v>
      </c>
      <c r="L10" s="109">
        <f t="shared" si="0"/>
        <v>81.809236959786034</v>
      </c>
      <c r="M10" s="110">
        <f t="shared" si="0"/>
        <v>-11.823193267291169</v>
      </c>
      <c r="N10" s="75">
        <f>+U10-H10</f>
        <v>12.16425158382857</v>
      </c>
      <c r="O10" s="10"/>
      <c r="P10" s="21">
        <f>('Tuition-4Yr'!AG4/'Total E&amp;G-4yr'!AG4)*100</f>
        <v>37.706394920653452</v>
      </c>
      <c r="Q10" s="22">
        <f>('State Appropriations-4Yr'!AG4/'Total E&amp;G-4yr'!AG4)*100</f>
        <v>21.738993647490069</v>
      </c>
      <c r="R10" s="23">
        <f>IF((('Local Appropriations-4Yr'!AG4/'Total E&amp;G-4yr'!AG4)*100)=0,(('Local Appropriations-4Yr'!AG4/'Total E&amp;G-4yr'!AG4)*100),IF((('Local Appropriations-4Yr'!AG4/'Total E&amp;G-4yr'!AG4)*100)&gt;=0.005,(('Local Appropriations-4Yr'!AG4/'Total E&amp;G-4yr'!AG4)*100),"*"))</f>
        <v>0.10236955354080274</v>
      </c>
      <c r="S10" s="21">
        <f>('Fed Contracts Grnts-4Yr'!AG4/'Total E&amp;G-4yr'!AG4)*100</f>
        <v>15.959052498798007</v>
      </c>
      <c r="T10" s="23">
        <f>('Other Contract Grnts-4Yr'!AG4/'Total E&amp;G-4yr'!AG4)*100</f>
        <v>12.063609596295686</v>
      </c>
      <c r="U10" s="21">
        <f>(('All Other E&amp;G-4Yr'!AG4+'Investment Income-4Yr'!AG4)/('Total E&amp;G-4yr'!AG4))*100</f>
        <v>12.42957978322198</v>
      </c>
      <c r="V10" s="21"/>
      <c r="W10" s="191">
        <f>SUM(P10:U10)</f>
        <v>100</v>
      </c>
      <c r="X10" s="177">
        <f>SUM(C10:H10)</f>
        <v>99.996839775773395</v>
      </c>
      <c r="Y10" s="94">
        <f>+Q10+R10</f>
        <v>21.841363201030873</v>
      </c>
      <c r="Z10" s="95">
        <f>+D10+E10</f>
        <v>1.0405617328497121</v>
      </c>
      <c r="AA10" s="98">
        <f>+S10+T10</f>
        <v>28.022662095093693</v>
      </c>
      <c r="AB10" s="181">
        <f>+F10+G10</f>
        <v>98.008705787588553</v>
      </c>
      <c r="AC10" s="193">
        <f>+AA10+Y10++U10+P10</f>
        <v>100</v>
      </c>
      <c r="AD10" s="194">
        <f>+AB10+Z10+H10+C10</f>
        <v>99.996839775773395</v>
      </c>
      <c r="AE10" s="13"/>
      <c r="AF10" s="1"/>
    </row>
    <row r="11" spans="1:32">
      <c r="A11" s="63" t="s">
        <v>21</v>
      </c>
      <c r="B11" s="63"/>
      <c r="C11" s="138">
        <f>('Tuition-4Yr'!AL5/'Total E&amp;G-4yr'!AL5)*100</f>
        <v>33.941202922633252</v>
      </c>
      <c r="D11" s="138">
        <f>('State Appropriations-4Yr'!AL5)/('Total E&amp;G-4yr'!AL5)*100</f>
        <v>22.634135572375751</v>
      </c>
      <c r="E11" s="139" t="str">
        <f>IF((('Local Appropriations-4Yr'!AL5/'Total E&amp;G-4yr'!AL5)*100)=0,(('Local Appropriations-4Yr'!AL5/'Total E&amp;G-4yr'!AL5)*100),IF((('Local Appropriations-4Yr'!AL5/'Total E&amp;G-4yr'!AL5)*100)&gt;=0.05,('Local Appropriations-4Yr'!AL5/'Total E&amp;G-4yr'!AL5)*100,"*"))</f>
        <v>*</v>
      </c>
      <c r="F11" s="138">
        <f>('Fed Contracts Grnts-4Yr'!AL5)/('Total E&amp;G-4yr'!AL5)*100</f>
        <v>16.581120524011929</v>
      </c>
      <c r="G11" s="138">
        <f>('Other Contract Grnts-4Yr'!AL5)/('Total E&amp;G-4yr'!AL5)*100</f>
        <v>13.550937821590381</v>
      </c>
      <c r="H11" s="140">
        <f>('All Other E&amp;G-4Yr'!AL5+'Investment Income-4Yr'!AL5)/('Total E&amp;G-4yr'!AL5)*100</f>
        <v>13.25670334685341</v>
      </c>
      <c r="I11" s="69">
        <f>IF((C11-P11)=0,(C11-P11),IF((C11-P11)&gt;=0.005,(C11-P11),IF((C11-P11&lt;=-0.005),(C11-P11),"**")))</f>
        <v>-3.298638053851576</v>
      </c>
      <c r="J11" s="76">
        <f>IF((D11-Q11)=0,(D11-Q11),IF((D11-Q11)&gt;=0.005,(D11-Q11),IF((D11-Q11&lt;=-0.005),(D11-Q11),"**")))</f>
        <v>-1.1941556028558011</v>
      </c>
      <c r="K11" s="69">
        <f t="shared" si="0"/>
        <v>-7.2086381044281347E-2</v>
      </c>
      <c r="L11" s="76">
        <f t="shared" si="0"/>
        <v>0.74309967194995075</v>
      </c>
      <c r="M11" s="69">
        <f t="shared" si="0"/>
        <v>0.98450112359575925</v>
      </c>
      <c r="N11" s="76">
        <f>IF((H11-U11)=0,(H11-U11),IF((H11-U11)&gt;=0.005,(H11-U11),IF((H11-U11&lt;=-0.005),(H11-U11),"**")))</f>
        <v>2.801379429670666</v>
      </c>
      <c r="O11" s="10"/>
      <c r="P11" s="21">
        <f>('Tuition-4Yr'!AG5/'Total E&amp;G-4yr'!AG5)*100</f>
        <v>37.239840976484828</v>
      </c>
      <c r="Q11" s="22">
        <f>('State Appropriations-4Yr'!AG5/'Total E&amp;G-4yr'!AG5)*100</f>
        <v>23.828291175231552</v>
      </c>
      <c r="R11" s="23">
        <f>IF((('Local Appropriations-4Yr'!AG5/'Total E&amp;G-4yr'!AG5)*100)=0,(('Local Appropriations-4Yr'!AG5/'Total E&amp;G-4yr'!AG5)*100),IF((('Local Appropriations-4Yr'!AG5/'Total E&amp;G-4yr'!AG5)*100)&gt;=0.005,(('Local Appropriations-4Yr'!AG5/'Total E&amp;G-4yr'!AG5)*100),"*"))</f>
        <v>7.2086381044281347E-2</v>
      </c>
      <c r="S11" s="21">
        <f>('Fed Contracts Grnts-4Yr'!AG5/'Total E&amp;G-4yr'!AG5)*100</f>
        <v>15.838020852061979</v>
      </c>
      <c r="T11" s="23">
        <f>('Other Contract Grnts-4Yr'!AG5/'Total E&amp;G-4yr'!AG5)*100</f>
        <v>12.566436697994622</v>
      </c>
      <c r="U11" s="21">
        <f>(('All Other E&amp;G-4Yr'!AG5+'Investment Income-4Yr'!AG5)/('Total E&amp;G-4yr'!AG5))*100</f>
        <v>10.455323917182744</v>
      </c>
      <c r="V11" s="21"/>
      <c r="W11" s="191">
        <f>SUM(P11:U11)</f>
        <v>100</v>
      </c>
      <c r="X11" s="177">
        <f>SUM(C11:H11)</f>
        <v>99.964100187464723</v>
      </c>
      <c r="Y11" s="94">
        <f t="shared" ref="Y11:Y69" si="1">+Q11+R11</f>
        <v>23.900377556275835</v>
      </c>
      <c r="Z11" s="95">
        <f t="shared" ref="Z11:Z69" si="2">+D11+E11</f>
        <v>22.634135572375751</v>
      </c>
      <c r="AA11" s="94">
        <f t="shared" ref="AA11:AA69" si="3">+S11+T11</f>
        <v>28.404457550056598</v>
      </c>
      <c r="AB11" s="13">
        <f t="shared" ref="AB11:AB69" si="4">+F11+G11</f>
        <v>30.13205834560231</v>
      </c>
      <c r="AC11" s="193">
        <f t="shared" ref="AC11:AC69" si="5">+AA11+Y11++U11+P11</f>
        <v>100</v>
      </c>
      <c r="AD11" s="194">
        <f t="shared" ref="AD11:AD69" si="6">+AB11+Z11+H11+C11</f>
        <v>99.964100187464723</v>
      </c>
      <c r="AE11" s="13"/>
      <c r="AF11" s="1"/>
    </row>
    <row r="12" spans="1:32">
      <c r="A12" s="63"/>
      <c r="B12" s="63"/>
      <c r="C12" s="69"/>
      <c r="D12" s="69"/>
      <c r="E12" s="136"/>
      <c r="F12" s="69"/>
      <c r="G12" s="69"/>
      <c r="H12" s="137"/>
      <c r="I12" s="69"/>
      <c r="J12" s="76"/>
      <c r="K12" s="69"/>
      <c r="L12" s="76"/>
      <c r="M12" s="69"/>
      <c r="N12" s="76"/>
      <c r="O12" s="10"/>
      <c r="P12" s="21"/>
      <c r="Q12" s="22"/>
      <c r="R12" s="23"/>
      <c r="S12" s="21"/>
      <c r="T12" s="23"/>
      <c r="U12" s="21"/>
      <c r="V12" s="21"/>
      <c r="W12" s="191"/>
      <c r="X12" s="177"/>
      <c r="Y12" s="94"/>
      <c r="Z12" s="95"/>
      <c r="AA12" s="94"/>
      <c r="AB12" s="13"/>
      <c r="AC12" s="193"/>
      <c r="AD12" s="194"/>
      <c r="AE12" s="13"/>
      <c r="AF12" s="1"/>
    </row>
    <row r="13" spans="1:32">
      <c r="A13" s="64" t="s">
        <v>22</v>
      </c>
      <c r="B13" s="64"/>
      <c r="C13" s="70">
        <f>('Tuition-4Yr'!AL7/'Total E&amp;G-4yr'!AL7)*100</f>
        <v>44.6805287613331</v>
      </c>
      <c r="D13" s="70">
        <f>('State Appropriations-4Yr'!AL7)/('Total E&amp;G-4yr'!AL7)*100</f>
        <v>21.170268966496884</v>
      </c>
      <c r="E13" s="147">
        <f>IF((('Local Appropriations-4Yr'!AL7/'Total E&amp;G-4yr'!AL7)*100)=0,(('Local Appropriations-4Yr'!AL7/'Total E&amp;G-4yr'!AL7)*100),IF((('Local Appropriations-4Yr'!AL7/'Total E&amp;G-4yr'!AL7)*100)&gt;=0.05,('Local Appropriations-4Yr'!AL7/'Total E&amp;G-4yr'!AL7)*100,"*"))</f>
        <v>0</v>
      </c>
      <c r="F13" s="70">
        <f>('Fed Contracts Grnts-4Yr'!AL7)/('Total E&amp;G-4yr'!AL7)*100</f>
        <v>18.374919287578759</v>
      </c>
      <c r="G13" s="70">
        <f>('Other Contract Grnts-4Yr'!AL7)/('Total E&amp;G-4yr'!AL7)*100</f>
        <v>6.2372236184205603</v>
      </c>
      <c r="H13" s="148">
        <f>('All Other E&amp;G-4Yr'!AL7+'Investment Income-4Yr'!AL7)/('Total E&amp;G-4yr'!AL7)*100</f>
        <v>9.537059366170709</v>
      </c>
      <c r="I13" s="70">
        <f t="shared" ref="I13:I23" si="7">IF((C13-P13)=0,(C13-P13),IF((C13-P13)&gt;=0.005,(C13-P13),IF((C13-P13&lt;=-0.005),(C13-P13),"**")))</f>
        <v>0.39250146525472474</v>
      </c>
      <c r="J13" s="77">
        <f t="shared" ref="J13:J23" si="8">IF((D13-Q13)=0,(D13-Q13),IF((D13-Q13)&gt;=0.005,(D13-Q13),IF((D13-Q13&lt;=-0.005),(D13-Q13),"**")))</f>
        <v>-1.3761427964174118</v>
      </c>
      <c r="K13" s="70">
        <f t="shared" ref="K13:K23" si="9">IF((E13-R13)=0,(E13-R13),IF((E13-R13)&gt;=0.005,(E13-R13),IF((E13-R13&lt;=-0.005),(E13-R13),"**")))</f>
        <v>0</v>
      </c>
      <c r="L13" s="77">
        <f t="shared" ref="L13:L23" si="10">IF((F13-S13)=0,(F13-S13),IF((F13-S13)&gt;=0.005,(F13-S13),IF((F13-S13&lt;=-0.005),(F13-S13),"**")))</f>
        <v>1.0281579681346287</v>
      </c>
      <c r="M13" s="70">
        <f t="shared" ref="M13:M23" si="11">IF((G13-T13)=0,(G13-T13),IF((G13-T13)&gt;=0.005,(G13-T13),IF((G13-T13&lt;=-0.005),(G13-T13),"**")))</f>
        <v>-2.8765204692882191</v>
      </c>
      <c r="N13" s="77">
        <f t="shared" ref="N13:N23" si="12">IF((H13-U13)=0,(H13-U13),IF((H13-U13)&gt;=0.005,(H13-U13),IF((H13-U13&lt;=-0.005),(H13-U13),"**")))</f>
        <v>2.8330878874603487</v>
      </c>
      <c r="O13" s="10"/>
      <c r="P13" s="21">
        <f>('Tuition-4Yr'!AG7/'Total E&amp;G-4yr'!AG7)*100</f>
        <v>44.288027296078376</v>
      </c>
      <c r="Q13" s="22">
        <f>('State Appropriations-4Yr'!AG7/'Total E&amp;G-4yr'!AG7)*100</f>
        <v>22.546411762914296</v>
      </c>
      <c r="R13" s="23" t="str">
        <f>IF((('Local Appropriations-4Yr'!AG7/'Total E&amp;G-4yr'!AG7)*100)=0,(('Local Appropriations-4Yr'!AG7/'Total E&amp;G-4yr'!AG7)*100),IF((('Local Appropriations-4Yr'!AG7/'Total E&amp;G-4yr'!AG7)*100)&gt;=0.005,(('Local Appropriations-4Yr'!AG7/'Total E&amp;G-4yr'!AG7)*100),"*"))</f>
        <v>*</v>
      </c>
      <c r="S13" s="21">
        <f>('Fed Contracts Grnts-4Yr'!AG7/'Total E&amp;G-4yr'!AG7)*100</f>
        <v>17.346761319444131</v>
      </c>
      <c r="T13" s="23">
        <f>('Other Contract Grnts-4Yr'!AG7/'Total E&amp;G-4yr'!AG7)*100</f>
        <v>9.1137440877087794</v>
      </c>
      <c r="U13" s="21">
        <f>(('All Other E&amp;G-4Yr'!AG7+'Investment Income-4Yr'!AG7)/('Total E&amp;G-4yr'!AG7))*100</f>
        <v>6.7039714787103604</v>
      </c>
      <c r="W13" s="191">
        <f t="shared" ref="W13:W29" si="13">SUM(P13:U13)</f>
        <v>99.998915944855938</v>
      </c>
      <c r="X13" s="177">
        <f t="shared" ref="X13:X29" si="14">SUM(C13:H13)</f>
        <v>100.00000000000001</v>
      </c>
      <c r="Y13" s="94">
        <f t="shared" si="1"/>
        <v>22.546411762914296</v>
      </c>
      <c r="Z13" s="95">
        <f t="shared" si="2"/>
        <v>21.170268966496884</v>
      </c>
      <c r="AA13" s="94">
        <f t="shared" si="3"/>
        <v>26.460505407152908</v>
      </c>
      <c r="AB13" s="13">
        <f t="shared" si="4"/>
        <v>24.61214290599932</v>
      </c>
      <c r="AC13" s="193">
        <f t="shared" si="5"/>
        <v>99.998915944855938</v>
      </c>
      <c r="AD13" s="194">
        <f t="shared" si="6"/>
        <v>100.00000000000001</v>
      </c>
      <c r="AE13" s="13"/>
      <c r="AF13" s="1"/>
    </row>
    <row r="14" spans="1:32">
      <c r="A14" s="64" t="s">
        <v>23</v>
      </c>
      <c r="B14" s="64"/>
      <c r="C14" s="70">
        <f>('Tuition-4Yr'!AL8/'Total E&amp;G-4yr'!AL8)*100</f>
        <v>33.472253961901195</v>
      </c>
      <c r="D14" s="70">
        <f>('State Appropriations-4Yr'!AL8)/('Total E&amp;G-4yr'!AL8)*100</f>
        <v>24.369765238695255</v>
      </c>
      <c r="E14" s="147">
        <f>IF((('Local Appropriations-4Yr'!AL8/'Total E&amp;G-4yr'!AL8)*100)=0,(('Local Appropriations-4Yr'!AL8/'Total E&amp;G-4yr'!AL8)*100),IF((('Local Appropriations-4Yr'!AL8/'Total E&amp;G-4yr'!AL8)*100)&gt;=0.05,('Local Appropriations-4Yr'!AL8/'Total E&amp;G-4yr'!AL8)*100,"*"))</f>
        <v>0.24999947643204978</v>
      </c>
      <c r="F14" s="70">
        <f>('Fed Contracts Grnts-4Yr'!AL8)/('Total E&amp;G-4yr'!AL8)*100</f>
        <v>16.052906283493694</v>
      </c>
      <c r="G14" s="70">
        <f>('Other Contract Grnts-4Yr'!AL8)/('Total E&amp;G-4yr'!AL8)*100</f>
        <v>13.609974096045867</v>
      </c>
      <c r="H14" s="148">
        <f>('All Other E&amp;G-4Yr'!AL8+'Investment Income-4Yr'!AL8)/('Total E&amp;G-4yr'!AL8)*100</f>
        <v>12.245100943431936</v>
      </c>
      <c r="I14" s="70">
        <f t="shared" si="7"/>
        <v>-1.0033802749534644</v>
      </c>
      <c r="J14" s="77">
        <f t="shared" si="8"/>
        <v>-2.2307038123622753</v>
      </c>
      <c r="K14" s="121">
        <f t="shared" si="9"/>
        <v>-2.5899467600571657E-2</v>
      </c>
      <c r="L14" s="77">
        <f t="shared" si="10"/>
        <v>1.5290040669194109</v>
      </c>
      <c r="M14" s="70">
        <f t="shared" si="11"/>
        <v>-4.6393223216747366</v>
      </c>
      <c r="N14" s="77">
        <f t="shared" si="12"/>
        <v>6.3703018096716546</v>
      </c>
      <c r="O14" s="10"/>
      <c r="P14" s="21">
        <f>('Tuition-4Yr'!AG8/'Total E&amp;G-4yr'!AG8)*100</f>
        <v>34.47563423685466</v>
      </c>
      <c r="Q14" s="22">
        <f>('State Appropriations-4Yr'!AG8/'Total E&amp;G-4yr'!AG8)*100</f>
        <v>26.60046905105753</v>
      </c>
      <c r="R14" s="23">
        <f>IF((('Local Appropriations-4Yr'!AG8/'Total E&amp;G-4yr'!AG8)*100)=0,(('Local Appropriations-4Yr'!AG8/'Total E&amp;G-4yr'!AG8)*100),IF((('Local Appropriations-4Yr'!AG8/'Total E&amp;G-4yr'!AG8)*100)&gt;=0.005,(('Local Appropriations-4Yr'!AG8/'Total E&amp;G-4yr'!AG8)*100),"*"))</f>
        <v>0.27589894403262144</v>
      </c>
      <c r="S14" s="21">
        <f>('Fed Contracts Grnts-4Yr'!AG8/'Total E&amp;G-4yr'!AG8)*100</f>
        <v>14.523902216574283</v>
      </c>
      <c r="T14" s="23">
        <f>('Other Contract Grnts-4Yr'!AG8/'Total E&amp;G-4yr'!AG8)*100</f>
        <v>18.249296417720604</v>
      </c>
      <c r="U14" s="21">
        <f>(('All Other E&amp;G-4Yr'!AG8+'Investment Income-4Yr'!AG8)/('Total E&amp;G-4yr'!AG8))*100</f>
        <v>5.8747991337602814</v>
      </c>
      <c r="V14" s="21"/>
      <c r="W14" s="191">
        <f t="shared" si="13"/>
        <v>99.999999999999972</v>
      </c>
      <c r="X14" s="177">
        <f t="shared" si="14"/>
        <v>100</v>
      </c>
      <c r="Y14" s="94">
        <f t="shared" si="1"/>
        <v>26.876367995090153</v>
      </c>
      <c r="Z14" s="95">
        <f t="shared" si="2"/>
        <v>24.619764715127303</v>
      </c>
      <c r="AA14" s="94">
        <f t="shared" si="3"/>
        <v>32.773198634294886</v>
      </c>
      <c r="AB14" s="13">
        <f t="shared" si="4"/>
        <v>29.662880379539562</v>
      </c>
      <c r="AC14" s="193">
        <f t="shared" si="5"/>
        <v>99.999999999999972</v>
      </c>
      <c r="AD14" s="194">
        <f t="shared" si="6"/>
        <v>100</v>
      </c>
      <c r="AE14" s="13"/>
      <c r="AF14" s="1"/>
    </row>
    <row r="15" spans="1:32">
      <c r="A15" s="64" t="s">
        <v>24</v>
      </c>
      <c r="B15" s="64"/>
      <c r="C15" s="70">
        <f>('Tuition-4Yr'!AL9/'Total E&amp;G-4yr'!AL9)*100</f>
        <v>48.533275155576447</v>
      </c>
      <c r="D15" s="70">
        <f>('State Appropriations-4Yr'!AL9)/('Total E&amp;G-4yr'!AL9)*100</f>
        <v>15.831099283869573</v>
      </c>
      <c r="E15" s="147">
        <f>IF((('Local Appropriations-4Yr'!AL9/'Total E&amp;G-4yr'!AL9)*100)=0,(('Local Appropriations-4Yr'!AL9/'Total E&amp;G-4yr'!AL9)*100),IF((('Local Appropriations-4Yr'!AL9/'Total E&amp;G-4yr'!AL9)*100)&gt;=0.05,('Local Appropriations-4Yr'!AL9/'Total E&amp;G-4yr'!AL9)*100,"*"))</f>
        <v>0</v>
      </c>
      <c r="F15" s="70">
        <f>('Fed Contracts Grnts-4Yr'!AL9)/('Total E&amp;G-4yr'!AL9)*100</f>
        <v>16.895350648295715</v>
      </c>
      <c r="G15" s="70">
        <f>('Other Contract Grnts-4Yr'!AL9)/('Total E&amp;G-4yr'!AL9)*100</f>
        <v>9.4518406105832611</v>
      </c>
      <c r="H15" s="148">
        <f>('All Other E&amp;G-4Yr'!AL9+'Investment Income-4Yr'!AL9)/('Total E&amp;G-4yr'!AL9)*100</f>
        <v>9.2884343016750215</v>
      </c>
      <c r="I15" s="70">
        <f t="shared" si="7"/>
        <v>-5.634980940398421</v>
      </c>
      <c r="J15" s="77">
        <f t="shared" si="8"/>
        <v>1.8220545875898182</v>
      </c>
      <c r="K15" s="70">
        <f t="shared" si="9"/>
        <v>0</v>
      </c>
      <c r="L15" s="77">
        <f t="shared" si="10"/>
        <v>4.791833580614302</v>
      </c>
      <c r="M15" s="70">
        <f t="shared" si="11"/>
        <v>1.1190115929636271</v>
      </c>
      <c r="N15" s="77">
        <f t="shared" si="12"/>
        <v>-2.097918820769328</v>
      </c>
      <c r="O15" s="10"/>
      <c r="P15" s="21">
        <f>('Tuition-4Yr'!AG9/'Total E&amp;G-4yr'!AG9)*100</f>
        <v>54.168256095974868</v>
      </c>
      <c r="Q15" s="22">
        <f>('State Appropriations-4Yr'!AG9/'Total E&amp;G-4yr'!AG9)*100</f>
        <v>14.009044696279755</v>
      </c>
      <c r="R15" s="23">
        <f>IF((('Local Appropriations-4Yr'!AG9/'Total E&amp;G-4yr'!AG9)*100)=0,(('Local Appropriations-4Yr'!AG9/'Total E&amp;G-4yr'!AG9)*100),IF((('Local Appropriations-4Yr'!AG9/'Total E&amp;G-4yr'!AG9)*100)&gt;=0.005,(('Local Appropriations-4Yr'!AG9/'Total E&amp;G-4yr'!AG9)*100),"*"))</f>
        <v>0</v>
      </c>
      <c r="S15" s="21">
        <f>('Fed Contracts Grnts-4Yr'!AG9/'Total E&amp;G-4yr'!AG9)*100</f>
        <v>12.103517067681413</v>
      </c>
      <c r="T15" s="23">
        <f>('Other Contract Grnts-4Yr'!AG9/'Total E&amp;G-4yr'!AG9)*100</f>
        <v>8.332829017619634</v>
      </c>
      <c r="U15" s="21">
        <f>(('All Other E&amp;G-4Yr'!AG9+'Investment Income-4Yr'!AG9)/('Total E&amp;G-4yr'!AG9))*100</f>
        <v>11.386353122444349</v>
      </c>
      <c r="V15" s="21"/>
      <c r="W15" s="191">
        <f t="shared" si="13"/>
        <v>100.00000000000001</v>
      </c>
      <c r="X15" s="177">
        <f t="shared" si="14"/>
        <v>100.00000000000003</v>
      </c>
      <c r="Y15" s="94">
        <f t="shared" si="1"/>
        <v>14.009044696279755</v>
      </c>
      <c r="Z15" s="95">
        <f t="shared" si="2"/>
        <v>15.831099283869573</v>
      </c>
      <c r="AA15" s="94">
        <f t="shared" si="3"/>
        <v>20.436346085301047</v>
      </c>
      <c r="AB15" s="13">
        <f t="shared" si="4"/>
        <v>26.347191258878976</v>
      </c>
      <c r="AC15" s="193">
        <f t="shared" si="5"/>
        <v>100.00000000000001</v>
      </c>
      <c r="AD15" s="194">
        <f t="shared" si="6"/>
        <v>100.00000000000001</v>
      </c>
      <c r="AE15" s="13"/>
      <c r="AF15" s="1"/>
    </row>
    <row r="16" spans="1:32">
      <c r="A16" s="64" t="s">
        <v>25</v>
      </c>
      <c r="B16" s="64"/>
      <c r="C16" s="70">
        <f>('Tuition-4Yr'!AL10/'Total E&amp;G-4yr'!AL10)*100</f>
        <v>28.547879026759226</v>
      </c>
      <c r="D16" s="70">
        <f>('State Appropriations-4Yr'!AL10)/('Total E&amp;G-4yr'!AL10)*100</f>
        <v>28.869635687355537</v>
      </c>
      <c r="E16" s="147">
        <f>IF((('Local Appropriations-4Yr'!AL10/'Total E&amp;G-4yr'!AL10)*100)=0,(('Local Appropriations-4Yr'!AL10/'Total E&amp;G-4yr'!AL10)*100),IF((('Local Appropriations-4Yr'!AL10/'Total E&amp;G-4yr'!AL10)*100)&gt;=0.05,('Local Appropriations-4Yr'!AL10/'Total E&amp;G-4yr'!AL10)*100,"*"))</f>
        <v>0</v>
      </c>
      <c r="F16" s="70">
        <f>('Fed Contracts Grnts-4Yr'!AL10)/('Total E&amp;G-4yr'!AL10)*100</f>
        <v>16.668678713460256</v>
      </c>
      <c r="G16" s="70">
        <f>('Other Contract Grnts-4Yr'!AL10)/('Total E&amp;G-4yr'!AL10)*100</f>
        <v>21.289156626996803</v>
      </c>
      <c r="H16" s="148">
        <f>('All Other E&amp;G-4Yr'!AL10+'Investment Income-4Yr'!AL10)/('Total E&amp;G-4yr'!AL10)*100</f>
        <v>4.6246499454281738</v>
      </c>
      <c r="I16" s="70">
        <f t="shared" si="7"/>
        <v>-2.6530734492928048</v>
      </c>
      <c r="J16" s="77">
        <f t="shared" si="8"/>
        <v>-0.31486349797952329</v>
      </c>
      <c r="K16" s="70">
        <f t="shared" si="9"/>
        <v>0</v>
      </c>
      <c r="L16" s="77">
        <f t="shared" si="10"/>
        <v>-7.9100280480361107E-2</v>
      </c>
      <c r="M16" s="70">
        <f t="shared" si="11"/>
        <v>1.8236259714840166</v>
      </c>
      <c r="N16" s="77">
        <f t="shared" si="12"/>
        <v>1.2234112562686636</v>
      </c>
      <c r="O16" s="10"/>
      <c r="P16" s="21">
        <f>('Tuition-4Yr'!AG10/'Total E&amp;G-4yr'!AG10)*100</f>
        <v>31.200952476052031</v>
      </c>
      <c r="Q16" s="22">
        <f>('State Appropriations-4Yr'!AG10/'Total E&amp;G-4yr'!AG10)*100</f>
        <v>29.18449918533506</v>
      </c>
      <c r="R16" s="23">
        <f>IF((('Local Appropriations-4Yr'!AG10/'Total E&amp;G-4yr'!AG10)*100)=0,(('Local Appropriations-4Yr'!AG10/'Total E&amp;G-4yr'!AG10)*100),IF((('Local Appropriations-4Yr'!AG10/'Total E&amp;G-4yr'!AG10)*100)&gt;=0.005,(('Local Appropriations-4Yr'!AG10/'Total E&amp;G-4yr'!AG10)*100),"*"))</f>
        <v>0</v>
      </c>
      <c r="S16" s="21">
        <f>('Fed Contracts Grnts-4Yr'!AG10/'Total E&amp;G-4yr'!AG10)*100</f>
        <v>16.747778993940617</v>
      </c>
      <c r="T16" s="23">
        <f>('Other Contract Grnts-4Yr'!AG10/'Total E&amp;G-4yr'!AG10)*100</f>
        <v>19.465530655512786</v>
      </c>
      <c r="U16" s="21">
        <f>(('All Other E&amp;G-4Yr'!AG10+'Investment Income-4Yr'!AG10)/('Total E&amp;G-4yr'!AG10))*100</f>
        <v>3.4012386891595101</v>
      </c>
      <c r="V16" s="21"/>
      <c r="W16" s="191">
        <f t="shared" si="13"/>
        <v>100.00000000000001</v>
      </c>
      <c r="X16" s="177">
        <f t="shared" si="14"/>
        <v>99.999999999999986</v>
      </c>
      <c r="Y16" s="94">
        <f t="shared" si="1"/>
        <v>29.18449918533506</v>
      </c>
      <c r="Z16" s="95">
        <f t="shared" si="2"/>
        <v>28.869635687355537</v>
      </c>
      <c r="AA16" s="94">
        <f t="shared" si="3"/>
        <v>36.213309649453407</v>
      </c>
      <c r="AB16" s="13">
        <f t="shared" si="4"/>
        <v>37.957835340457059</v>
      </c>
      <c r="AC16" s="193">
        <f t="shared" si="5"/>
        <v>100</v>
      </c>
      <c r="AD16" s="194">
        <f t="shared" si="6"/>
        <v>100</v>
      </c>
      <c r="AE16" s="13"/>
      <c r="AF16" s="1"/>
    </row>
    <row r="17" spans="1:32">
      <c r="A17" s="63" t="s">
        <v>26</v>
      </c>
      <c r="B17" s="63"/>
      <c r="C17" s="69">
        <f>('Tuition-4Yr'!AL11/'Total E&amp;G-4yr'!AL11)*100</f>
        <v>33.544130837160537</v>
      </c>
      <c r="D17" s="69">
        <f>('State Appropriations-4Yr'!AL11)/('Total E&amp;G-4yr'!AL11)*100</f>
        <v>28.118123081977565</v>
      </c>
      <c r="E17" s="136">
        <f>IF((('Local Appropriations-4Yr'!AL11/'Total E&amp;G-4yr'!AL11)*100)=0,(('Local Appropriations-4Yr'!AL11/'Total E&amp;G-4yr'!AL11)*100),IF((('Local Appropriations-4Yr'!AL11/'Total E&amp;G-4yr'!AL11)*100)&gt;=0.05,('Local Appropriations-4Yr'!AL11/'Total E&amp;G-4yr'!AL11)*100,"*"))</f>
        <v>0</v>
      </c>
      <c r="F17" s="69">
        <f>('Fed Contracts Grnts-4Yr'!AL11)/('Total E&amp;G-4yr'!AL11)*100</f>
        <v>22.915333423518078</v>
      </c>
      <c r="G17" s="69">
        <f>('Other Contract Grnts-4Yr'!AL11)/('Total E&amp;G-4yr'!AL11)*100</f>
        <v>10.680714498600524</v>
      </c>
      <c r="H17" s="137">
        <f>('All Other E&amp;G-4Yr'!AL11+'Investment Income-4Yr'!AL11)/('Total E&amp;G-4yr'!AL11)*100</f>
        <v>4.7416981587432936</v>
      </c>
      <c r="I17" s="69">
        <f t="shared" si="7"/>
        <v>-2.9964976416911142</v>
      </c>
      <c r="J17" s="76">
        <f t="shared" si="8"/>
        <v>1.4311082259701529</v>
      </c>
      <c r="K17" s="69">
        <f t="shared" si="9"/>
        <v>0</v>
      </c>
      <c r="L17" s="76">
        <f t="shared" si="10"/>
        <v>2.4840223954318716</v>
      </c>
      <c r="M17" s="69">
        <f t="shared" si="11"/>
        <v>-0.79297799793549295</v>
      </c>
      <c r="N17" s="76">
        <f t="shared" si="12"/>
        <v>-0.12565498177541645</v>
      </c>
      <c r="O17" s="10"/>
      <c r="P17" s="21">
        <f>('Tuition-4Yr'!AG11/'Total E&amp;G-4yr'!AG11)*100</f>
        <v>36.540628478851652</v>
      </c>
      <c r="Q17" s="22">
        <f>('State Appropriations-4Yr'!AG11/'Total E&amp;G-4yr'!AG11)*100</f>
        <v>26.687014856007412</v>
      </c>
      <c r="R17" s="23">
        <f>IF((('Local Appropriations-4Yr'!AG11/'Total E&amp;G-4yr'!AG11)*100)=0,(('Local Appropriations-4Yr'!AG11/'Total E&amp;G-4yr'!AG11)*100),IF((('Local Appropriations-4Yr'!AG11/'Total E&amp;G-4yr'!AG11)*100)&gt;=0.005,(('Local Appropriations-4Yr'!AG11/'Total E&amp;G-4yr'!AG11)*100),"*"))</f>
        <v>0</v>
      </c>
      <c r="S17" s="21">
        <f>('Fed Contracts Grnts-4Yr'!AG11/'Total E&amp;G-4yr'!AG11)*100</f>
        <v>20.431311028086206</v>
      </c>
      <c r="T17" s="23">
        <f>('Other Contract Grnts-4Yr'!AG11/'Total E&amp;G-4yr'!AG11)*100</f>
        <v>11.473692496536017</v>
      </c>
      <c r="U17" s="21">
        <f>(('All Other E&amp;G-4Yr'!AG11+'Investment Income-4Yr'!AG11)/('Total E&amp;G-4yr'!AG11))*100</f>
        <v>4.86735314051871</v>
      </c>
      <c r="V17" s="21"/>
      <c r="W17" s="191">
        <f t="shared" si="13"/>
        <v>100.00000000000001</v>
      </c>
      <c r="X17" s="177">
        <f t="shared" si="14"/>
        <v>100</v>
      </c>
      <c r="Y17" s="94">
        <f t="shared" si="1"/>
        <v>26.687014856007412</v>
      </c>
      <c r="Z17" s="95">
        <f t="shared" si="2"/>
        <v>28.118123081977565</v>
      </c>
      <c r="AA17" s="94">
        <f t="shared" si="3"/>
        <v>31.905003524622224</v>
      </c>
      <c r="AB17" s="13">
        <f t="shared" si="4"/>
        <v>33.596047922118601</v>
      </c>
      <c r="AC17" s="193">
        <f t="shared" si="5"/>
        <v>100</v>
      </c>
      <c r="AD17" s="194">
        <f t="shared" si="6"/>
        <v>100</v>
      </c>
      <c r="AE17" s="13"/>
      <c r="AF17" s="1"/>
    </row>
    <row r="18" spans="1:32">
      <c r="A18" s="63" t="s">
        <v>27</v>
      </c>
      <c r="B18" s="63"/>
      <c r="C18" s="69">
        <f>('Tuition-4Yr'!AL12/'Total E&amp;G-4yr'!AL12)*100</f>
        <v>38.424191982190095</v>
      </c>
      <c r="D18" s="69">
        <f>('State Appropriations-4Yr'!AL12)/('Total E&amp;G-4yr'!AL12)*100</f>
        <v>16.84662909657742</v>
      </c>
      <c r="E18" s="136">
        <f>IF((('Local Appropriations-4Yr'!AL12/'Total E&amp;G-4yr'!AL12)*100)=0,(('Local Appropriations-4Yr'!AL12/'Total E&amp;G-4yr'!AL12)*100),IF((('Local Appropriations-4Yr'!AL12/'Total E&amp;G-4yr'!AL12)*100)&gt;=0.05,('Local Appropriations-4Yr'!AL12/'Total E&amp;G-4yr'!AL12)*100,"*"))</f>
        <v>0.68317968359261605</v>
      </c>
      <c r="F18" s="69">
        <f>('Fed Contracts Grnts-4Yr'!AL12)/('Total E&amp;G-4yr'!AL12)*100</f>
        <v>15.636787385432479</v>
      </c>
      <c r="G18" s="69">
        <f>('Other Contract Grnts-4Yr'!AL12)/('Total E&amp;G-4yr'!AL12)*100</f>
        <v>10.66110354374484</v>
      </c>
      <c r="H18" s="137">
        <f>('All Other E&amp;G-4Yr'!AL12+'Investment Income-4Yr'!AL12)/('Total E&amp;G-4yr'!AL12)*100</f>
        <v>17.748108308462538</v>
      </c>
      <c r="I18" s="119">
        <f t="shared" si="7"/>
        <v>-0.54713270992562002</v>
      </c>
      <c r="J18" s="76">
        <f t="shared" si="8"/>
        <v>-3.1408305114017168</v>
      </c>
      <c r="K18" s="119">
        <f t="shared" si="9"/>
        <v>7.6217473055731899E-2</v>
      </c>
      <c r="L18" s="76">
        <f t="shared" si="10"/>
        <v>1.4317410006488061</v>
      </c>
      <c r="M18" s="69">
        <f t="shared" si="11"/>
        <v>-0.66963209545818891</v>
      </c>
      <c r="N18" s="76">
        <f t="shared" si="12"/>
        <v>2.8496368430809884</v>
      </c>
      <c r="O18" s="10"/>
      <c r="P18" s="21">
        <f>('Tuition-4Yr'!AG12/'Total E&amp;G-4yr'!AG12)*100</f>
        <v>38.971324692115715</v>
      </c>
      <c r="Q18" s="22">
        <f>('State Appropriations-4Yr'!AG12/'Total E&amp;G-4yr'!AG12)*100</f>
        <v>19.987459607979137</v>
      </c>
      <c r="R18" s="23">
        <f>IF((('Local Appropriations-4Yr'!AG12/'Total E&amp;G-4yr'!AG12)*100)=0,(('Local Appropriations-4Yr'!AG12/'Total E&amp;G-4yr'!AG12)*100),IF((('Local Appropriations-4Yr'!AG12/'Total E&amp;G-4yr'!AG12)*100)&gt;=0.005,(('Local Appropriations-4Yr'!AG12/'Total E&amp;G-4yr'!AG12)*100),"*"))</f>
        <v>0.60696221053688415</v>
      </c>
      <c r="S18" s="21">
        <f>('Fed Contracts Grnts-4Yr'!AG12/'Total E&amp;G-4yr'!AG12)*100</f>
        <v>14.205046384783673</v>
      </c>
      <c r="T18" s="23">
        <f>('Other Contract Grnts-4Yr'!AG12/'Total E&amp;G-4yr'!AG12)*100</f>
        <v>11.330735639203029</v>
      </c>
      <c r="U18" s="21">
        <f>(('All Other E&amp;G-4Yr'!AG12+'Investment Income-4Yr'!AG12)/('Total E&amp;G-4yr'!AG12))*100</f>
        <v>14.898471465381549</v>
      </c>
      <c r="V18" s="21"/>
      <c r="W18" s="191">
        <f t="shared" si="13"/>
        <v>99.999999999999986</v>
      </c>
      <c r="X18" s="177">
        <f t="shared" si="14"/>
        <v>99.999999999999986</v>
      </c>
      <c r="Y18" s="94">
        <f t="shared" si="1"/>
        <v>20.594421818516022</v>
      </c>
      <c r="Z18" s="95">
        <f t="shared" si="2"/>
        <v>17.529808780170036</v>
      </c>
      <c r="AA18" s="94">
        <f t="shared" si="3"/>
        <v>25.535782023986702</v>
      </c>
      <c r="AB18" s="13">
        <f t="shared" si="4"/>
        <v>26.297890929177321</v>
      </c>
      <c r="AC18" s="193">
        <f t="shared" si="5"/>
        <v>99.999999999999986</v>
      </c>
      <c r="AD18" s="194">
        <f t="shared" si="6"/>
        <v>99.999999999999986</v>
      </c>
      <c r="AE18" s="13"/>
      <c r="AF18" s="1"/>
    </row>
    <row r="19" spans="1:32">
      <c r="A19" s="63" t="s">
        <v>28</v>
      </c>
      <c r="B19" s="63"/>
      <c r="C19" s="69">
        <f>('Tuition-4Yr'!AL13/'Total E&amp;G-4yr'!AL13)*100</f>
        <v>36.167818819887849</v>
      </c>
      <c r="D19" s="69">
        <f>('State Appropriations-4Yr'!AL13)/('Total E&amp;G-4yr'!AL13)*100</f>
        <v>18.155024349009288</v>
      </c>
      <c r="E19" s="136">
        <f>IF((('Local Appropriations-4Yr'!AL13/'Total E&amp;G-4yr'!AL13)*100)=0,(('Local Appropriations-4Yr'!AL13/'Total E&amp;G-4yr'!AL13)*100),IF((('Local Appropriations-4Yr'!AL13/'Total E&amp;G-4yr'!AL13)*100)&gt;=0.05,('Local Appropriations-4Yr'!AL13/'Total E&amp;G-4yr'!AL13)*100,"*"))</f>
        <v>0</v>
      </c>
      <c r="F19" s="69">
        <f>('Fed Contracts Grnts-4Yr'!AL13)/('Total E&amp;G-4yr'!AL13)*100</f>
        <v>14.656052255998366</v>
      </c>
      <c r="G19" s="69">
        <f>('Other Contract Grnts-4Yr'!AL13)/('Total E&amp;G-4yr'!AL13)*100</f>
        <v>25.325854359954413</v>
      </c>
      <c r="H19" s="137">
        <f>('All Other E&amp;G-4Yr'!AL13+'Investment Income-4Yr'!AL13)/('Total E&amp;G-4yr'!AL13)*100</f>
        <v>5.6952502151500921</v>
      </c>
      <c r="I19" s="69">
        <f t="shared" si="7"/>
        <v>-1.602940470130612</v>
      </c>
      <c r="J19" s="76">
        <f t="shared" si="8"/>
        <v>-2.3462435919522484</v>
      </c>
      <c r="K19" s="69">
        <f t="shared" si="9"/>
        <v>0</v>
      </c>
      <c r="L19" s="76">
        <f t="shared" si="10"/>
        <v>1.3053897619148938</v>
      </c>
      <c r="M19" s="69">
        <f t="shared" si="11"/>
        <v>4.3874573345073564</v>
      </c>
      <c r="N19" s="76">
        <f t="shared" si="12"/>
        <v>-1.7436630343393684</v>
      </c>
      <c r="O19" s="10"/>
      <c r="P19" s="21">
        <f>('Tuition-4Yr'!AG13/'Total E&amp;G-4yr'!AG13)*100</f>
        <v>37.770759290018461</v>
      </c>
      <c r="Q19" s="22">
        <f>('State Appropriations-4Yr'!AG13/'Total E&amp;G-4yr'!AG13)*100</f>
        <v>20.501267940961537</v>
      </c>
      <c r="R19" s="23">
        <f>IF((('Local Appropriations-4Yr'!AG13/'Total E&amp;G-4yr'!AG13)*100)=0,(('Local Appropriations-4Yr'!AG13/'Total E&amp;G-4yr'!AG13)*100),IF((('Local Appropriations-4Yr'!AG13/'Total E&amp;G-4yr'!AG13)*100)&gt;=0.005,(('Local Appropriations-4Yr'!AG13/'Total E&amp;G-4yr'!AG13)*100),"*"))</f>
        <v>0</v>
      </c>
      <c r="S19" s="21">
        <f>('Fed Contracts Grnts-4Yr'!AG13/'Total E&amp;G-4yr'!AG13)*100</f>
        <v>13.350662494083473</v>
      </c>
      <c r="T19" s="23">
        <f>('Other Contract Grnts-4Yr'!AG13/'Total E&amp;G-4yr'!AG13)*100</f>
        <v>20.938397025447056</v>
      </c>
      <c r="U19" s="21">
        <f>(('All Other E&amp;G-4Yr'!AG13+'Investment Income-4Yr'!AG13)/('Total E&amp;G-4yr'!AG13))*100</f>
        <v>7.4389132494894605</v>
      </c>
      <c r="V19" s="21"/>
      <c r="W19" s="191">
        <f t="shared" si="13"/>
        <v>100</v>
      </c>
      <c r="X19" s="177">
        <f t="shared" si="14"/>
        <v>100.00000000000001</v>
      </c>
      <c r="Y19" s="94">
        <f t="shared" si="1"/>
        <v>20.501267940961537</v>
      </c>
      <c r="Z19" s="95">
        <f t="shared" si="2"/>
        <v>18.155024349009288</v>
      </c>
      <c r="AA19" s="94">
        <f t="shared" si="3"/>
        <v>34.289059519530525</v>
      </c>
      <c r="AB19" s="13">
        <f t="shared" si="4"/>
        <v>39.981906615952781</v>
      </c>
      <c r="AC19" s="193">
        <f t="shared" si="5"/>
        <v>99.999999999999986</v>
      </c>
      <c r="AD19" s="194">
        <f t="shared" si="6"/>
        <v>100</v>
      </c>
      <c r="AE19" s="13"/>
      <c r="AF19" s="1"/>
    </row>
    <row r="20" spans="1:32">
      <c r="A20" s="63" t="s">
        <v>29</v>
      </c>
      <c r="B20" s="63"/>
      <c r="C20" s="69">
        <f>('Tuition-4Yr'!AL14/'Total E&amp;G-4yr'!AL14)*100</f>
        <v>33.755879217368232</v>
      </c>
      <c r="D20" s="69">
        <f>('State Appropriations-4Yr'!AL14)/('Total E&amp;G-4yr'!AL14)*100</f>
        <v>28.371224745622492</v>
      </c>
      <c r="E20" s="136">
        <f>IF((('Local Appropriations-4Yr'!AL14/'Total E&amp;G-4yr'!AL14)*100)=0,(('Local Appropriations-4Yr'!AL14/'Total E&amp;G-4yr'!AL14)*100),IF((('Local Appropriations-4Yr'!AL14/'Total E&amp;G-4yr'!AL14)*100)&gt;=0.05,('Local Appropriations-4Yr'!AL14/'Total E&amp;G-4yr'!AL14)*100,"*"))</f>
        <v>0</v>
      </c>
      <c r="F20" s="69">
        <f>('Fed Contracts Grnts-4Yr'!AL14)/('Total E&amp;G-4yr'!AL14)*100</f>
        <v>18.876075002643468</v>
      </c>
      <c r="G20" s="69">
        <f>('Other Contract Grnts-4Yr'!AL14)/('Total E&amp;G-4yr'!AL14)*100</f>
        <v>9.4142462341604762</v>
      </c>
      <c r="H20" s="137">
        <f>('All Other E&amp;G-4Yr'!AL14+'Investment Income-4Yr'!AL14)/('Total E&amp;G-4yr'!AL14)*100</f>
        <v>9.5825748002053377</v>
      </c>
      <c r="I20" s="69">
        <f t="shared" si="7"/>
        <v>-0.95692366451012134</v>
      </c>
      <c r="J20" s="76">
        <f t="shared" si="8"/>
        <v>0.65342174177798285</v>
      </c>
      <c r="K20" s="69">
        <f t="shared" si="9"/>
        <v>0</v>
      </c>
      <c r="L20" s="76">
        <f t="shared" si="10"/>
        <v>1.0892989547567566</v>
      </c>
      <c r="M20" s="69">
        <f t="shared" si="11"/>
        <v>-0.6702655242767932</v>
      </c>
      <c r="N20" s="76">
        <f t="shared" si="12"/>
        <v>-0.11553150774782672</v>
      </c>
      <c r="O20" s="10"/>
      <c r="P20" s="21">
        <f>('Tuition-4Yr'!AG14/'Total E&amp;G-4yr'!AG14)*100</f>
        <v>34.712802881878353</v>
      </c>
      <c r="Q20" s="22">
        <f>('State Appropriations-4Yr'!AG14/'Total E&amp;G-4yr'!AG14)*100</f>
        <v>27.717803003844509</v>
      </c>
      <c r="R20" s="23">
        <f>IF((('Local Appropriations-4Yr'!AG14/'Total E&amp;G-4yr'!AG14)*100)=0,(('Local Appropriations-4Yr'!AG14/'Total E&amp;G-4yr'!AG14)*100),IF((('Local Appropriations-4Yr'!AG14/'Total E&amp;G-4yr'!AG14)*100)&gt;=0.005,(('Local Appropriations-4Yr'!AG14/'Total E&amp;G-4yr'!AG14)*100),"*"))</f>
        <v>0</v>
      </c>
      <c r="S20" s="21">
        <f>('Fed Contracts Grnts-4Yr'!AG14/'Total E&amp;G-4yr'!AG14)*100</f>
        <v>17.786776047886711</v>
      </c>
      <c r="T20" s="23">
        <f>('Other Contract Grnts-4Yr'!AG14/'Total E&amp;G-4yr'!AG14)*100</f>
        <v>10.084511758437269</v>
      </c>
      <c r="U20" s="21">
        <f>(('All Other E&amp;G-4Yr'!AG14+'Investment Income-4Yr'!AG14)/('Total E&amp;G-4yr'!AG14))*100</f>
        <v>9.6981063079531644</v>
      </c>
      <c r="V20" s="21"/>
      <c r="W20" s="191">
        <f t="shared" si="13"/>
        <v>100.00000000000001</v>
      </c>
      <c r="X20" s="177">
        <f t="shared" si="14"/>
        <v>100</v>
      </c>
      <c r="Y20" s="94">
        <f t="shared" si="1"/>
        <v>27.717803003844509</v>
      </c>
      <c r="Z20" s="95">
        <f t="shared" si="2"/>
        <v>28.371224745622492</v>
      </c>
      <c r="AA20" s="94">
        <f t="shared" si="3"/>
        <v>27.871287806323981</v>
      </c>
      <c r="AB20" s="13">
        <f t="shared" si="4"/>
        <v>28.290321236803944</v>
      </c>
      <c r="AC20" s="193">
        <f t="shared" si="5"/>
        <v>100</v>
      </c>
      <c r="AD20" s="194">
        <f t="shared" si="6"/>
        <v>100</v>
      </c>
      <c r="AE20" s="13"/>
      <c r="AF20" s="1"/>
    </row>
    <row r="21" spans="1:32">
      <c r="A21" s="64" t="s">
        <v>30</v>
      </c>
      <c r="B21" s="64"/>
      <c r="C21" s="70">
        <f>('Tuition-4Yr'!AL15/'Total E&amp;G-4yr'!AL15)*100</f>
        <v>37.653856776397156</v>
      </c>
      <c r="D21" s="70">
        <f>('State Appropriations-4Yr'!AL15)/('Total E&amp;G-4yr'!AL15)*100</f>
        <v>24.69064962916142</v>
      </c>
      <c r="E21" s="147">
        <f>IF((('Local Appropriations-4Yr'!AL15/'Total E&amp;G-4yr'!AL15)*100)=0,(('Local Appropriations-4Yr'!AL15/'Total E&amp;G-4yr'!AL15)*100),IF((('Local Appropriations-4Yr'!AL15/'Total E&amp;G-4yr'!AL15)*100)&gt;=0.05,('Local Appropriations-4Yr'!AL15/'Total E&amp;G-4yr'!AL15)*100,"*"))</f>
        <v>0</v>
      </c>
      <c r="F21" s="70">
        <f>('Fed Contracts Grnts-4Yr'!AL15)/('Total E&amp;G-4yr'!AL15)*100</f>
        <v>20.787724957277071</v>
      </c>
      <c r="G21" s="70">
        <f>('Other Contract Grnts-4Yr'!AL15)/('Total E&amp;G-4yr'!AL15)*100</f>
        <v>8.2797791704113788</v>
      </c>
      <c r="H21" s="148">
        <f>('All Other E&amp;G-4Yr'!AL15+'Investment Income-4Yr'!AL15)/('Total E&amp;G-4yr'!AL15)*100</f>
        <v>8.5879894667529726</v>
      </c>
      <c r="I21" s="70">
        <f t="shared" si="7"/>
        <v>2.7418753149821526</v>
      </c>
      <c r="J21" s="77">
        <f t="shared" si="8"/>
        <v>-5.5255583235893084</v>
      </c>
      <c r="K21" s="70">
        <f t="shared" si="9"/>
        <v>0</v>
      </c>
      <c r="L21" s="77">
        <f t="shared" si="10"/>
        <v>2.6814555033553766</v>
      </c>
      <c r="M21" s="70">
        <f t="shared" si="11"/>
        <v>-0.75163836803955597</v>
      </c>
      <c r="N21" s="77">
        <f t="shared" si="12"/>
        <v>0.85386587329132801</v>
      </c>
      <c r="O21" s="10"/>
      <c r="P21" s="21">
        <f>('Tuition-4Yr'!AG15/'Total E&amp;G-4yr'!AG15)*100</f>
        <v>34.911981461415003</v>
      </c>
      <c r="Q21" s="22">
        <f>('State Appropriations-4Yr'!AG15/'Total E&amp;G-4yr'!AG15)*100</f>
        <v>30.216207952750729</v>
      </c>
      <c r="R21" s="23">
        <f>IF((('Local Appropriations-4Yr'!AG15/'Total E&amp;G-4yr'!AG15)*100)=0,(('Local Appropriations-4Yr'!AG15/'Total E&amp;G-4yr'!AG15)*100),IF((('Local Appropriations-4Yr'!AG15/'Total E&amp;G-4yr'!AG15)*100)&gt;=0.005,(('Local Appropriations-4Yr'!AG15/'Total E&amp;G-4yr'!AG15)*100),"*"))</f>
        <v>0</v>
      </c>
      <c r="S21" s="21">
        <f>('Fed Contracts Grnts-4Yr'!AG15/'Total E&amp;G-4yr'!AG15)*100</f>
        <v>18.106269453921694</v>
      </c>
      <c r="T21" s="23">
        <f>('Other Contract Grnts-4Yr'!AG15/'Total E&amp;G-4yr'!AG15)*100</f>
        <v>9.0314175384509348</v>
      </c>
      <c r="U21" s="21">
        <f>(('All Other E&amp;G-4Yr'!AG15+'Investment Income-4Yr'!AG15)/('Total E&amp;G-4yr'!AG15))*100</f>
        <v>7.7341235934616446</v>
      </c>
      <c r="V21" s="21"/>
      <c r="W21" s="191">
        <f t="shared" si="13"/>
        <v>100.00000000000001</v>
      </c>
      <c r="X21" s="177">
        <f t="shared" si="14"/>
        <v>100</v>
      </c>
      <c r="Y21" s="94">
        <f t="shared" si="1"/>
        <v>30.216207952750729</v>
      </c>
      <c r="Z21" s="95">
        <f t="shared" si="2"/>
        <v>24.69064962916142</v>
      </c>
      <c r="AA21" s="94">
        <f t="shared" si="3"/>
        <v>27.137686992372629</v>
      </c>
      <c r="AB21" s="13">
        <f t="shared" si="4"/>
        <v>29.067504127688451</v>
      </c>
      <c r="AC21" s="193">
        <f t="shared" si="5"/>
        <v>100</v>
      </c>
      <c r="AD21" s="194">
        <f t="shared" si="6"/>
        <v>100</v>
      </c>
      <c r="AE21" s="13"/>
      <c r="AF21" s="1"/>
    </row>
    <row r="22" spans="1:32">
      <c r="A22" s="64" t="s">
        <v>31</v>
      </c>
      <c r="B22" s="64"/>
      <c r="C22" s="70">
        <f>('Tuition-4Yr'!AL16/'Total E&amp;G-4yr'!AL16)*100</f>
        <v>28.976913370096913</v>
      </c>
      <c r="D22" s="70">
        <f>('State Appropriations-4Yr'!AL16)/('Total E&amp;G-4yr'!AL16)*100</f>
        <v>33.55984849622962</v>
      </c>
      <c r="E22" s="147">
        <f>IF((('Local Appropriations-4Yr'!AL16/'Total E&amp;G-4yr'!AL16)*100)=0,(('Local Appropriations-4Yr'!AL16/'Total E&amp;G-4yr'!AL16)*100),IF((('Local Appropriations-4Yr'!AL16/'Total E&amp;G-4yr'!AL16)*100)&gt;=0.05,('Local Appropriations-4Yr'!AL16/'Total E&amp;G-4yr'!AL16)*100,"*"))</f>
        <v>0</v>
      </c>
      <c r="F22" s="70">
        <f>('Fed Contracts Grnts-4Yr'!AL16)/('Total E&amp;G-4yr'!AL16)*100</f>
        <v>19.640297110599526</v>
      </c>
      <c r="G22" s="70">
        <f>('Other Contract Grnts-4Yr'!AL16)/('Total E&amp;G-4yr'!AL16)*100</f>
        <v>12.324236919204308</v>
      </c>
      <c r="H22" s="148">
        <f>('All Other E&amp;G-4Yr'!AL16+'Investment Income-4Yr'!AL16)/('Total E&amp;G-4yr'!AL16)*100</f>
        <v>5.4987041038696365</v>
      </c>
      <c r="I22" s="70">
        <f t="shared" si="7"/>
        <v>0.17041337995380346</v>
      </c>
      <c r="J22" s="77">
        <f t="shared" si="8"/>
        <v>0.52086296188811332</v>
      </c>
      <c r="K22" s="70">
        <f t="shared" si="9"/>
        <v>0</v>
      </c>
      <c r="L22" s="77">
        <f t="shared" si="10"/>
        <v>0.23449527161085015</v>
      </c>
      <c r="M22" s="70">
        <f t="shared" si="11"/>
        <v>0.98533843480325167</v>
      </c>
      <c r="N22" s="77">
        <f t="shared" si="12"/>
        <v>-1.9111100482560079</v>
      </c>
      <c r="O22" s="10"/>
      <c r="P22" s="21">
        <f>('Tuition-4Yr'!AG16/'Total E&amp;G-4yr'!AG16)*100</f>
        <v>28.806499990143109</v>
      </c>
      <c r="Q22" s="22">
        <f>('State Appropriations-4Yr'!AG16/'Total E&amp;G-4yr'!AG16)*100</f>
        <v>33.038985534341506</v>
      </c>
      <c r="R22" s="23">
        <f>IF((('Local Appropriations-4Yr'!AG16/'Total E&amp;G-4yr'!AG16)*100)=0,(('Local Appropriations-4Yr'!AG16/'Total E&amp;G-4yr'!AG16)*100),IF((('Local Appropriations-4Yr'!AG16/'Total E&amp;G-4yr'!AG16)*100)&gt;=0.005,(('Local Appropriations-4Yr'!AG16/'Total E&amp;G-4yr'!AG16)*100),"*"))</f>
        <v>0</v>
      </c>
      <c r="S22" s="21">
        <f>('Fed Contracts Grnts-4Yr'!AG16/'Total E&amp;G-4yr'!AG16)*100</f>
        <v>19.405801838988676</v>
      </c>
      <c r="T22" s="23">
        <f>('Other Contract Grnts-4Yr'!AG16/'Total E&amp;G-4yr'!AG16)*100</f>
        <v>11.338898484401057</v>
      </c>
      <c r="U22" s="21">
        <f>(('All Other E&amp;G-4Yr'!AG16+'Investment Income-4Yr'!AG16)/('Total E&amp;G-4yr'!AG16))*100</f>
        <v>7.4098141521256444</v>
      </c>
      <c r="V22" s="21"/>
      <c r="W22" s="191">
        <f t="shared" si="13"/>
        <v>100</v>
      </c>
      <c r="X22" s="177">
        <f t="shared" si="14"/>
        <v>100</v>
      </c>
      <c r="Y22" s="94">
        <f t="shared" si="1"/>
        <v>33.038985534341506</v>
      </c>
      <c r="Z22" s="95">
        <f t="shared" si="2"/>
        <v>33.55984849622962</v>
      </c>
      <c r="AA22" s="94">
        <f t="shared" si="3"/>
        <v>30.744700323389733</v>
      </c>
      <c r="AB22" s="13">
        <f t="shared" si="4"/>
        <v>31.964534029803836</v>
      </c>
      <c r="AC22" s="193">
        <f t="shared" si="5"/>
        <v>100</v>
      </c>
      <c r="AD22" s="194">
        <f t="shared" si="6"/>
        <v>100.00000000000001</v>
      </c>
      <c r="AE22" s="13"/>
      <c r="AF22" s="1"/>
    </row>
    <row r="23" spans="1:32">
      <c r="A23" s="64" t="s">
        <v>32</v>
      </c>
      <c r="B23" s="64"/>
      <c r="C23" s="70">
        <f>('Tuition-4Yr'!AL17/'Total E&amp;G-4yr'!AL17)*100</f>
        <v>40.421495026549621</v>
      </c>
      <c r="D23" s="70">
        <f>('State Appropriations-4Yr'!AL17)/('Total E&amp;G-4yr'!AL17)*100</f>
        <v>17.871011722203995</v>
      </c>
      <c r="E23" s="147">
        <f>IF((('Local Appropriations-4Yr'!AL17/'Total E&amp;G-4yr'!AL17)*100)=0,(('Local Appropriations-4Yr'!AL17/'Total E&amp;G-4yr'!AL17)*100),IF((('Local Appropriations-4Yr'!AL17/'Total E&amp;G-4yr'!AL17)*100)&gt;=0.05,('Local Appropriations-4Yr'!AL17/'Total E&amp;G-4yr'!AL17)*100,"*"))</f>
        <v>6.6824143664989802E-2</v>
      </c>
      <c r="F23" s="70">
        <f>('Fed Contracts Grnts-4Yr'!AL17)/('Total E&amp;G-4yr'!AL17)*100</f>
        <v>16.230587478647823</v>
      </c>
      <c r="G23" s="70">
        <f>('Other Contract Grnts-4Yr'!AL17)/('Total E&amp;G-4yr'!AL17)*100</f>
        <v>16.589076600147155</v>
      </c>
      <c r="H23" s="148">
        <f>('All Other E&amp;G-4Yr'!AL17+'Investment Income-4Yr'!AL17)/('Total E&amp;G-4yr'!AL17)*100</f>
        <v>8.8210050287864075</v>
      </c>
      <c r="I23" s="70">
        <f t="shared" si="7"/>
        <v>5.2665490438040479</v>
      </c>
      <c r="J23" s="77">
        <f t="shared" si="8"/>
        <v>-6.6690277338996076</v>
      </c>
      <c r="K23" s="121">
        <f t="shared" si="9"/>
        <v>-1.0130038863285784E-2</v>
      </c>
      <c r="L23" s="77">
        <f t="shared" si="10"/>
        <v>3.0297279671258792</v>
      </c>
      <c r="M23" s="70">
        <f t="shared" si="11"/>
        <v>-5.3640612506693941E-2</v>
      </c>
      <c r="N23" s="77">
        <f t="shared" si="12"/>
        <v>-1.5634786256603377</v>
      </c>
      <c r="O23" s="10"/>
      <c r="P23" s="21">
        <f>('Tuition-4Yr'!AG17/'Total E&amp;G-4yr'!AG17)*100</f>
        <v>35.154945982745573</v>
      </c>
      <c r="Q23" s="22">
        <f>('State Appropriations-4Yr'!AG17/'Total E&amp;G-4yr'!AG17)*100</f>
        <v>24.540039456103603</v>
      </c>
      <c r="R23" s="23">
        <f>IF((('Local Appropriations-4Yr'!AG17/'Total E&amp;G-4yr'!AG17)*100)=0,(('Local Appropriations-4Yr'!AG17/'Total E&amp;G-4yr'!AG17)*100),IF((('Local Appropriations-4Yr'!AG17/'Total E&amp;G-4yr'!AG17)*100)&gt;=0.005,(('Local Appropriations-4Yr'!AG17/'Total E&amp;G-4yr'!AG17)*100),"*"))</f>
        <v>7.6954182528275586E-2</v>
      </c>
      <c r="S23" s="21">
        <f>('Fed Contracts Grnts-4Yr'!AG17/'Total E&amp;G-4yr'!AG17)*100</f>
        <v>13.200859511521944</v>
      </c>
      <c r="T23" s="23">
        <f>('Other Contract Grnts-4Yr'!AG17/'Total E&amp;G-4yr'!AG17)*100</f>
        <v>16.642717212653849</v>
      </c>
      <c r="U23" s="21">
        <f>(('All Other E&amp;G-4Yr'!AG17+'Investment Income-4Yr'!AG17)/('Total E&amp;G-4yr'!AG17))*100</f>
        <v>10.384483654446745</v>
      </c>
      <c r="V23" s="21"/>
      <c r="W23" s="191">
        <f t="shared" si="13"/>
        <v>99.999999999999986</v>
      </c>
      <c r="X23" s="177">
        <f t="shared" si="14"/>
        <v>99.999999999999986</v>
      </c>
      <c r="Y23" s="94">
        <f t="shared" si="1"/>
        <v>24.616993638631879</v>
      </c>
      <c r="Z23" s="95">
        <f t="shared" si="2"/>
        <v>17.937835865868987</v>
      </c>
      <c r="AA23" s="94">
        <f t="shared" si="3"/>
        <v>29.843576724175794</v>
      </c>
      <c r="AB23" s="13">
        <f t="shared" si="4"/>
        <v>32.819664078794979</v>
      </c>
      <c r="AC23" s="193">
        <f t="shared" si="5"/>
        <v>99.999999999999986</v>
      </c>
      <c r="AD23" s="194">
        <f t="shared" si="6"/>
        <v>100</v>
      </c>
      <c r="AE23" s="13"/>
      <c r="AF23" s="1"/>
    </row>
    <row r="24" spans="1:32">
      <c r="A24" s="64" t="s">
        <v>33</v>
      </c>
      <c r="B24" s="64"/>
      <c r="C24" s="70">
        <f>('Tuition-4Yr'!AL18/'Total E&amp;G-4yr'!AL18)*100</f>
        <v>48.401309280291819</v>
      </c>
      <c r="D24" s="70">
        <f>('State Appropriations-4Yr'!AL18)/('Total E&amp;G-4yr'!AL18)*100</f>
        <v>13.578253570229561</v>
      </c>
      <c r="E24" s="147" t="str">
        <f>IF((('Local Appropriations-4Yr'!AL18/'Total E&amp;G-4yr'!AL18)*100)=0,(('Local Appropriations-4Yr'!AL18/'Total E&amp;G-4yr'!AL18)*100),IF((('Local Appropriations-4Yr'!AL18/'Total E&amp;G-4yr'!AL18)*100)&gt;=0.05,('Local Appropriations-4Yr'!AL18/'Total E&amp;G-4yr'!AL18)*100,"*"))</f>
        <v>*</v>
      </c>
      <c r="F24" s="70">
        <f>('Fed Contracts Grnts-4Yr'!AL18)/('Total E&amp;G-4yr'!AL18)*100</f>
        <v>14.090202293577327</v>
      </c>
      <c r="G24" s="70">
        <f>('Other Contract Grnts-4Yr'!AL18)/('Total E&amp;G-4yr'!AL18)*100</f>
        <v>14.103638528014331</v>
      </c>
      <c r="H24" s="148">
        <f>('All Other E&amp;G-4Yr'!AL18+'Investment Income-4Yr'!AL18)/('Total E&amp;G-4yr'!AL18)*100</f>
        <v>9.818474536721908</v>
      </c>
      <c r="I24" s="70">
        <f t="shared" ref="I24:J29" si="15">IF((C24-P24)=0,(C24-P24),IF((C24-P24)&gt;=0.005,(C24-P24),IF((C24-P24&lt;=-0.005),(C24-P24),"**")))</f>
        <v>-0.49890376789497282</v>
      </c>
      <c r="J24" s="77">
        <f t="shared" si="15"/>
        <v>0.92533727409630373</v>
      </c>
      <c r="K24" s="124">
        <f>E24-R24</f>
        <v>-1.1021503498229902E-2</v>
      </c>
      <c r="L24" s="77">
        <f t="shared" ref="L24:N29" si="16">IF((F24-S24)=0,(F24-S24),IF((F24-S24)&gt;=0.005,(F24-S24),IF((F24-S24&lt;=-0.005),(F24-S24),"**")))</f>
        <v>0.31803660277722479</v>
      </c>
      <c r="M24" s="70">
        <f t="shared" si="16"/>
        <v>0.31278769499896519</v>
      </c>
      <c r="N24" s="77">
        <f t="shared" si="16"/>
        <v>-1.0543580916443425</v>
      </c>
      <c r="O24" s="10"/>
      <c r="P24" s="21">
        <f>('Tuition-4Yr'!AG18/'Total E&amp;G-4yr'!AG18)*100</f>
        <v>48.900213048186792</v>
      </c>
      <c r="Q24" s="22">
        <f>('State Appropriations-4Yr'!AG18/'Total E&amp;G-4yr'!AG18)*100</f>
        <v>12.652916296133258</v>
      </c>
      <c r="R24" s="23">
        <f>IF((('Local Appropriations-4Yr'!AG18/'Total E&amp;G-4yr'!AG18)*100)=0,(('Local Appropriations-4Yr'!AG18/'Total E&amp;G-4yr'!AG18)*100),IF((('Local Appropriations-4Yr'!AG18/'Total E&amp;G-4yr'!AG18)*100)&gt;=0.005,(('Local Appropriations-4Yr'!AG18/'Total E&amp;G-4yr'!AG18)*100),"*"))</f>
        <v>1.1021503498229902E-2</v>
      </c>
      <c r="S24" s="21">
        <f>('Fed Contracts Grnts-4Yr'!AG18/'Total E&amp;G-4yr'!AG18)*100</f>
        <v>13.772165690800103</v>
      </c>
      <c r="T24" s="23">
        <f>('Other Contract Grnts-4Yr'!AG18/'Total E&amp;G-4yr'!AG18)*100</f>
        <v>13.790850833015366</v>
      </c>
      <c r="U24" s="21">
        <f>(('All Other E&amp;G-4Yr'!AG18+'Investment Income-4Yr'!AG18)/('Total E&amp;G-4yr'!AG18))*100</f>
        <v>10.87283262836625</v>
      </c>
      <c r="V24" s="21"/>
      <c r="W24" s="191">
        <f t="shared" si="13"/>
        <v>100</v>
      </c>
      <c r="X24" s="177">
        <f t="shared" si="14"/>
        <v>99.991878208834947</v>
      </c>
      <c r="Y24" s="94">
        <f t="shared" si="1"/>
        <v>12.663937799631487</v>
      </c>
      <c r="Z24" s="95">
        <f t="shared" si="2"/>
        <v>13.578253570229561</v>
      </c>
      <c r="AA24" s="94">
        <f t="shared" si="3"/>
        <v>27.56301652381547</v>
      </c>
      <c r="AB24" s="13">
        <f t="shared" si="4"/>
        <v>28.193840821591657</v>
      </c>
      <c r="AC24" s="193">
        <f t="shared" si="5"/>
        <v>100</v>
      </c>
      <c r="AD24" s="194">
        <f t="shared" si="6"/>
        <v>99.991878208834947</v>
      </c>
      <c r="AE24" s="13"/>
      <c r="AF24" s="1"/>
    </row>
    <row r="25" spans="1:32">
      <c r="A25" s="63" t="s">
        <v>34</v>
      </c>
      <c r="B25" s="63"/>
      <c r="C25" s="69">
        <f>('Tuition-4Yr'!AL19/'Total E&amp;G-4yr'!AL19)*100</f>
        <v>38.152806837440025</v>
      </c>
      <c r="D25" s="69">
        <f>('State Appropriations-4Yr'!AL19)/('Total E&amp;G-4yr'!AL19)*100</f>
        <v>26.819261160683372</v>
      </c>
      <c r="E25" s="136">
        <f>IF((('Local Appropriations-4Yr'!AL19/'Total E&amp;G-4yr'!AL19)*100)=0,(('Local Appropriations-4Yr'!AL19/'Total E&amp;G-4yr'!AL19)*100),IF((('Local Appropriations-4Yr'!AL19/'Total E&amp;G-4yr'!AL19)*100)&gt;=0.05,('Local Appropriations-4Yr'!AL19/'Total E&amp;G-4yr'!AL19)*100,"*"))</f>
        <v>0</v>
      </c>
      <c r="F25" s="69">
        <f>('Fed Contracts Grnts-4Yr'!AL19)/('Total E&amp;G-4yr'!AL19)*100</f>
        <v>13.91236357263873</v>
      </c>
      <c r="G25" s="69">
        <f>('Other Contract Grnts-4Yr'!AL19)/('Total E&amp;G-4yr'!AL19)*100</f>
        <v>16.182588912290438</v>
      </c>
      <c r="H25" s="137">
        <f>('All Other E&amp;G-4Yr'!AL19+'Investment Income-4Yr'!AL19)/('Total E&amp;G-4yr'!AL19)*100</f>
        <v>4.9329795169474338</v>
      </c>
      <c r="I25" s="69">
        <f t="shared" si="15"/>
        <v>-1.428251845657833</v>
      </c>
      <c r="J25" s="76">
        <f t="shared" si="15"/>
        <v>2.757219553012316</v>
      </c>
      <c r="K25" s="69">
        <f>IF((E25-R25)=0,(E25-R25),IF((E25-R25)&gt;=0.005,(E25-R25),IF((E25-R25&lt;=-0.005),(E25-R25),"**")))</f>
        <v>-0.16352839431651486</v>
      </c>
      <c r="L25" s="76">
        <f t="shared" si="16"/>
        <v>-0.83512549194821339</v>
      </c>
      <c r="M25" s="69">
        <f t="shared" si="16"/>
        <v>1.6453310934710785</v>
      </c>
      <c r="N25" s="76">
        <f t="shared" si="16"/>
        <v>-1.9756449145608377</v>
      </c>
      <c r="O25" s="10"/>
      <c r="P25" s="21">
        <f>('Tuition-4Yr'!AG19/'Total E&amp;G-4yr'!AG19)*100</f>
        <v>39.581058683097858</v>
      </c>
      <c r="Q25" s="22">
        <f>('State Appropriations-4Yr'!AG19/'Total E&amp;G-4yr'!AG19)*100</f>
        <v>24.062041607671055</v>
      </c>
      <c r="R25" s="23">
        <f>IF((('Local Appropriations-4Yr'!AG19/'Total E&amp;G-4yr'!AG19)*100)=0,(('Local Appropriations-4Yr'!AG19/'Total E&amp;G-4yr'!AG19)*100),IF((('Local Appropriations-4Yr'!AG19/'Total E&amp;G-4yr'!AG19)*100)&gt;=0.005,(('Local Appropriations-4Yr'!AG19/'Total E&amp;G-4yr'!AG19)*100),"*"))</f>
        <v>0.16352839431651486</v>
      </c>
      <c r="S25" s="21">
        <f>('Fed Contracts Grnts-4Yr'!AG19/'Total E&amp;G-4yr'!AG19)*100</f>
        <v>14.747489064586944</v>
      </c>
      <c r="T25" s="23">
        <f>('Other Contract Grnts-4Yr'!AG19/'Total E&amp;G-4yr'!AG19)*100</f>
        <v>14.537257818819359</v>
      </c>
      <c r="U25" s="21">
        <f>(('All Other E&amp;G-4Yr'!AG19+'Investment Income-4Yr'!AG19)/('Total E&amp;G-4yr'!AG19))*100</f>
        <v>6.9086244315082714</v>
      </c>
      <c r="V25" s="21"/>
      <c r="W25" s="191">
        <f t="shared" si="13"/>
        <v>100</v>
      </c>
      <c r="X25" s="177">
        <f t="shared" si="14"/>
        <v>100</v>
      </c>
      <c r="Y25" s="94">
        <f t="shared" si="1"/>
        <v>24.22557000198757</v>
      </c>
      <c r="Z25" s="95">
        <f t="shared" si="2"/>
        <v>26.819261160683372</v>
      </c>
      <c r="AA25" s="94">
        <f t="shared" si="3"/>
        <v>29.284746883406303</v>
      </c>
      <c r="AB25" s="13">
        <f t="shared" si="4"/>
        <v>30.094952484929166</v>
      </c>
      <c r="AC25" s="193">
        <f t="shared" si="5"/>
        <v>100</v>
      </c>
      <c r="AD25" s="194">
        <f t="shared" si="6"/>
        <v>100</v>
      </c>
      <c r="AE25" s="13"/>
      <c r="AF25" s="1"/>
    </row>
    <row r="26" spans="1:32">
      <c r="A26" s="63" t="s">
        <v>35</v>
      </c>
      <c r="B26" s="63"/>
      <c r="C26" s="69">
        <f>('Tuition-4Yr'!AL20/'Total E&amp;G-4yr'!AL20)*100</f>
        <v>26.225863629117512</v>
      </c>
      <c r="D26" s="69">
        <f>('State Appropriations-4Yr'!AL20)/('Total E&amp;G-4yr'!AL20)*100</f>
        <v>18.420589690618794</v>
      </c>
      <c r="E26" s="136">
        <f>IF((('Local Appropriations-4Yr'!AL20/'Total E&amp;G-4yr'!AL20)*100)=0,(('Local Appropriations-4Yr'!AL20/'Total E&amp;G-4yr'!AL20)*100),IF((('Local Appropriations-4Yr'!AL20/'Total E&amp;G-4yr'!AL20)*100)&gt;=0.05,('Local Appropriations-4Yr'!AL20/'Total E&amp;G-4yr'!AL20)*100,"*"))</f>
        <v>0</v>
      </c>
      <c r="F26" s="69">
        <f>('Fed Contracts Grnts-4Yr'!AL20)/('Total E&amp;G-4yr'!AL20)*100</f>
        <v>13.936549346651658</v>
      </c>
      <c r="G26" s="69">
        <f>('Other Contract Grnts-4Yr'!AL20)/('Total E&amp;G-4yr'!AL20)*100</f>
        <v>13.335501243884895</v>
      </c>
      <c r="H26" s="137">
        <f>('All Other E&amp;G-4Yr'!AL20+'Investment Income-4Yr'!AL20)/('Total E&amp;G-4yr'!AL20)*100</f>
        <v>28.081496089727136</v>
      </c>
      <c r="I26" s="69">
        <f t="shared" si="15"/>
        <v>-9.9928434752696944</v>
      </c>
      <c r="J26" s="76">
        <f t="shared" si="15"/>
        <v>-1.4463901921700284</v>
      </c>
      <c r="K26" s="69">
        <f>IF((E26-R26)=0,(E26-R26),IF((E26-R26)&gt;=0.005,(E26-R26),IF((E26-R26&lt;=-0.005),(E26-R26),"**")))</f>
        <v>-0.12012193477887545</v>
      </c>
      <c r="L26" s="76">
        <f t="shared" si="16"/>
        <v>0.47521778232503209</v>
      </c>
      <c r="M26" s="119">
        <f t="shared" si="16"/>
        <v>3.4187438890876756</v>
      </c>
      <c r="N26" s="76">
        <f t="shared" si="16"/>
        <v>7.6653939308058945</v>
      </c>
      <c r="O26" s="10"/>
      <c r="P26" s="21">
        <f>('Tuition-4Yr'!AG20/'Total E&amp;G-4yr'!AG20)*100</f>
        <v>36.218707104387207</v>
      </c>
      <c r="Q26" s="22">
        <f>('State Appropriations-4Yr'!AG20/'Total E&amp;G-4yr'!AG20)*100</f>
        <v>19.866979882788822</v>
      </c>
      <c r="R26" s="23">
        <f>IF((('Local Appropriations-4Yr'!AG20/'Total E&amp;G-4yr'!AG20)*100)=0,(('Local Appropriations-4Yr'!AG20/'Total E&amp;G-4yr'!AG20)*100),IF((('Local Appropriations-4Yr'!AG20/'Total E&amp;G-4yr'!AG20)*100)&gt;=0.005,(('Local Appropriations-4Yr'!AG20/'Total E&amp;G-4yr'!AG20)*100),"*"))</f>
        <v>0.12012193477887545</v>
      </c>
      <c r="S26" s="21">
        <f>('Fed Contracts Grnts-4Yr'!AG20/'Total E&amp;G-4yr'!AG20)*100</f>
        <v>13.461331564326626</v>
      </c>
      <c r="T26" s="23">
        <f>('Other Contract Grnts-4Yr'!AG20/'Total E&amp;G-4yr'!AG20)*100</f>
        <v>9.9167573547972196</v>
      </c>
      <c r="U26" s="21">
        <f>(('All Other E&amp;G-4Yr'!AG20+'Investment Income-4Yr'!AG20)/('Total E&amp;G-4yr'!AG20))*100</f>
        <v>20.416102158921241</v>
      </c>
      <c r="V26" s="21"/>
      <c r="W26" s="191">
        <f t="shared" si="13"/>
        <v>99.999999999999972</v>
      </c>
      <c r="X26" s="177">
        <f t="shared" si="14"/>
        <v>100</v>
      </c>
      <c r="Y26" s="94">
        <f t="shared" si="1"/>
        <v>19.987101817567698</v>
      </c>
      <c r="Z26" s="95">
        <f t="shared" si="2"/>
        <v>18.420589690618794</v>
      </c>
      <c r="AA26" s="94">
        <f t="shared" si="3"/>
        <v>23.378088919123847</v>
      </c>
      <c r="AB26" s="13">
        <f t="shared" si="4"/>
        <v>27.272050590536551</v>
      </c>
      <c r="AC26" s="193">
        <f t="shared" si="5"/>
        <v>100</v>
      </c>
      <c r="AD26" s="194">
        <f t="shared" si="6"/>
        <v>100</v>
      </c>
      <c r="AE26" s="13"/>
      <c r="AF26" s="1"/>
    </row>
    <row r="27" spans="1:32">
      <c r="A27" s="63" t="s">
        <v>36</v>
      </c>
      <c r="B27" s="63"/>
      <c r="C27" s="69">
        <f>('Tuition-4Yr'!AL21/'Total E&amp;G-4yr'!AL21)*100</f>
        <v>44.187160150366672</v>
      </c>
      <c r="D27" s="69">
        <f>('State Appropriations-4Yr'!AL21)/('Total E&amp;G-4yr'!AL21)*100</f>
        <v>19.949803670797095</v>
      </c>
      <c r="E27" s="136">
        <f>IF((('Local Appropriations-4Yr'!AL21/'Total E&amp;G-4yr'!AL21)*100)=0,(('Local Appropriations-4Yr'!AL21/'Total E&amp;G-4yr'!AL21)*100),IF((('Local Appropriations-4Yr'!AL21/'Total E&amp;G-4yr'!AL21)*100)&gt;=0.05,('Local Appropriations-4Yr'!AL21/'Total E&amp;G-4yr'!AL21)*100,"*"))</f>
        <v>0</v>
      </c>
      <c r="F27" s="69">
        <f>('Fed Contracts Grnts-4Yr'!AL21)/('Total E&amp;G-4yr'!AL21)*100</f>
        <v>17.246007688316656</v>
      </c>
      <c r="G27" s="69">
        <f>('Other Contract Grnts-4Yr'!AL21)/('Total E&amp;G-4yr'!AL21)*100</f>
        <v>9.4440547594631106</v>
      </c>
      <c r="H27" s="137">
        <f>('All Other E&amp;G-4Yr'!AL21+'Investment Income-4Yr'!AL21)/('Total E&amp;G-4yr'!AL21)*100</f>
        <v>9.1729737310564676</v>
      </c>
      <c r="I27" s="69">
        <f t="shared" si="15"/>
        <v>1.0930981867308134</v>
      </c>
      <c r="J27" s="76">
        <f t="shared" si="15"/>
        <v>0.12941180661550788</v>
      </c>
      <c r="K27" s="69">
        <f>IF((E27-R27)=0,(E27-R27),IF((E27-R27)&gt;=0.005,(E27-R27),IF((E27-R27&lt;=-0.005),(E27-R27),"**")))</f>
        <v>0</v>
      </c>
      <c r="L27" s="76">
        <f t="shared" si="16"/>
        <v>1.6246297844364257</v>
      </c>
      <c r="M27" s="69">
        <f t="shared" si="16"/>
        <v>0.41806426857288592</v>
      </c>
      <c r="N27" s="76">
        <f t="shared" si="16"/>
        <v>-3.2652040463556347</v>
      </c>
      <c r="O27" s="10"/>
      <c r="P27" s="21">
        <f>('Tuition-4Yr'!AG21/'Total E&amp;G-4yr'!AG21)*100</f>
        <v>43.094061963635859</v>
      </c>
      <c r="Q27" s="22">
        <f>('State Appropriations-4Yr'!AG21/'Total E&amp;G-4yr'!AG21)*100</f>
        <v>19.820391864181587</v>
      </c>
      <c r="R27" s="23">
        <f>IF((('Local Appropriations-4Yr'!AG21/'Total E&amp;G-4yr'!AG21)*100)=0,(('Local Appropriations-4Yr'!AG21/'Total E&amp;G-4yr'!AG21)*100),IF((('Local Appropriations-4Yr'!AG21/'Total E&amp;G-4yr'!AG21)*100)&gt;=0.005,(('Local Appropriations-4Yr'!AG21/'Total E&amp;G-4yr'!AG21)*100),"*"))</f>
        <v>0</v>
      </c>
      <c r="S27" s="21">
        <f>('Fed Contracts Grnts-4Yr'!AG21/'Total E&amp;G-4yr'!AG21)*100</f>
        <v>15.62137790388023</v>
      </c>
      <c r="T27" s="23">
        <f>('Other Contract Grnts-4Yr'!AG21/'Total E&amp;G-4yr'!AG21)*100</f>
        <v>9.0259904908902246</v>
      </c>
      <c r="U27" s="21">
        <f>(('All Other E&amp;G-4Yr'!AG21+'Investment Income-4Yr'!AG21)/('Total E&amp;G-4yr'!AG21))*100</f>
        <v>12.438177777412102</v>
      </c>
      <c r="V27" s="21"/>
      <c r="W27" s="191">
        <f t="shared" si="13"/>
        <v>100</v>
      </c>
      <c r="X27" s="177">
        <f t="shared" si="14"/>
        <v>100</v>
      </c>
      <c r="Y27" s="94">
        <f t="shared" si="1"/>
        <v>19.820391864181587</v>
      </c>
      <c r="Z27" s="95">
        <f t="shared" si="2"/>
        <v>19.949803670797095</v>
      </c>
      <c r="AA27" s="94">
        <f t="shared" si="3"/>
        <v>24.647368394770453</v>
      </c>
      <c r="AB27" s="13">
        <f t="shared" si="4"/>
        <v>26.690062447779766</v>
      </c>
      <c r="AC27" s="193">
        <f t="shared" si="5"/>
        <v>100</v>
      </c>
      <c r="AD27" s="194">
        <f t="shared" si="6"/>
        <v>100</v>
      </c>
      <c r="AE27" s="13"/>
      <c r="AF27" s="1"/>
    </row>
    <row r="28" spans="1:32">
      <c r="A28" s="62" t="s">
        <v>37</v>
      </c>
      <c r="B28" s="144"/>
      <c r="C28" s="141">
        <f>('Tuition-4Yr'!AL22/'Total E&amp;G-4yr'!AL22)*100</f>
        <v>44.120647948075238</v>
      </c>
      <c r="D28" s="141">
        <f>('State Appropriations-4Yr'!AL22)/('Total E&amp;G-4yr'!AL22)*100</f>
        <v>18.855521242358762</v>
      </c>
      <c r="E28" s="142">
        <f>IF((('Local Appropriations-4Yr'!AL22/'Total E&amp;G-4yr'!AL22)*100)=0,(('Local Appropriations-4Yr'!AL22/'Total E&amp;G-4yr'!AL22)*100),IF((('Local Appropriations-4Yr'!AL22/'Total E&amp;G-4yr'!AL22)*100)&gt;=0.05,('Local Appropriations-4Yr'!AL22/'Total E&amp;G-4yr'!AL22)*100,"*"))</f>
        <v>0</v>
      </c>
      <c r="F28" s="141">
        <f>('Fed Contracts Grnts-4Yr'!AL22)/('Total E&amp;G-4yr'!AL22)*100</f>
        <v>13.534089346592012</v>
      </c>
      <c r="G28" s="141">
        <f>('Other Contract Grnts-4Yr'!AL22)/('Total E&amp;G-4yr'!AL22)*100</f>
        <v>19.273325588605346</v>
      </c>
      <c r="H28" s="143">
        <f>('All Other E&amp;G-4Yr'!AL22+'Investment Income-4Yr'!AL22)/('Total E&amp;G-4yr'!AL22)*100</f>
        <v>4.2164158743686393</v>
      </c>
      <c r="I28" s="141">
        <f t="shared" si="15"/>
        <v>-2.1942217452469848</v>
      </c>
      <c r="J28" s="75">
        <f t="shared" si="15"/>
        <v>-3.606560396469952</v>
      </c>
      <c r="K28" s="71">
        <f>IF((E28-R28)=0,(E28-R28),IF((E28-R28)&gt;=0.005,(E28-R28),IF((E28-R28&lt;=-0.005),(E28-R28),"**")))</f>
        <v>0</v>
      </c>
      <c r="L28" s="75">
        <f t="shared" si="16"/>
        <v>0.51784339674266455</v>
      </c>
      <c r="M28" s="71">
        <f t="shared" si="16"/>
        <v>5.1532483300718255</v>
      </c>
      <c r="N28" s="75">
        <f t="shared" si="16"/>
        <v>0.12969041490246536</v>
      </c>
      <c r="O28" s="10"/>
      <c r="P28" s="21">
        <f>('Tuition-4Yr'!AG22/'Total E&amp;G-4yr'!AG22)*100</f>
        <v>46.314869693322223</v>
      </c>
      <c r="Q28" s="22">
        <f>('State Appropriations-4Yr'!AG22/'Total E&amp;G-4yr'!AG22)*100</f>
        <v>22.462081638828714</v>
      </c>
      <c r="R28" s="23">
        <f>IF((('Local Appropriations-4Yr'!AG22/'Total E&amp;G-4yr'!AG22)*100)=0,(('Local Appropriations-4Yr'!AG22/'Total E&amp;G-4yr'!AG22)*100),IF((('Local Appropriations-4Yr'!AG22/'Total E&amp;G-4yr'!AG22)*100)&gt;=0.005,(('Local Appropriations-4Yr'!AG22/'Total E&amp;G-4yr'!AG22)*100),"*"))</f>
        <v>0</v>
      </c>
      <c r="S28" s="21">
        <f>('Fed Contracts Grnts-4Yr'!AG22/'Total E&amp;G-4yr'!AG22)*100</f>
        <v>13.016245949849347</v>
      </c>
      <c r="T28" s="23">
        <f>('Other Contract Grnts-4Yr'!AG22/'Total E&amp;G-4yr'!AG22)*100</f>
        <v>14.12007725853352</v>
      </c>
      <c r="U28" s="21">
        <f>(('All Other E&amp;G-4Yr'!AG22+'Investment Income-4Yr'!AG22)/('Total E&amp;G-4yr'!AG22))*100</f>
        <v>4.0867254594661739</v>
      </c>
      <c r="V28" s="21"/>
      <c r="W28" s="191">
        <f t="shared" si="13"/>
        <v>99.999999999999972</v>
      </c>
      <c r="X28" s="177">
        <f t="shared" si="14"/>
        <v>99.999999999999986</v>
      </c>
      <c r="Y28" s="94">
        <f t="shared" si="1"/>
        <v>22.462081638828714</v>
      </c>
      <c r="Z28" s="95">
        <f t="shared" si="2"/>
        <v>18.855521242358762</v>
      </c>
      <c r="AA28" s="94">
        <f t="shared" si="3"/>
        <v>27.136323208382869</v>
      </c>
      <c r="AB28" s="13">
        <f t="shared" si="4"/>
        <v>32.807414935197357</v>
      </c>
      <c r="AC28" s="193">
        <f t="shared" si="5"/>
        <v>99.999999999999972</v>
      </c>
      <c r="AD28" s="194">
        <f t="shared" si="6"/>
        <v>100</v>
      </c>
      <c r="AE28" s="13"/>
    </row>
    <row r="29" spans="1:32">
      <c r="A29" s="63" t="s">
        <v>38</v>
      </c>
      <c r="B29" s="63"/>
      <c r="C29" s="69">
        <f>('Tuition-4Yr'!AL23/'Total E&amp;G-4yr'!AL23)*100</f>
        <v>0.17631139273764734</v>
      </c>
      <c r="D29" s="69">
        <f>('State Appropriations-4Yr'!AL23)/('Total E&amp;G-4yr'!AL23)*100</f>
        <v>9.7100881653574792E-2</v>
      </c>
      <c r="E29" s="136" t="str">
        <f>IF((('Local Appropriations-4Yr'!AL23/'Total E&amp;G-4yr'!AL23)*100)=0,(('Local Appropriations-4Yr'!AL23/'Total E&amp;G-4yr'!AL23)*100),IF((('Local Appropriations-4Yr'!AL23/'Total E&amp;G-4yr'!AL23)*100)&gt;=0.05,('Local Appropriations-4Yr'!AL23/'Total E&amp;G-4yr'!AL23)*100,"*"))</f>
        <v>*</v>
      </c>
      <c r="F29" s="69">
        <f>('Fed Contracts Grnts-4Yr'!AL23)/('Total E&amp;G-4yr'!AL23)*100</f>
        <v>99.565954119086655</v>
      </c>
      <c r="G29" s="69">
        <f>('Other Contract Grnts-4Yr'!AL23)/('Total E&amp;G-4yr'!AL23)*100</f>
        <v>7.0212263071020048E-2</v>
      </c>
      <c r="H29" s="137">
        <f>('All Other E&amp;G-4Yr'!AL23+'Investment Income-4Yr'!AL23)/('Total E&amp;G-4yr'!AL23)*100</f>
        <v>8.9068392621345152E-2</v>
      </c>
      <c r="I29" s="69">
        <f t="shared" si="15"/>
        <v>-34.4260225800505</v>
      </c>
      <c r="J29" s="76">
        <f t="shared" si="15"/>
        <v>-17.27313859563235</v>
      </c>
      <c r="K29" s="69">
        <f>IF((E29-R29)=0,(E29-R29),IF((E29-R29)&gt;=0.005,(E29-R29),IF((E29-R29&lt;=-0.005),(E29-R29),"**")))</f>
        <v>-1.789338320566241E-2</v>
      </c>
      <c r="L29" s="76">
        <f t="shared" si="16"/>
        <v>80.676289356361394</v>
      </c>
      <c r="M29" s="69">
        <f t="shared" si="16"/>
        <v>-12.891988324125467</v>
      </c>
      <c r="N29" s="76">
        <f t="shared" si="16"/>
        <v>-16.068599424177172</v>
      </c>
      <c r="O29" s="10"/>
      <c r="P29" s="21">
        <f>('Tuition-4Yr'!AG23/'Total E&amp;G-4yr'!AG23)*100</f>
        <v>34.602333972788145</v>
      </c>
      <c r="Q29" s="22">
        <f>('State Appropriations-4Yr'!AG23/'Total E&amp;G-4yr'!AG23)*100</f>
        <v>17.370239477285924</v>
      </c>
      <c r="R29" s="23">
        <f>IF((('Local Appropriations-4Yr'!AG23/'Total E&amp;G-4yr'!AG23)*100)=0,(('Local Appropriations-4Yr'!AG23/'Total E&amp;G-4yr'!AG23)*100),IF((('Local Appropriations-4Yr'!AG23/'Total E&amp;G-4yr'!AG23)*100)&gt;=0.005,(('Local Appropriations-4Yr'!AG23/'Total E&amp;G-4yr'!AG23)*100),"*"))</f>
        <v>1.789338320566241E-2</v>
      </c>
      <c r="S29" s="21">
        <f>('Fed Contracts Grnts-4Yr'!AG23/'Total E&amp;G-4yr'!AG23)*100</f>
        <v>18.889664762725261</v>
      </c>
      <c r="T29" s="23">
        <f>('Other Contract Grnts-4Yr'!AG23/'Total E&amp;G-4yr'!AG23)*100</f>
        <v>12.962200587196488</v>
      </c>
      <c r="U29" s="21">
        <f>(('All Other E&amp;G-4Yr'!AG23+'Investment Income-4Yr'!AG23)/('Total E&amp;G-4yr'!AG23))*100</f>
        <v>16.157667816798519</v>
      </c>
      <c r="W29" s="191">
        <f t="shared" si="13"/>
        <v>100</v>
      </c>
      <c r="X29" s="177">
        <f t="shared" si="14"/>
        <v>99.998647049170231</v>
      </c>
      <c r="Y29" s="94">
        <f t="shared" si="1"/>
        <v>17.388132860491588</v>
      </c>
      <c r="Z29" s="95">
        <f t="shared" si="2"/>
        <v>9.7100881653574792E-2</v>
      </c>
      <c r="AA29" s="94">
        <f t="shared" si="3"/>
        <v>31.851865349921749</v>
      </c>
      <c r="AB29" s="13">
        <f t="shared" si="4"/>
        <v>99.636166382157668</v>
      </c>
      <c r="AC29" s="193">
        <f t="shared" si="5"/>
        <v>100</v>
      </c>
      <c r="AD29" s="194">
        <f t="shared" si="6"/>
        <v>99.998647049170231</v>
      </c>
      <c r="AE29" s="13"/>
    </row>
    <row r="30" spans="1:32">
      <c r="A30" s="63"/>
      <c r="B30" s="63"/>
      <c r="C30" s="69"/>
      <c r="D30" s="69"/>
      <c r="E30" s="136"/>
      <c r="F30" s="69"/>
      <c r="G30" s="69"/>
      <c r="H30" s="137"/>
      <c r="I30" s="69"/>
      <c r="J30" s="76"/>
      <c r="K30" s="69"/>
      <c r="L30" s="76"/>
      <c r="M30" s="69"/>
      <c r="N30" s="76"/>
      <c r="O30" s="1"/>
      <c r="P30" s="21"/>
      <c r="Q30" s="22"/>
      <c r="R30" s="23"/>
      <c r="S30" s="21"/>
      <c r="T30" s="23"/>
      <c r="U30" s="21"/>
      <c r="W30" s="191"/>
      <c r="X30" s="177"/>
      <c r="Y30" s="94"/>
      <c r="Z30" s="95"/>
      <c r="AA30" s="94"/>
      <c r="AB30" s="13"/>
      <c r="AC30" s="193"/>
      <c r="AD30" s="194"/>
      <c r="AE30" s="13"/>
    </row>
    <row r="31" spans="1:32">
      <c r="A31" s="64" t="s">
        <v>39</v>
      </c>
      <c r="B31" s="64"/>
      <c r="C31" s="70">
        <f>('Tuition-4Yr'!AL25/'Total E&amp;G-4yr'!AL25)*100</f>
        <v>8.8672325908322358E-2</v>
      </c>
      <c r="D31" s="70">
        <f>('State Appropriations-4Yr'!AL25)/('Total E&amp;G-4yr'!AL25)*100</f>
        <v>0.18253591252602869</v>
      </c>
      <c r="E31" s="147" t="str">
        <f>IF((('Local Appropriations-4Yr'!AL25/'Total E&amp;G-4yr'!AL25)*100)=0,(('Local Appropriations-4Yr'!AL25/'Total E&amp;G-4yr'!AL25)*100),IF((('Local Appropriations-4Yr'!AL25/'Total E&amp;G-4yr'!AL25)*100)&gt;=0.05,('Local Appropriations-4Yr'!AL25/'Total E&amp;G-4yr'!AL25)*100,"*"))</f>
        <v>*</v>
      </c>
      <c r="F31" s="70">
        <f>('Fed Contracts Grnts-4Yr'!AL25)/('Total E&amp;G-4yr'!AL25)*100</f>
        <v>99.677783538459025</v>
      </c>
      <c r="G31" s="70">
        <f>('Other Contract Grnts-4Yr'!AL25)/('Total E&amp;G-4yr'!AL25)*100</f>
        <v>3.5117716842030529E-2</v>
      </c>
      <c r="H31" s="148">
        <f>('All Other E&amp;G-4Yr'!AL25+'Investment Income-4Yr'!AL25)/('Total E&amp;G-4yr'!AL25)*100</f>
        <v>1.534511574168672E-2</v>
      </c>
      <c r="I31" s="70">
        <f t="shared" ref="I31:I43" si="17">IF((C31-P31)=0,(C31-P31),IF((C31-P31)&gt;=0.005,(C31-P31),IF((C31-P31&lt;=-0.005),(C31-P31),"**")))</f>
        <v>-19.240128219100697</v>
      </c>
      <c r="J31" s="77">
        <f t="shared" ref="J31:J43" si="18">IF((D31-Q31)=0,(D31-Q31),IF((D31-Q31)&gt;=0.005,(D31-Q31),IF((D31-Q31&lt;=-0.005),(D31-Q31),"**")))</f>
        <v>-47.424666353850974</v>
      </c>
      <c r="K31" s="70">
        <f t="shared" ref="K31:K43" si="19">IF((E31-R31)=0,(E31-R31),IF((E31-R31)&gt;=0.005,(E31-R31),IF((E31-R31&lt;=-0.005),(E31-R31),"**")))</f>
        <v>0</v>
      </c>
      <c r="L31" s="77">
        <f t="shared" ref="L31:L43" si="20">IF((F31-S31)=0,(F31-S31),IF((F31-S31)&gt;=0.005,(F31-S31),IF((F31-S31&lt;=-0.005),(F31-S31),"**")))</f>
        <v>80.708226462234478</v>
      </c>
      <c r="M31" s="70">
        <f t="shared" ref="M31:M43" si="21">IF((G31-T31)=0,(G31-T31),IF((G31-T31)&gt;=0.005,(G31-T31),IF((G31-T31&lt;=-0.005),(G31-T31),"**")))</f>
        <v>-8.5532912700256318</v>
      </c>
      <c r="N31" s="77">
        <f t="shared" ref="N31:N43" si="22">IF((H31-U31)=0,(H31-U31),IF((H31-U31)&gt;=0.005,(H31-U31),IF((H31-U31&lt;=-0.005),(H31-U31),"**")))</f>
        <v>-5.490686009780064</v>
      </c>
      <c r="O31" s="1"/>
      <c r="P31" s="21">
        <f>('Tuition-4Yr'!AG25/'Total E&amp;G-4yr'!AG25)*100</f>
        <v>19.32880054500902</v>
      </c>
      <c r="Q31" s="22">
        <f>('State Appropriations-4Yr'!AG25/'Total E&amp;G-4yr'!AG25)*100</f>
        <v>47.607202266377001</v>
      </c>
      <c r="R31" s="23">
        <f>IF((('Local Appropriations-4Yr'!AG25/'Total E&amp;G-4yr'!AG25)*100)=0,(('Local Appropriations-4Yr'!AG25/'Total E&amp;G-4yr'!AG25)*100),IF((('Local Appropriations-4Yr'!AG25/'Total E&amp;G-4yr'!AG25)*100)&gt;=0.005,(('Local Appropriations-4Yr'!AG25/'Total E&amp;G-4yr'!AG25)*100),"*"))</f>
        <v>0</v>
      </c>
      <c r="S31" s="21">
        <f>('Fed Contracts Grnts-4Yr'!AG25/'Total E&amp;G-4yr'!AG25)*100</f>
        <v>18.969557076224554</v>
      </c>
      <c r="T31" s="23">
        <f>('Other Contract Grnts-4Yr'!AG25/'Total E&amp;G-4yr'!AG25)*100</f>
        <v>8.5884089868676625</v>
      </c>
      <c r="U31" s="21">
        <f>(('All Other E&amp;G-4Yr'!AG25+'Investment Income-4Yr'!AG25)/('Total E&amp;G-4yr'!AG25))*100</f>
        <v>5.5060311255217504</v>
      </c>
      <c r="W31" s="191">
        <f t="shared" ref="W31:W44" si="23">SUM(P31:U31)</f>
        <v>99.999999999999972</v>
      </c>
      <c r="X31" s="177">
        <f t="shared" ref="X31:X44" si="24">SUM(C31:H31)</f>
        <v>99.999454609477084</v>
      </c>
      <c r="Y31" s="94">
        <f t="shared" si="1"/>
        <v>47.607202266377001</v>
      </c>
      <c r="Z31" s="95">
        <f t="shared" si="2"/>
        <v>0.18253591252602869</v>
      </c>
      <c r="AA31" s="94">
        <f t="shared" si="3"/>
        <v>27.557966063092216</v>
      </c>
      <c r="AB31" s="13">
        <f t="shared" si="4"/>
        <v>99.712901255301048</v>
      </c>
      <c r="AC31" s="193">
        <f t="shared" si="5"/>
        <v>99.999999999999986</v>
      </c>
      <c r="AD31" s="194">
        <f t="shared" si="6"/>
        <v>99.999454609477084</v>
      </c>
      <c r="AE31" s="13"/>
    </row>
    <row r="32" spans="1:32">
      <c r="A32" s="64" t="s">
        <v>40</v>
      </c>
      <c r="B32" s="64"/>
      <c r="C32" s="70">
        <f>('Tuition-4Yr'!AL26/'Total E&amp;G-4yr'!AL26)*100</f>
        <v>0.31759624131770237</v>
      </c>
      <c r="D32" s="70">
        <f>('State Appropriations-4Yr'!AL26)/('Total E&amp;G-4yr'!AL26)*100</f>
        <v>7.0527294887891653E-2</v>
      </c>
      <c r="E32" s="147" t="str">
        <f>IF((('Local Appropriations-4Yr'!AL26/'Total E&amp;G-4yr'!AL26)*100)=0,(('Local Appropriations-4Yr'!AL26/'Total E&amp;G-4yr'!AL26)*100),IF((('Local Appropriations-4Yr'!AL26/'Total E&amp;G-4yr'!AL26)*100)&gt;=0.05,('Local Appropriations-4Yr'!AL26/'Total E&amp;G-4yr'!AL26)*100,"*"))</f>
        <v>*</v>
      </c>
      <c r="F32" s="70">
        <f>('Fed Contracts Grnts-4Yr'!AL26)/('Total E&amp;G-4yr'!AL26)*100</f>
        <v>99.51563216019575</v>
      </c>
      <c r="G32" s="70">
        <f>('Other Contract Grnts-4Yr'!AL26)/('Total E&amp;G-4yr'!AL26)*100</f>
        <v>5.3350909423524669E-2</v>
      </c>
      <c r="H32" s="148">
        <f>('All Other E&amp;G-4Yr'!AL26+'Investment Income-4Yr'!AL26)/('Total E&amp;G-4yr'!AL26)*100</f>
        <v>4.2794310843752896E-2</v>
      </c>
      <c r="I32" s="70">
        <f t="shared" si="17"/>
        <v>-48.731783106794083</v>
      </c>
      <c r="J32" s="77">
        <f t="shared" si="18"/>
        <v>-15.661825331617372</v>
      </c>
      <c r="K32" s="121">
        <f t="shared" si="19"/>
        <v>-2.1700733742082014E-2</v>
      </c>
      <c r="L32" s="77">
        <f t="shared" si="20"/>
        <v>82.817979613803942</v>
      </c>
      <c r="M32" s="70">
        <f t="shared" si="21"/>
        <v>-9.500547715590768</v>
      </c>
      <c r="N32" s="77">
        <f t="shared" si="22"/>
        <v>-8.9022218093909995</v>
      </c>
      <c r="O32" s="1"/>
      <c r="P32" s="21">
        <f>('Tuition-4Yr'!AG26/'Total E&amp;G-4yr'!AG26)*100</f>
        <v>49.049379348111785</v>
      </c>
      <c r="Q32" s="22">
        <f>('State Appropriations-4Yr'!AG26/'Total E&amp;G-4yr'!AG26)*100</f>
        <v>15.732352626505264</v>
      </c>
      <c r="R32" s="23">
        <f>IF((('Local Appropriations-4Yr'!AG26/'Total E&amp;G-4yr'!AG26)*100)=0,(('Local Appropriations-4Yr'!AG26/'Total E&amp;G-4yr'!AG26)*100),IF((('Local Appropriations-4Yr'!AG26/'Total E&amp;G-4yr'!AG26)*100)&gt;=0.005,(('Local Appropriations-4Yr'!AG26/'Total E&amp;G-4yr'!AG26)*100),"*"))</f>
        <v>2.1700733742082014E-2</v>
      </c>
      <c r="S32" s="21">
        <f>('Fed Contracts Grnts-4Yr'!AG26/'Total E&amp;G-4yr'!AG26)*100</f>
        <v>16.697652546391815</v>
      </c>
      <c r="T32" s="23">
        <f>('Other Contract Grnts-4Yr'!AG26/'Total E&amp;G-4yr'!AG26)*100</f>
        <v>9.553898625014293</v>
      </c>
      <c r="U32" s="21">
        <f>(('All Other E&amp;G-4Yr'!AG26+'Investment Income-4Yr'!AG26)/('Total E&amp;G-4yr'!AG26))*100</f>
        <v>8.9450161202347527</v>
      </c>
      <c r="W32" s="191">
        <f t="shared" si="23"/>
        <v>99.999999999999986</v>
      </c>
      <c r="X32" s="177">
        <f t="shared" si="24"/>
        <v>99.999900916668622</v>
      </c>
      <c r="Y32" s="94">
        <f t="shared" si="1"/>
        <v>15.754053360247346</v>
      </c>
      <c r="Z32" s="95">
        <f t="shared" si="2"/>
        <v>7.0527294887891653E-2</v>
      </c>
      <c r="AA32" s="94">
        <f t="shared" si="3"/>
        <v>26.251551171406106</v>
      </c>
      <c r="AB32" s="13">
        <f t="shared" si="4"/>
        <v>99.568983069619279</v>
      </c>
      <c r="AC32" s="193">
        <f t="shared" si="5"/>
        <v>100</v>
      </c>
      <c r="AD32" s="194">
        <f t="shared" si="6"/>
        <v>99.999900916668622</v>
      </c>
      <c r="AE32" s="13"/>
    </row>
    <row r="33" spans="1:31">
      <c r="A33" s="64" t="s">
        <v>41</v>
      </c>
      <c r="B33" s="64"/>
      <c r="C33" s="70">
        <f>('Tuition-4Yr'!AL27/'Total E&amp;G-4yr'!AL27)*100</f>
        <v>0.17026840201637711</v>
      </c>
      <c r="D33" s="70">
        <f>('State Appropriations-4Yr'!AL27)/('Total E&amp;G-4yr'!AL27)*100</f>
        <v>0.12061775350692135</v>
      </c>
      <c r="E33" s="147">
        <f>IF((('Local Appropriations-4Yr'!AL27/'Total E&amp;G-4yr'!AL27)*100)=0,(('Local Appropriations-4Yr'!AL27/'Total E&amp;G-4yr'!AL27)*100),IF((('Local Appropriations-4Yr'!AL27/'Total E&amp;G-4yr'!AL27)*100)&gt;=0.05,('Local Appropriations-4Yr'!AL27/'Total E&amp;G-4yr'!AL27)*100,"*"))</f>
        <v>0</v>
      </c>
      <c r="F33" s="70">
        <f>('Fed Contracts Grnts-4Yr'!AL27)/('Total E&amp;G-4yr'!AL27)*100</f>
        <v>99.501603513812171</v>
      </c>
      <c r="G33" s="70">
        <f>('Other Contract Grnts-4Yr'!AL27)/('Total E&amp;G-4yr'!AL27)*100</f>
        <v>7.8672887455506782E-2</v>
      </c>
      <c r="H33" s="148">
        <f>('All Other E&amp;G-4Yr'!AL27+'Investment Income-4Yr'!AL27)/('Total E&amp;G-4yr'!AL27)*100</f>
        <v>0.12883744320904014</v>
      </c>
      <c r="I33" s="70">
        <f t="shared" si="17"/>
        <v>-31.236753654588242</v>
      </c>
      <c r="J33" s="77">
        <f t="shared" si="18"/>
        <v>-18.083401422250834</v>
      </c>
      <c r="K33" s="70">
        <f t="shared" si="19"/>
        <v>0</v>
      </c>
      <c r="L33" s="77">
        <f t="shared" si="20"/>
        <v>82.826787608942581</v>
      </c>
      <c r="M33" s="70">
        <f t="shared" si="21"/>
        <v>-13.249912708726953</v>
      </c>
      <c r="N33" s="77">
        <f t="shared" si="22"/>
        <v>-20.25671982337656</v>
      </c>
      <c r="O33" s="1"/>
      <c r="P33" s="21">
        <f>('Tuition-4Yr'!AG27/'Total E&amp;G-4yr'!AG27)*100</f>
        <v>31.407022056604617</v>
      </c>
      <c r="Q33" s="22">
        <f>('State Appropriations-4Yr'!AG27/'Total E&amp;G-4yr'!AG27)*100</f>
        <v>18.204019175757754</v>
      </c>
      <c r="R33" s="23">
        <f>IF((('Local Appropriations-4Yr'!AG27/'Total E&amp;G-4yr'!AG27)*100)=0,(('Local Appropriations-4Yr'!AG27/'Total E&amp;G-4yr'!AG27)*100),IF((('Local Appropriations-4Yr'!AG27/'Total E&amp;G-4yr'!AG27)*100)&gt;=0.005,(('Local Appropriations-4Yr'!AG27/'Total E&amp;G-4yr'!AG27)*100),"*"))</f>
        <v>0</v>
      </c>
      <c r="S33" s="21">
        <f>('Fed Contracts Grnts-4Yr'!AG27/'Total E&amp;G-4yr'!AG27)*100</f>
        <v>16.674815904869586</v>
      </c>
      <c r="T33" s="23">
        <f>('Other Contract Grnts-4Yr'!AG27/'Total E&amp;G-4yr'!AG27)*100</f>
        <v>13.32858559618246</v>
      </c>
      <c r="U33" s="21">
        <f>(('All Other E&amp;G-4Yr'!AG27+'Investment Income-4Yr'!AG27)/('Total E&amp;G-4yr'!AG27))*100</f>
        <v>20.3855572665856</v>
      </c>
      <c r="W33" s="191">
        <f t="shared" si="23"/>
        <v>100.00000000000003</v>
      </c>
      <c r="X33" s="177">
        <f t="shared" si="24"/>
        <v>100.00000000000001</v>
      </c>
      <c r="Y33" s="94">
        <f t="shared" si="1"/>
        <v>18.204019175757754</v>
      </c>
      <c r="Z33" s="95">
        <f t="shared" si="2"/>
        <v>0.12061775350692135</v>
      </c>
      <c r="AA33" s="94">
        <f t="shared" si="3"/>
        <v>30.003401501052046</v>
      </c>
      <c r="AB33" s="13">
        <f t="shared" si="4"/>
        <v>99.580276401267682</v>
      </c>
      <c r="AC33" s="193">
        <f t="shared" si="5"/>
        <v>100.00000000000001</v>
      </c>
      <c r="AD33" s="194">
        <f t="shared" si="6"/>
        <v>100.00000000000001</v>
      </c>
      <c r="AE33" s="13"/>
    </row>
    <row r="34" spans="1:31">
      <c r="A34" s="64" t="s">
        <v>42</v>
      </c>
      <c r="B34" s="64"/>
      <c r="C34" s="70">
        <f>('Tuition-4Yr'!AL28/'Total E&amp;G-4yr'!AL28)*100</f>
        <v>0.20307459776202288</v>
      </c>
      <c r="D34" s="70">
        <f>('State Appropriations-4Yr'!AL28)/('Total E&amp;G-4yr'!AL28)*100</f>
        <v>2.5016321880746819E-3</v>
      </c>
      <c r="E34" s="147" t="str">
        <f>IF((('Local Appropriations-4Yr'!AL28/'Total E&amp;G-4yr'!AL28)*100)=0,(('Local Appropriations-4Yr'!AL28/'Total E&amp;G-4yr'!AL28)*100),IF((('Local Appropriations-4Yr'!AL28/'Total E&amp;G-4yr'!AL28)*100)&gt;=0.05,('Local Appropriations-4Yr'!AL28/'Total E&amp;G-4yr'!AL28)*100,"*"))</f>
        <v>*</v>
      </c>
      <c r="F34" s="70">
        <f>('Fed Contracts Grnts-4Yr'!AL28)/('Total E&amp;G-4yr'!AL28)*100</f>
        <v>99.659139746036999</v>
      </c>
      <c r="G34" s="70">
        <f>('Other Contract Grnts-4Yr'!AL28)/('Total E&amp;G-4yr'!AL28)*100</f>
        <v>7.9114645154884228E-2</v>
      </c>
      <c r="H34" s="148">
        <f>('All Other E&amp;G-4Yr'!AL28+'Investment Income-4Yr'!AL28)/('Total E&amp;G-4yr'!AL28)*100</f>
        <v>5.2432054657054562E-2</v>
      </c>
      <c r="I34" s="70">
        <f t="shared" si="17"/>
        <v>-49.196561523328661</v>
      </c>
      <c r="J34" s="123">
        <f t="shared" si="18"/>
        <v>-0.37917255531232008</v>
      </c>
      <c r="K34" s="70">
        <f t="shared" si="19"/>
        <v>0</v>
      </c>
      <c r="L34" s="77">
        <f t="shared" si="20"/>
        <v>76.032704972408396</v>
      </c>
      <c r="M34" s="70">
        <f t="shared" si="21"/>
        <v>-17.29389309109192</v>
      </c>
      <c r="N34" s="77">
        <f t="shared" si="22"/>
        <v>-9.1668151268764575</v>
      </c>
      <c r="O34" s="1"/>
      <c r="P34" s="21">
        <f>('Tuition-4Yr'!AG28/'Total E&amp;G-4yr'!AG28)*100</f>
        <v>49.399636121090687</v>
      </c>
      <c r="Q34" s="22">
        <f>('State Appropriations-4Yr'!AG28/'Total E&amp;G-4yr'!AG28)*100</f>
        <v>0.38167418750039478</v>
      </c>
      <c r="R34" s="23">
        <f>IF((('Local Appropriations-4Yr'!AG28/'Total E&amp;G-4yr'!AG28)*100)=0,(('Local Appropriations-4Yr'!AG28/'Total E&amp;G-4yr'!AG28)*100),IF((('Local Appropriations-4Yr'!AG28/'Total E&amp;G-4yr'!AG28)*100)&gt;=0.005,(('Local Appropriations-4Yr'!AG28/'Total E&amp;G-4yr'!AG28)*100),"*"))</f>
        <v>0</v>
      </c>
      <c r="S34" s="21">
        <f>('Fed Contracts Grnts-4Yr'!AG28/'Total E&amp;G-4yr'!AG28)*100</f>
        <v>23.626434773628606</v>
      </c>
      <c r="T34" s="23">
        <f>('Other Contract Grnts-4Yr'!AG28/'Total E&amp;G-4yr'!AG28)*100</f>
        <v>17.373007736246805</v>
      </c>
      <c r="U34" s="21">
        <f>(('All Other E&amp;G-4Yr'!AG28+'Investment Income-4Yr'!AG28)/('Total E&amp;G-4yr'!AG28))*100</f>
        <v>9.2192471815335129</v>
      </c>
      <c r="W34" s="191">
        <f t="shared" si="23"/>
        <v>100.00000000000001</v>
      </c>
      <c r="X34" s="177">
        <f t="shared" si="24"/>
        <v>99.996262675799045</v>
      </c>
      <c r="Y34" s="94">
        <f t="shared" si="1"/>
        <v>0.38167418750039478</v>
      </c>
      <c r="Z34" s="95">
        <f t="shared" si="2"/>
        <v>2.5016321880746819E-3</v>
      </c>
      <c r="AA34" s="94">
        <f t="shared" si="3"/>
        <v>40.999442509875408</v>
      </c>
      <c r="AB34" s="13">
        <f t="shared" si="4"/>
        <v>99.738254391191887</v>
      </c>
      <c r="AC34" s="193">
        <f t="shared" si="5"/>
        <v>100</v>
      </c>
      <c r="AD34" s="194">
        <f t="shared" si="6"/>
        <v>99.996262675799045</v>
      </c>
      <c r="AE34" s="13"/>
    </row>
    <row r="35" spans="1:31">
      <c r="A35" s="63" t="s">
        <v>43</v>
      </c>
      <c r="B35" s="63"/>
      <c r="C35" s="69">
        <f>('Tuition-4Yr'!AL29/'Total E&amp;G-4yr'!AL29)*100</f>
        <v>0.12168839808818607</v>
      </c>
      <c r="D35" s="69">
        <f>('State Appropriations-4Yr'!AL29)/('Total E&amp;G-4yr'!AL29)*100</f>
        <v>0.11946619943702988</v>
      </c>
      <c r="E35" s="136">
        <f>IF((('Local Appropriations-4Yr'!AL29/'Total E&amp;G-4yr'!AL29)*100)=0,(('Local Appropriations-4Yr'!AL29/'Total E&amp;G-4yr'!AL29)*100),IF((('Local Appropriations-4Yr'!AL29/'Total E&amp;G-4yr'!AL29)*100)&gt;=0.05,('Local Appropriations-4Yr'!AL29/'Total E&amp;G-4yr'!AL29)*100,"*"))</f>
        <v>0</v>
      </c>
      <c r="F35" s="69">
        <f>('Fed Contracts Grnts-4Yr'!AL29)/('Total E&amp;G-4yr'!AL29)*100</f>
        <v>99.63615867357116</v>
      </c>
      <c r="G35" s="69">
        <f>('Other Contract Grnts-4Yr'!AL29)/('Total E&amp;G-4yr'!AL29)*100</f>
        <v>0.11053774151090705</v>
      </c>
      <c r="H35" s="137">
        <f>('All Other E&amp;G-4Yr'!AL29+'Investment Income-4Yr'!AL29)/('Total E&amp;G-4yr'!AL29)*100</f>
        <v>1.2148987392719411E-2</v>
      </c>
      <c r="I35" s="69">
        <f t="shared" si="17"/>
        <v>-29.146579186933739</v>
      </c>
      <c r="J35" s="76">
        <f t="shared" si="18"/>
        <v>-23.845299003479148</v>
      </c>
      <c r="K35" s="69">
        <f t="shared" si="19"/>
        <v>0</v>
      </c>
      <c r="L35" s="76">
        <f t="shared" si="20"/>
        <v>73.001330433468723</v>
      </c>
      <c r="M35" s="69">
        <f t="shared" si="21"/>
        <v>-18.03932026429683</v>
      </c>
      <c r="N35" s="122">
        <f t="shared" si="22"/>
        <v>-1.9701319787590115</v>
      </c>
      <c r="O35" s="1"/>
      <c r="P35" s="21">
        <f>('Tuition-4Yr'!AG29/'Total E&amp;G-4yr'!AG29)*100</f>
        <v>29.268267585021924</v>
      </c>
      <c r="Q35" s="22">
        <f>('State Appropriations-4Yr'!AG29/'Total E&amp;G-4yr'!AG29)*100</f>
        <v>23.96476520291618</v>
      </c>
      <c r="R35" s="23">
        <f>IF((('Local Appropriations-4Yr'!AG29/'Total E&amp;G-4yr'!AG29)*100)=0,(('Local Appropriations-4Yr'!AG29/'Total E&amp;G-4yr'!AG29)*100),IF((('Local Appropriations-4Yr'!AG29/'Total E&amp;G-4yr'!AG29)*100)&gt;=0.005,(('Local Appropriations-4Yr'!AG29/'Total E&amp;G-4yr'!AG29)*100),"*"))</f>
        <v>0</v>
      </c>
      <c r="S35" s="21">
        <f>('Fed Contracts Grnts-4Yr'!AG29/'Total E&amp;G-4yr'!AG29)*100</f>
        <v>26.634828240102433</v>
      </c>
      <c r="T35" s="23">
        <f>('Other Contract Grnts-4Yr'!AG29/'Total E&amp;G-4yr'!AG29)*100</f>
        <v>18.149858005807737</v>
      </c>
      <c r="U35" s="21">
        <f>(('All Other E&amp;G-4Yr'!AG29+'Investment Income-4Yr'!AG29)/('Total E&amp;G-4yr'!AG29))*100</f>
        <v>1.9822809661517309</v>
      </c>
      <c r="W35" s="191">
        <f t="shared" si="23"/>
        <v>100</v>
      </c>
      <c r="X35" s="177">
        <f t="shared" si="24"/>
        <v>100</v>
      </c>
      <c r="Y35" s="94">
        <f t="shared" si="1"/>
        <v>23.96476520291618</v>
      </c>
      <c r="Z35" s="95">
        <f t="shared" si="2"/>
        <v>0.11946619943702988</v>
      </c>
      <c r="AA35" s="94">
        <f t="shared" si="3"/>
        <v>44.784686245910166</v>
      </c>
      <c r="AB35" s="13">
        <f t="shared" si="4"/>
        <v>99.74669641508207</v>
      </c>
      <c r="AC35" s="193">
        <f t="shared" si="5"/>
        <v>100</v>
      </c>
      <c r="AD35" s="194">
        <f t="shared" si="6"/>
        <v>100</v>
      </c>
      <c r="AE35" s="13"/>
    </row>
    <row r="36" spans="1:31">
      <c r="A36" s="63" t="s">
        <v>44</v>
      </c>
      <c r="B36" s="63"/>
      <c r="C36" s="69">
        <f>('Tuition-4Yr'!AL30/'Total E&amp;G-4yr'!AL30)*100</f>
        <v>0.23485666314215983</v>
      </c>
      <c r="D36" s="69">
        <f>('State Appropriations-4Yr'!AL30)/('Total E&amp;G-4yr'!AL30)*100</f>
        <v>0.20058771843248924</v>
      </c>
      <c r="E36" s="136">
        <f>IF((('Local Appropriations-4Yr'!AL30/'Total E&amp;G-4yr'!AL30)*100)=0,(('Local Appropriations-4Yr'!AL30/'Total E&amp;G-4yr'!AL30)*100),IF((('Local Appropriations-4Yr'!AL30/'Total E&amp;G-4yr'!AL30)*100)&gt;=0.05,('Local Appropriations-4Yr'!AL30/'Total E&amp;G-4yr'!AL30)*100,"*"))</f>
        <v>0</v>
      </c>
      <c r="F36" s="69">
        <f>('Fed Contracts Grnts-4Yr'!AL30)/('Total E&amp;G-4yr'!AL30)*100</f>
        <v>99.475217935386468</v>
      </c>
      <c r="G36" s="69">
        <f>('Other Contract Grnts-4Yr'!AL30)/('Total E&amp;G-4yr'!AL30)*100</f>
        <v>5.8566371171840596E-2</v>
      </c>
      <c r="H36" s="137">
        <f>('All Other E&amp;G-4Yr'!AL30+'Investment Income-4Yr'!AL30)/('Total E&amp;G-4yr'!AL30)*100</f>
        <v>3.0771311867022824E-2</v>
      </c>
      <c r="I36" s="69">
        <f t="shared" si="17"/>
        <v>-38.297739870347961</v>
      </c>
      <c r="J36" s="76">
        <f t="shared" si="18"/>
        <v>-30.949770872209399</v>
      </c>
      <c r="K36" s="69">
        <f t="shared" si="19"/>
        <v>0</v>
      </c>
      <c r="L36" s="76">
        <f t="shared" si="20"/>
        <v>82.690956684398301</v>
      </c>
      <c r="M36" s="69">
        <f t="shared" si="21"/>
        <v>-8.9759756785664475</v>
      </c>
      <c r="N36" s="76">
        <f t="shared" si="22"/>
        <v>-4.4674702632745049</v>
      </c>
      <c r="O36" s="1"/>
      <c r="P36" s="21">
        <f>('Tuition-4Yr'!AG30/'Total E&amp;G-4yr'!AG30)*100</f>
        <v>38.532596533490121</v>
      </c>
      <c r="Q36" s="22">
        <f>('State Appropriations-4Yr'!AG30/'Total E&amp;G-4yr'!AG30)*100</f>
        <v>31.15035859064189</v>
      </c>
      <c r="R36" s="23">
        <f>IF((('Local Appropriations-4Yr'!AG30/'Total E&amp;G-4yr'!AG30)*100)=0,(('Local Appropriations-4Yr'!AG30/'Total E&amp;G-4yr'!AG30)*100),IF((('Local Appropriations-4Yr'!AG30/'Total E&amp;G-4yr'!AG30)*100)&gt;=0.005,(('Local Appropriations-4Yr'!AG30/'Total E&amp;G-4yr'!AG30)*100),"*"))</f>
        <v>0</v>
      </c>
      <c r="S36" s="21">
        <f>('Fed Contracts Grnts-4Yr'!AG30/'Total E&amp;G-4yr'!AG30)*100</f>
        <v>16.78426125098817</v>
      </c>
      <c r="T36" s="23">
        <f>('Other Contract Grnts-4Yr'!AG30/'Total E&amp;G-4yr'!AG30)*100</f>
        <v>9.0345420497382882</v>
      </c>
      <c r="U36" s="21">
        <f>(('All Other E&amp;G-4Yr'!AG30+'Investment Income-4Yr'!AG30)/('Total E&amp;G-4yr'!AG30))*100</f>
        <v>4.4982415751415274</v>
      </c>
      <c r="W36" s="191">
        <f t="shared" si="23"/>
        <v>100</v>
      </c>
      <c r="X36" s="177">
        <f t="shared" si="24"/>
        <v>99.999999999999986</v>
      </c>
      <c r="Y36" s="94">
        <f t="shared" si="1"/>
        <v>31.15035859064189</v>
      </c>
      <c r="Z36" s="95">
        <f t="shared" si="2"/>
        <v>0.20058771843248924</v>
      </c>
      <c r="AA36" s="94">
        <f t="shared" si="3"/>
        <v>25.818803300726458</v>
      </c>
      <c r="AB36" s="13">
        <f t="shared" si="4"/>
        <v>99.533784306558303</v>
      </c>
      <c r="AC36" s="193">
        <f t="shared" si="5"/>
        <v>100</v>
      </c>
      <c r="AD36" s="194">
        <f t="shared" si="6"/>
        <v>99.999999999999972</v>
      </c>
      <c r="AE36" s="13"/>
    </row>
    <row r="37" spans="1:31">
      <c r="A37" s="63" t="s">
        <v>45</v>
      </c>
      <c r="B37" s="63"/>
      <c r="C37" s="69">
        <f>('Tuition-4Yr'!AL31/'Total E&amp;G-4yr'!AL31)*100</f>
        <v>0.17017988392025304</v>
      </c>
      <c r="D37" s="69">
        <f>('State Appropriations-4Yr'!AL31)/('Total E&amp;G-4yr'!AL31)*100</f>
        <v>0.10407084463577075</v>
      </c>
      <c r="E37" s="136" t="str">
        <f>IF((('Local Appropriations-4Yr'!AL31/'Total E&amp;G-4yr'!AL31)*100)=0,(('Local Appropriations-4Yr'!AL31/'Total E&amp;G-4yr'!AL31)*100),IF((('Local Appropriations-4Yr'!AL31/'Total E&amp;G-4yr'!AL31)*100)&gt;=0.05,('Local Appropriations-4Yr'!AL31/'Total E&amp;G-4yr'!AL31)*100,"*"))</f>
        <v>*</v>
      </c>
      <c r="F37" s="69">
        <f>('Fed Contracts Grnts-4Yr'!AL31)/('Total E&amp;G-4yr'!AL31)*100</f>
        <v>99.638168501876734</v>
      </c>
      <c r="G37" s="69">
        <f>('Other Contract Grnts-4Yr'!AL31)/('Total E&amp;G-4yr'!AL31)*100</f>
        <v>3.8290816170737353E-2</v>
      </c>
      <c r="H37" s="137">
        <f>('All Other E&amp;G-4Yr'!AL31+'Investment Income-4Yr'!AL31)/('Total E&amp;G-4yr'!AL31)*100</f>
        <v>4.9050101136356411E-2</v>
      </c>
      <c r="I37" s="69">
        <f t="shared" si="17"/>
        <v>-39.022297106199062</v>
      </c>
      <c r="J37" s="76">
        <f t="shared" si="18"/>
        <v>-22.601283369916469</v>
      </c>
      <c r="K37" s="69">
        <f t="shared" si="19"/>
        <v>-4.0550740242991101E-2</v>
      </c>
      <c r="L37" s="76">
        <f t="shared" si="20"/>
        <v>80.153891721721209</v>
      </c>
      <c r="M37" s="69">
        <f t="shared" si="21"/>
        <v>-7.8172881208762899</v>
      </c>
      <c r="N37" s="76">
        <f t="shared" si="22"/>
        <v>-10.672712236746543</v>
      </c>
      <c r="O37" s="1"/>
      <c r="P37" s="21">
        <f>('Tuition-4Yr'!AG31/'Total E&amp;G-4yr'!AG31)*100</f>
        <v>39.192476990119317</v>
      </c>
      <c r="Q37" s="22">
        <f>('State Appropriations-4Yr'!AG31/'Total E&amp;G-4yr'!AG31)*100</f>
        <v>22.705354214552241</v>
      </c>
      <c r="R37" s="23">
        <f>IF((('Local Appropriations-4Yr'!AG31/'Total E&amp;G-4yr'!AG31)*100)=0,(('Local Appropriations-4Yr'!AG31/'Total E&amp;G-4yr'!AG31)*100),IF((('Local Appropriations-4Yr'!AG31/'Total E&amp;G-4yr'!AG31)*100)&gt;=0.005,(('Local Appropriations-4Yr'!AG31/'Total E&amp;G-4yr'!AG31)*100),"*"))</f>
        <v>4.0550740242991101E-2</v>
      </c>
      <c r="S37" s="21">
        <f>('Fed Contracts Grnts-4Yr'!AG31/'Total E&amp;G-4yr'!AG31)*100</f>
        <v>19.484276780155529</v>
      </c>
      <c r="T37" s="23">
        <f>('Other Contract Grnts-4Yr'!AG31/'Total E&amp;G-4yr'!AG31)*100</f>
        <v>7.855578937047027</v>
      </c>
      <c r="U37" s="21">
        <f>(('All Other E&amp;G-4Yr'!AG31+'Investment Income-4Yr'!AG31)/('Total E&amp;G-4yr'!AG31))*100</f>
        <v>10.721762337882899</v>
      </c>
      <c r="W37" s="191">
        <f t="shared" si="23"/>
        <v>100</v>
      </c>
      <c r="X37" s="177">
        <f t="shared" si="24"/>
        <v>99.999760147739863</v>
      </c>
      <c r="Y37" s="94">
        <f t="shared" si="1"/>
        <v>22.745904954795233</v>
      </c>
      <c r="Z37" s="95">
        <f t="shared" si="2"/>
        <v>0.10407084463577075</v>
      </c>
      <c r="AA37" s="94">
        <f t="shared" si="3"/>
        <v>27.339855717202557</v>
      </c>
      <c r="AB37" s="13">
        <f t="shared" si="4"/>
        <v>99.676459318047478</v>
      </c>
      <c r="AC37" s="193">
        <f t="shared" si="5"/>
        <v>100</v>
      </c>
      <c r="AD37" s="194">
        <f t="shared" si="6"/>
        <v>99.999760147739863</v>
      </c>
      <c r="AE37" s="13"/>
    </row>
    <row r="38" spans="1:31">
      <c r="A38" s="63" t="s">
        <v>46</v>
      </c>
      <c r="B38" s="63"/>
      <c r="C38" s="69">
        <f>('Tuition-4Yr'!AL32/'Total E&amp;G-4yr'!AL32)*100</f>
        <v>0.21208356601115624</v>
      </c>
      <c r="D38" s="69">
        <f>('State Appropriations-4Yr'!AL32)/('Total E&amp;G-4yr'!AL32)*100</f>
        <v>0.18207986363404099</v>
      </c>
      <c r="E38" s="136">
        <f>IF((('Local Appropriations-4Yr'!AL32/'Total E&amp;G-4yr'!AL32)*100)=0,(('Local Appropriations-4Yr'!AL32/'Total E&amp;G-4yr'!AL32)*100),IF((('Local Appropriations-4Yr'!AL32/'Total E&amp;G-4yr'!AL32)*100)&gt;=0.05,('Local Appropriations-4Yr'!AL32/'Total E&amp;G-4yr'!AL32)*100,"*"))</f>
        <v>0</v>
      </c>
      <c r="F38" s="69">
        <f>('Fed Contracts Grnts-4Yr'!AL32)/('Total E&amp;G-4yr'!AL32)*100</f>
        <v>99.460374201570446</v>
      </c>
      <c r="G38" s="69">
        <f>('Other Contract Grnts-4Yr'!AL32)/('Total E&amp;G-4yr'!AL32)*100</f>
        <v>4.7599448109738943E-2</v>
      </c>
      <c r="H38" s="137">
        <f>('All Other E&amp;G-4Yr'!AL32+'Investment Income-4Yr'!AL32)/('Total E&amp;G-4yr'!AL32)*100</f>
        <v>9.7862920674627527E-2</v>
      </c>
      <c r="I38" s="119">
        <f t="shared" si="17"/>
        <v>-35.312808501817393</v>
      </c>
      <c r="J38" s="122">
        <f t="shared" si="18"/>
        <v>-27.239876353322671</v>
      </c>
      <c r="K38" s="69">
        <f t="shared" si="19"/>
        <v>0</v>
      </c>
      <c r="L38" s="76">
        <f t="shared" si="20"/>
        <v>82.928800871656705</v>
      </c>
      <c r="M38" s="69">
        <f t="shared" si="21"/>
        <v>-10.309042927248129</v>
      </c>
      <c r="N38" s="76">
        <f t="shared" si="22"/>
        <v>-10.067073089268515</v>
      </c>
      <c r="O38" s="1"/>
      <c r="P38" s="21">
        <f>('Tuition-4Yr'!AG32/'Total E&amp;G-4yr'!AG32)*100</f>
        <v>35.524892067828553</v>
      </c>
      <c r="Q38" s="22">
        <f>('State Appropriations-4Yr'!AG32/'Total E&amp;G-4yr'!AG32)*100</f>
        <v>27.421956216956712</v>
      </c>
      <c r="R38" s="23">
        <f>IF((('Local Appropriations-4Yr'!AG32/'Total E&amp;G-4yr'!AG32)*100)=0,(('Local Appropriations-4Yr'!AG32/'Total E&amp;G-4yr'!AG32)*100),IF((('Local Appropriations-4Yr'!AG32/'Total E&amp;G-4yr'!AG32)*100)&gt;=0.005,(('Local Appropriations-4Yr'!AG32/'Total E&amp;G-4yr'!AG32)*100),"*"))</f>
        <v>0</v>
      </c>
      <c r="S38" s="21">
        <f>('Fed Contracts Grnts-4Yr'!AG32/'Total E&amp;G-4yr'!AG32)*100</f>
        <v>16.531573329913734</v>
      </c>
      <c r="T38" s="23">
        <f>('Other Contract Grnts-4Yr'!AG32/'Total E&amp;G-4yr'!AG32)*100</f>
        <v>10.356642375357868</v>
      </c>
      <c r="U38" s="21">
        <f>(('All Other E&amp;G-4Yr'!AG32+'Investment Income-4Yr'!AG32)/('Total E&amp;G-4yr'!AG32))*100</f>
        <v>10.164936009943142</v>
      </c>
      <c r="W38" s="191">
        <f t="shared" si="23"/>
        <v>100</v>
      </c>
      <c r="X38" s="177">
        <f t="shared" si="24"/>
        <v>100.00000000000001</v>
      </c>
      <c r="Y38" s="94">
        <f t="shared" si="1"/>
        <v>27.421956216956712</v>
      </c>
      <c r="Z38" s="95">
        <f t="shared" si="2"/>
        <v>0.18207986363404099</v>
      </c>
      <c r="AA38" s="94">
        <f t="shared" si="3"/>
        <v>26.888215705271602</v>
      </c>
      <c r="AB38" s="13">
        <f t="shared" si="4"/>
        <v>99.507973649680181</v>
      </c>
      <c r="AC38" s="193">
        <f t="shared" si="5"/>
        <v>100</v>
      </c>
      <c r="AD38" s="194">
        <f t="shared" si="6"/>
        <v>100.00000000000001</v>
      </c>
      <c r="AE38" s="13"/>
    </row>
    <row r="39" spans="1:31">
      <c r="A39" s="64" t="s">
        <v>47</v>
      </c>
      <c r="B39" s="64"/>
      <c r="C39" s="70">
        <f>('Tuition-4Yr'!AL33/'Total E&amp;G-4yr'!AL33)*100</f>
        <v>8.0275498830356909E-2</v>
      </c>
      <c r="D39" s="70">
        <f>('State Appropriations-4Yr'!AL33)/('Total E&amp;G-4yr'!AL33)*100</f>
        <v>0.12885619079440083</v>
      </c>
      <c r="E39" s="147" t="str">
        <f>IF((('Local Appropriations-4Yr'!AL33/'Total E&amp;G-4yr'!AL33)*100)=0,(('Local Appropriations-4Yr'!AL33/'Total E&amp;G-4yr'!AL33)*100),IF((('Local Appropriations-4Yr'!AL33/'Total E&amp;G-4yr'!AL33)*100)&gt;=0.05,('Local Appropriations-4Yr'!AL33/'Total E&amp;G-4yr'!AL33)*100,"*"))</f>
        <v>*</v>
      </c>
      <c r="F39" s="70">
        <f>('Fed Contracts Grnts-4Yr'!AL33)/('Total E&amp;G-4yr'!AL33)*100</f>
        <v>99.661781047269741</v>
      </c>
      <c r="G39" s="70">
        <f>('Other Contract Grnts-4Yr'!AL33)/('Total E&amp;G-4yr'!AL33)*100</f>
        <v>4.2075454268851932E-2</v>
      </c>
      <c r="H39" s="148">
        <f>('All Other E&amp;G-4Yr'!AL33+'Investment Income-4Yr'!AL33)/('Total E&amp;G-4yr'!AL33)*100</f>
        <v>6.2850643262185577E-2</v>
      </c>
      <c r="I39" s="70">
        <f t="shared" si="17"/>
        <v>-18.299651527801679</v>
      </c>
      <c r="J39" s="77">
        <f t="shared" si="18"/>
        <v>-28.750032482372486</v>
      </c>
      <c r="K39" s="70">
        <f t="shared" si="19"/>
        <v>0</v>
      </c>
      <c r="L39" s="77">
        <f t="shared" si="20"/>
        <v>77.822823294538495</v>
      </c>
      <c r="M39" s="70">
        <f t="shared" si="21"/>
        <v>-10.320682871533291</v>
      </c>
      <c r="N39" s="77">
        <f t="shared" si="22"/>
        <v>-20.476617578405506</v>
      </c>
      <c r="O39" s="1"/>
      <c r="P39" s="21">
        <f>('Tuition-4Yr'!AG33/'Total E&amp;G-4yr'!AG33)*100</f>
        <v>18.379927026632036</v>
      </c>
      <c r="Q39" s="22">
        <f>('State Appropriations-4Yr'!AG33/'Total E&amp;G-4yr'!AG33)*100</f>
        <v>28.878888673166887</v>
      </c>
      <c r="R39" s="23">
        <f>IF((('Local Appropriations-4Yr'!AG33/'Total E&amp;G-4yr'!AG33)*100)=0,(('Local Appropriations-4Yr'!AG33/'Total E&amp;G-4yr'!AG33)*100),IF((('Local Appropriations-4Yr'!AG33/'Total E&amp;G-4yr'!AG33)*100)&gt;=0.005,(('Local Appropriations-4Yr'!AG33/'Total E&amp;G-4yr'!AG33)*100),"*"))</f>
        <v>0</v>
      </c>
      <c r="S39" s="21">
        <f>('Fed Contracts Grnts-4Yr'!AG33/'Total E&amp;G-4yr'!AG33)*100</f>
        <v>21.838957752731243</v>
      </c>
      <c r="T39" s="23">
        <f>('Other Contract Grnts-4Yr'!AG33/'Total E&amp;G-4yr'!AG33)*100</f>
        <v>10.362758325802144</v>
      </c>
      <c r="U39" s="21">
        <f>(('All Other E&amp;G-4Yr'!AG33+'Investment Income-4Yr'!AG33)/('Total E&amp;G-4yr'!AG33))*100</f>
        <v>20.53946822166769</v>
      </c>
      <c r="W39" s="191">
        <f t="shared" si="23"/>
        <v>100</v>
      </c>
      <c r="X39" s="177">
        <f t="shared" si="24"/>
        <v>99.975838834425531</v>
      </c>
      <c r="Y39" s="94">
        <f t="shared" si="1"/>
        <v>28.878888673166887</v>
      </c>
      <c r="Z39" s="95">
        <f t="shared" si="2"/>
        <v>0.12885619079440083</v>
      </c>
      <c r="AA39" s="94">
        <f t="shared" si="3"/>
        <v>32.201716078533387</v>
      </c>
      <c r="AB39" s="13">
        <f t="shared" si="4"/>
        <v>99.703856501538596</v>
      </c>
      <c r="AC39" s="193">
        <f t="shared" si="5"/>
        <v>100</v>
      </c>
      <c r="AD39" s="194">
        <f t="shared" si="6"/>
        <v>99.975838834425531</v>
      </c>
      <c r="AE39" s="13"/>
    </row>
    <row r="40" spans="1:31">
      <c r="A40" s="64" t="s">
        <v>48</v>
      </c>
      <c r="B40" s="64"/>
      <c r="C40" s="70">
        <f>('Tuition-4Yr'!AL34/'Total E&amp;G-4yr'!AL34)*100</f>
        <v>0.14850347940325379</v>
      </c>
      <c r="D40" s="70">
        <f>('State Appropriations-4Yr'!AL34)/('Total E&amp;G-4yr'!AL34)*100</f>
        <v>6.0916515558736194E-2</v>
      </c>
      <c r="E40" s="147" t="str">
        <f>IF((('Local Appropriations-4Yr'!AL34/'Total E&amp;G-4yr'!AL34)*100)=0,(('Local Appropriations-4Yr'!AL34/'Total E&amp;G-4yr'!AL34)*100),IF((('Local Appropriations-4Yr'!AL34/'Total E&amp;G-4yr'!AL34)*100)&gt;=0.05,('Local Appropriations-4Yr'!AL34/'Total E&amp;G-4yr'!AL34)*100,"*"))</f>
        <v>*</v>
      </c>
      <c r="F40" s="70">
        <f>('Fed Contracts Grnts-4Yr'!AL34)/('Total E&amp;G-4yr'!AL34)*100</f>
        <v>99.686959381269972</v>
      </c>
      <c r="G40" s="70">
        <f>('Other Contract Grnts-4Yr'!AL34)/('Total E&amp;G-4yr'!AL34)*100</f>
        <v>6.6380311591392044E-2</v>
      </c>
      <c r="H40" s="148">
        <f>('All Other E&amp;G-4Yr'!AL34+'Investment Income-4Yr'!AL34)/('Total E&amp;G-4yr'!AL34)*100</f>
        <v>3.5859531717898213E-2</v>
      </c>
      <c r="I40" s="70">
        <f t="shared" si="17"/>
        <v>-34.194775435957453</v>
      </c>
      <c r="J40" s="77">
        <f t="shared" si="18"/>
        <v>-10.991109385149199</v>
      </c>
      <c r="K40" s="121">
        <f t="shared" si="19"/>
        <v>-0.24413834522827074</v>
      </c>
      <c r="L40" s="77">
        <f t="shared" si="20"/>
        <v>78.794612693312359</v>
      </c>
      <c r="M40" s="70">
        <f t="shared" si="21"/>
        <v>-14.894237030988069</v>
      </c>
      <c r="N40" s="77">
        <f t="shared" si="22"/>
        <v>-18.47173327644812</v>
      </c>
      <c r="O40" s="1"/>
      <c r="P40" s="21">
        <f>('Tuition-4Yr'!AG34/'Total E&amp;G-4yr'!AG34)*100</f>
        <v>34.343278915360706</v>
      </c>
      <c r="Q40" s="22">
        <f>('State Appropriations-4Yr'!AG34/'Total E&amp;G-4yr'!AG34)*100</f>
        <v>11.052025900707935</v>
      </c>
      <c r="R40" s="23">
        <f>IF((('Local Appropriations-4Yr'!AG34/'Total E&amp;G-4yr'!AG34)*100)=0,(('Local Appropriations-4Yr'!AG34/'Total E&amp;G-4yr'!AG34)*100),IF((('Local Appropriations-4Yr'!AG34/'Total E&amp;G-4yr'!AG34)*100)&gt;=0.005,(('Local Appropriations-4Yr'!AG34/'Total E&amp;G-4yr'!AG34)*100),"*"))</f>
        <v>0.24413834522827074</v>
      </c>
      <c r="S40" s="21">
        <f>('Fed Contracts Grnts-4Yr'!AG34/'Total E&amp;G-4yr'!AG34)*100</f>
        <v>20.892346687957616</v>
      </c>
      <c r="T40" s="23">
        <f>('Other Contract Grnts-4Yr'!AG34/'Total E&amp;G-4yr'!AG34)*100</f>
        <v>14.960617342579461</v>
      </c>
      <c r="U40" s="21">
        <f>(('All Other E&amp;G-4Yr'!AG34+'Investment Income-4Yr'!AG34)/('Total E&amp;G-4yr'!AG34))*100</f>
        <v>18.507592808166017</v>
      </c>
      <c r="W40" s="191">
        <f t="shared" si="23"/>
        <v>100</v>
      </c>
      <c r="X40" s="177">
        <f t="shared" si="24"/>
        <v>99.998619219541254</v>
      </c>
      <c r="Y40" s="94">
        <f t="shared" si="1"/>
        <v>11.296164245936206</v>
      </c>
      <c r="Z40" s="95">
        <f t="shared" si="2"/>
        <v>6.0916515558736194E-2</v>
      </c>
      <c r="AA40" s="94">
        <f t="shared" si="3"/>
        <v>35.85296403053708</v>
      </c>
      <c r="AB40" s="13">
        <f t="shared" si="4"/>
        <v>99.75333969286136</v>
      </c>
      <c r="AC40" s="193">
        <f t="shared" si="5"/>
        <v>100</v>
      </c>
      <c r="AD40" s="194">
        <f t="shared" si="6"/>
        <v>99.998619219541254</v>
      </c>
      <c r="AE40" s="13"/>
    </row>
    <row r="41" spans="1:31">
      <c r="A41" s="64" t="s">
        <v>49</v>
      </c>
      <c r="B41" s="64"/>
      <c r="C41" s="70">
        <f>('Tuition-4Yr'!AL35/'Total E&amp;G-4yr'!AL35)*100</f>
        <v>0.14513847684998174</v>
      </c>
      <c r="D41" s="70">
        <f>('State Appropriations-4Yr'!AL35)/('Total E&amp;G-4yr'!AL35)*100</f>
        <v>0.10302742620068919</v>
      </c>
      <c r="E41" s="147">
        <f>IF((('Local Appropriations-4Yr'!AL35/'Total E&amp;G-4yr'!AL35)*100)=0,(('Local Appropriations-4Yr'!AL35/'Total E&amp;G-4yr'!AL35)*100),IF((('Local Appropriations-4Yr'!AL35/'Total E&amp;G-4yr'!AL35)*100)&gt;=0.05,('Local Appropriations-4Yr'!AL35/'Total E&amp;G-4yr'!AL35)*100,"*"))</f>
        <v>0</v>
      </c>
      <c r="F41" s="70">
        <f>('Fed Contracts Grnts-4Yr'!AL35)/('Total E&amp;G-4yr'!AL35)*100</f>
        <v>99.609998382687976</v>
      </c>
      <c r="G41" s="70">
        <f>('Other Contract Grnts-4Yr'!AL35)/('Total E&amp;G-4yr'!AL35)*100</f>
        <v>5.7825144666109399E-2</v>
      </c>
      <c r="H41" s="148">
        <f>('All Other E&amp;G-4Yr'!AL35+'Investment Income-4Yr'!AL35)/('Total E&amp;G-4yr'!AL35)*100</f>
        <v>8.4010569595246512E-2</v>
      </c>
      <c r="I41" s="70">
        <f t="shared" si="17"/>
        <v>-30.767473111232768</v>
      </c>
      <c r="J41" s="77">
        <f t="shared" si="18"/>
        <v>-23.17026298772398</v>
      </c>
      <c r="K41" s="70">
        <f t="shared" si="19"/>
        <v>0</v>
      </c>
      <c r="L41" s="77">
        <f t="shared" si="20"/>
        <v>79.669889663792816</v>
      </c>
      <c r="M41" s="70">
        <f t="shared" si="21"/>
        <v>-10.574579649987582</v>
      </c>
      <c r="N41" s="77">
        <f t="shared" si="22"/>
        <v>-15.157573914848498</v>
      </c>
      <c r="O41" s="1"/>
      <c r="P41" s="21">
        <f>('Tuition-4Yr'!AG35/'Total E&amp;G-4yr'!AG35)*100</f>
        <v>30.912611588082751</v>
      </c>
      <c r="Q41" s="22">
        <f>('State Appropriations-4Yr'!AG35/'Total E&amp;G-4yr'!AG35)*100</f>
        <v>23.27329041392467</v>
      </c>
      <c r="R41" s="23">
        <f>IF((('Local Appropriations-4Yr'!AG35/'Total E&amp;G-4yr'!AG35)*100)=0,(('Local Appropriations-4Yr'!AG35/'Total E&amp;G-4yr'!AG35)*100),IF((('Local Appropriations-4Yr'!AG35/'Total E&amp;G-4yr'!AG35)*100)&gt;=0.005,(('Local Appropriations-4Yr'!AG35/'Total E&amp;G-4yr'!AG35)*100),"*"))</f>
        <v>0</v>
      </c>
      <c r="S41" s="21">
        <f>('Fed Contracts Grnts-4Yr'!AG35/'Total E&amp;G-4yr'!AG35)*100</f>
        <v>19.940108718895154</v>
      </c>
      <c r="T41" s="23">
        <f>('Other Contract Grnts-4Yr'!AG35/'Total E&amp;G-4yr'!AG35)*100</f>
        <v>10.632404794653691</v>
      </c>
      <c r="U41" s="21">
        <f>(('All Other E&amp;G-4Yr'!AG35+'Investment Income-4Yr'!AG35)/('Total E&amp;G-4yr'!AG35))*100</f>
        <v>15.241584484443745</v>
      </c>
      <c r="W41" s="191">
        <f t="shared" si="23"/>
        <v>100.00000000000001</v>
      </c>
      <c r="X41" s="177">
        <f t="shared" si="24"/>
        <v>100.00000000000001</v>
      </c>
      <c r="Y41" s="94">
        <f t="shared" si="1"/>
        <v>23.27329041392467</v>
      </c>
      <c r="Z41" s="95">
        <f t="shared" si="2"/>
        <v>0.10302742620068919</v>
      </c>
      <c r="AA41" s="94">
        <f t="shared" si="3"/>
        <v>30.572513513548845</v>
      </c>
      <c r="AB41" s="13">
        <f t="shared" si="4"/>
        <v>99.667823527354088</v>
      </c>
      <c r="AC41" s="193">
        <f t="shared" si="5"/>
        <v>100.00000000000001</v>
      </c>
      <c r="AD41" s="194">
        <f t="shared" si="6"/>
        <v>100</v>
      </c>
      <c r="AE41" s="13"/>
    </row>
    <row r="42" spans="1:31">
      <c r="A42" s="64" t="s">
        <v>50</v>
      </c>
      <c r="B42" s="64"/>
      <c r="C42" s="70">
        <f>('Tuition-4Yr'!AL36/'Total E&amp;G-4yr'!AL36)*100</f>
        <v>0.15164355076070044</v>
      </c>
      <c r="D42" s="70">
        <f>('State Appropriations-4Yr'!AL36)/('Total E&amp;G-4yr'!AL36)*100</f>
        <v>6.5832239047713889E-2</v>
      </c>
      <c r="E42" s="147">
        <f>IF((('Local Appropriations-4Yr'!AL36/'Total E&amp;G-4yr'!AL36)*100)=0,(('Local Appropriations-4Yr'!AL36/'Total E&amp;G-4yr'!AL36)*100),IF((('Local Appropriations-4Yr'!AL36/'Total E&amp;G-4yr'!AL36)*100)&gt;=0.05,('Local Appropriations-4Yr'!AL36/'Total E&amp;G-4yr'!AL36)*100,"*"))</f>
        <v>0</v>
      </c>
      <c r="F42" s="70">
        <f>('Fed Contracts Grnts-4Yr'!AL36)/('Total E&amp;G-4yr'!AL36)*100</f>
        <v>99.651465904548957</v>
      </c>
      <c r="G42" s="70">
        <f>('Other Contract Grnts-4Yr'!AL36)/('Total E&amp;G-4yr'!AL36)*100</f>
        <v>6.3412091822234617E-2</v>
      </c>
      <c r="H42" s="148">
        <f>('All Other E&amp;G-4Yr'!AL36+'Investment Income-4Yr'!AL36)/('Total E&amp;G-4yr'!AL36)*100</f>
        <v>6.7646213820399675E-2</v>
      </c>
      <c r="I42" s="70">
        <f t="shared" si="17"/>
        <v>-36.975668814022811</v>
      </c>
      <c r="J42" s="77">
        <f t="shared" si="18"/>
        <v>-11.283873030163928</v>
      </c>
      <c r="K42" s="70">
        <f t="shared" si="19"/>
        <v>0</v>
      </c>
      <c r="L42" s="77">
        <f t="shared" si="20"/>
        <v>74.332372013044576</v>
      </c>
      <c r="M42" s="70">
        <f t="shared" si="21"/>
        <v>-12.485070225251352</v>
      </c>
      <c r="N42" s="77">
        <f t="shared" si="22"/>
        <v>-13.587759943606455</v>
      </c>
      <c r="O42" s="1"/>
      <c r="P42" s="21">
        <f>('Tuition-4Yr'!AG36/'Total E&amp;G-4yr'!AG36)*100</f>
        <v>37.127312364783513</v>
      </c>
      <c r="Q42" s="22">
        <f>('State Appropriations-4Yr'!AG36/'Total E&amp;G-4yr'!AG36)*100</f>
        <v>11.349705269211642</v>
      </c>
      <c r="R42" s="23">
        <f>IF((('Local Appropriations-4Yr'!AG36/'Total E&amp;G-4yr'!AG36)*100)=0,(('Local Appropriations-4Yr'!AG36/'Total E&amp;G-4yr'!AG36)*100),IF((('Local Appropriations-4Yr'!AG36/'Total E&amp;G-4yr'!AG36)*100)&gt;=0.005,(('Local Appropriations-4Yr'!AG36/'Total E&amp;G-4yr'!AG36)*100),"*"))</f>
        <v>0</v>
      </c>
      <c r="S42" s="21">
        <f>('Fed Contracts Grnts-4Yr'!AG36/'Total E&amp;G-4yr'!AG36)*100</f>
        <v>25.319093891504384</v>
      </c>
      <c r="T42" s="23">
        <f>('Other Contract Grnts-4Yr'!AG36/'Total E&amp;G-4yr'!AG36)*100</f>
        <v>12.548482317073587</v>
      </c>
      <c r="U42" s="21">
        <f>(('All Other E&amp;G-4Yr'!AG36+'Investment Income-4Yr'!AG36)/('Total E&amp;G-4yr'!AG36))*100</f>
        <v>13.655406157426855</v>
      </c>
      <c r="W42" s="191">
        <f t="shared" si="23"/>
        <v>99.999999999999986</v>
      </c>
      <c r="X42" s="177">
        <f t="shared" si="24"/>
        <v>100</v>
      </c>
      <c r="Y42" s="94">
        <f t="shared" si="1"/>
        <v>11.349705269211642</v>
      </c>
      <c r="Z42" s="95">
        <f t="shared" si="2"/>
        <v>6.5832239047713889E-2</v>
      </c>
      <c r="AA42" s="94">
        <f t="shared" si="3"/>
        <v>37.867576208577972</v>
      </c>
      <c r="AB42" s="13">
        <f t="shared" si="4"/>
        <v>99.714877996371186</v>
      </c>
      <c r="AC42" s="193">
        <f t="shared" si="5"/>
        <v>99.999999999999972</v>
      </c>
      <c r="AD42" s="194">
        <f t="shared" si="6"/>
        <v>99.999999999999986</v>
      </c>
      <c r="AE42" s="13"/>
    </row>
    <row r="43" spans="1:31">
      <c r="A43" s="65" t="s">
        <v>51</v>
      </c>
      <c r="B43" s="145"/>
      <c r="C43" s="146">
        <f>('Tuition-4Yr'!AL37/'Total E&amp;G-4yr'!AL37)*100</f>
        <v>0.12263248252658218</v>
      </c>
      <c r="D43" s="146">
        <f>('State Appropriations-4Yr'!AL37)/('Total E&amp;G-4yr'!AL37)*100</f>
        <v>0.21851070284203189</v>
      </c>
      <c r="E43" s="149">
        <f>IF((('Local Appropriations-4Yr'!AL37/'Total E&amp;G-4yr'!AL37)*100)=0,(('Local Appropriations-4Yr'!AL37/'Total E&amp;G-4yr'!AL37)*100),IF((('Local Appropriations-4Yr'!AL37/'Total E&amp;G-4yr'!AL37)*100)&gt;=0.05,('Local Appropriations-4Yr'!AL37/'Total E&amp;G-4yr'!AL37)*100,"*"))</f>
        <v>0</v>
      </c>
      <c r="F43" s="146">
        <f>('Fed Contracts Grnts-4Yr'!AL37)/('Total E&amp;G-4yr'!AL37)*100</f>
        <v>99.527524632647655</v>
      </c>
      <c r="G43" s="146">
        <f>('Other Contract Grnts-4Yr'!AL37)/('Total E&amp;G-4yr'!AL37)*100</f>
        <v>5.9987135002539181E-2</v>
      </c>
      <c r="H43" s="150">
        <f>('All Other E&amp;G-4Yr'!AL37+'Investment Income-4Yr'!AL37)/('Total E&amp;G-4yr'!AL37)*100</f>
        <v>7.1345046981193844E-2</v>
      </c>
      <c r="I43" s="146">
        <f t="shared" si="17"/>
        <v>-16.114662760895119</v>
      </c>
      <c r="J43" s="78">
        <f t="shared" si="18"/>
        <v>-46.466180157118579</v>
      </c>
      <c r="K43" s="72">
        <f t="shared" si="19"/>
        <v>0</v>
      </c>
      <c r="L43" s="78">
        <f t="shared" si="20"/>
        <v>87.978422009225639</v>
      </c>
      <c r="M43" s="72">
        <f t="shared" si="21"/>
        <v>-17.962205179176287</v>
      </c>
      <c r="N43" s="78">
        <f t="shared" si="22"/>
        <v>-7.4353739120356561</v>
      </c>
      <c r="O43" s="1"/>
      <c r="P43" s="21">
        <f>('Tuition-4Yr'!AG37/'Total E&amp;G-4yr'!AG37)*100</f>
        <v>16.237295243421702</v>
      </c>
      <c r="Q43" s="22">
        <f>('State Appropriations-4Yr'!AG37/'Total E&amp;G-4yr'!AG37)*100</f>
        <v>46.684690859960611</v>
      </c>
      <c r="R43" s="23">
        <f>IF((('Local Appropriations-4Yr'!AG37/'Total E&amp;G-4yr'!AG37)*100)=0,(('Local Appropriations-4Yr'!AG37/'Total E&amp;G-4yr'!AG37)*100),IF((('Local Appropriations-4Yr'!AG37/'Total E&amp;G-4yr'!AG37)*100)&gt;=0.005,(('Local Appropriations-4Yr'!AG37/'Total E&amp;G-4yr'!AG37)*100),"*"))</f>
        <v>0</v>
      </c>
      <c r="S43" s="21">
        <f>('Fed Contracts Grnts-4Yr'!AG37/'Total E&amp;G-4yr'!AG37)*100</f>
        <v>11.549102623422018</v>
      </c>
      <c r="T43" s="23">
        <f>('Other Contract Grnts-4Yr'!AG37/'Total E&amp;G-4yr'!AG37)*100</f>
        <v>18.022192314178827</v>
      </c>
      <c r="U43" s="21">
        <f>(('All Other E&amp;G-4Yr'!AG37+'Investment Income-4Yr'!AG37)/('Total E&amp;G-4yr'!AG37))*100</f>
        <v>7.5067189590168502</v>
      </c>
      <c r="W43" s="191">
        <f t="shared" si="23"/>
        <v>100</v>
      </c>
      <c r="X43" s="177">
        <f t="shared" si="24"/>
        <v>100</v>
      </c>
      <c r="Y43" s="94">
        <f t="shared" si="1"/>
        <v>46.684690859960611</v>
      </c>
      <c r="Z43" s="95">
        <f t="shared" si="2"/>
        <v>0.21851070284203189</v>
      </c>
      <c r="AA43" s="94">
        <f t="shared" si="3"/>
        <v>29.571294937600847</v>
      </c>
      <c r="AB43" s="13">
        <f t="shared" si="4"/>
        <v>99.587511767650199</v>
      </c>
      <c r="AC43" s="193">
        <f t="shared" si="5"/>
        <v>100.00000000000001</v>
      </c>
      <c r="AD43" s="194">
        <f t="shared" si="6"/>
        <v>100</v>
      </c>
      <c r="AE43" s="13"/>
    </row>
    <row r="44" spans="1:31">
      <c r="A44" s="63" t="s">
        <v>52</v>
      </c>
      <c r="B44" s="63"/>
      <c r="C44" s="69">
        <f>('Tuition-4Yr'!AL38/'Total E&amp;G-4yr'!AL38)*100</f>
        <v>40.3816890659268</v>
      </c>
      <c r="D44" s="69">
        <f>('State Appropriations-4Yr'!AL38)/('Total E&amp;G-4yr'!AL38)*100</f>
        <v>16.925488204914625</v>
      </c>
      <c r="E44" s="136">
        <f>IF((('Local Appropriations-4Yr'!AL38/'Total E&amp;G-4yr'!AL38)*100)=0,(('Local Appropriations-4Yr'!AL38/'Total E&amp;G-4yr'!AL38)*100),IF((('Local Appropriations-4Yr'!AL38/'Total E&amp;G-4yr'!AL38)*100)&gt;=0.05,('Local Appropriations-4Yr'!AL38/'Total E&amp;G-4yr'!AL38)*100,"*"))</f>
        <v>0.10307952230674865</v>
      </c>
      <c r="F44" s="69">
        <f>('Fed Contracts Grnts-4Yr'!AL38)/('Total E&amp;G-4yr'!AL38)*100</f>
        <v>16.008724299366051</v>
      </c>
      <c r="G44" s="69">
        <f>('Other Contract Grnts-4Yr'!AL38)/('Total E&amp;G-4yr'!AL38)*100</f>
        <v>11.238310916744112</v>
      </c>
      <c r="H44" s="137">
        <f>('All Other E&amp;G-4Yr'!AL38+'Investment Income-4Yr'!AL38)/('Total E&amp;G-4yr'!AL38)*100</f>
        <v>15.342707990741673</v>
      </c>
      <c r="I44" s="69">
        <f>IF((C44-P44)=0,(C44-P44),IF((C44-P44)&gt;=0.005,(C44-P44),IF((C44-P44&lt;=-0.005),(C44-P44),"**")))</f>
        <v>-0.13029279124366866</v>
      </c>
      <c r="J44" s="76">
        <f>IF((D44-Q44)=0,(D44-Q44),IF((D44-Q44)&gt;=0.005,(D44-Q44),IF((D44-Q44&lt;=-0.005),(D44-Q44),"**")))</f>
        <v>-2.3739046088835529</v>
      </c>
      <c r="K44" s="120">
        <f>E44-R44</f>
        <v>-5.6432745404673551E-3</v>
      </c>
      <c r="L44" s="76">
        <f>IF((F44-S44)=0,(F44-S44),IF((F44-S44)&gt;=0.005,(F44-S44),IF((F44-S44&lt;=-0.005),(F44-S44),"**")))</f>
        <v>1.4234163681037089</v>
      </c>
      <c r="M44" s="69">
        <f>IF((G44-T44)=0,(G44-T44),IF((G44-T44)&gt;=0.005,(G44-T44),IF((G44-T44&lt;=-0.005),(G44-T44),"**")))</f>
        <v>2.2013216618718801E-2</v>
      </c>
      <c r="N44" s="76">
        <f>IF((H44-U44)=0,(H44-U44),IF((H44-U44)&gt;=0.005,(H44-U44),IF((H44-U44&lt;=-0.005),(H44-U44),"**")))</f>
        <v>1.0644110899452883</v>
      </c>
      <c r="O44" s="1"/>
      <c r="P44" s="21">
        <f>('Tuition-4Yr'!AG38/'Total E&amp;G-4yr'!AG38)*100</f>
        <v>40.511981857170468</v>
      </c>
      <c r="Q44" s="22">
        <f>('State Appropriations-4Yr'!AG38/'Total E&amp;G-4yr'!AG38)*100</f>
        <v>19.299392813798178</v>
      </c>
      <c r="R44" s="23">
        <f>IF((('Local Appropriations-4Yr'!AG38/'Total E&amp;G-4yr'!AG38)*100)=0,(('Local Appropriations-4Yr'!AG38/'Total E&amp;G-4yr'!AG38)*100),IF((('Local Appropriations-4Yr'!AG38/'Total E&amp;G-4yr'!AG38)*100)&gt;=0.005,(('Local Appropriations-4Yr'!AG38/'Total E&amp;G-4yr'!AG38)*100),"*"))</f>
        <v>0.108722796847216</v>
      </c>
      <c r="S44" s="21">
        <f>('Fed Contracts Grnts-4Yr'!AG38/'Total E&amp;G-4yr'!AG38)*100</f>
        <v>14.585307931262342</v>
      </c>
      <c r="T44" s="23">
        <f>('Other Contract Grnts-4Yr'!AG38/'Total E&amp;G-4yr'!AG38)*100</f>
        <v>11.216297700125393</v>
      </c>
      <c r="U44" s="21">
        <f>(('All Other E&amp;G-4Yr'!AG38+'Investment Income-4Yr'!AG38)/('Total E&amp;G-4yr'!AG38))*100</f>
        <v>14.278296900796384</v>
      </c>
      <c r="W44" s="191">
        <f t="shared" si="23"/>
        <v>99.999999999999972</v>
      </c>
      <c r="X44" s="177">
        <f t="shared" si="24"/>
        <v>100.00000000000001</v>
      </c>
      <c r="Y44" s="94">
        <f t="shared" si="1"/>
        <v>19.408115610645396</v>
      </c>
      <c r="Z44" s="95">
        <f t="shared" si="2"/>
        <v>17.028567727221375</v>
      </c>
      <c r="AA44" s="94">
        <f t="shared" si="3"/>
        <v>25.801605631387737</v>
      </c>
      <c r="AB44" s="13">
        <f t="shared" si="4"/>
        <v>27.247035216110163</v>
      </c>
      <c r="AC44" s="193">
        <f t="shared" si="5"/>
        <v>99.999999999999986</v>
      </c>
      <c r="AD44" s="194">
        <f t="shared" si="6"/>
        <v>100</v>
      </c>
      <c r="AE44" s="13"/>
    </row>
    <row r="45" spans="1:31">
      <c r="A45" s="63"/>
      <c r="B45" s="63"/>
      <c r="C45" s="69"/>
      <c r="D45" s="69"/>
      <c r="E45" s="136"/>
      <c r="F45" s="69"/>
      <c r="G45" s="69"/>
      <c r="H45" s="137"/>
      <c r="I45" s="69"/>
      <c r="J45" s="76"/>
      <c r="K45" s="69"/>
      <c r="L45" s="76"/>
      <c r="M45" s="69"/>
      <c r="N45" s="76"/>
      <c r="O45" s="1"/>
      <c r="P45" s="21"/>
      <c r="Q45" s="22"/>
      <c r="R45" s="23"/>
      <c r="S45" s="21"/>
      <c r="T45" s="23"/>
      <c r="U45" s="21"/>
      <c r="W45" s="191"/>
      <c r="X45" s="177"/>
      <c r="Y45" s="94"/>
      <c r="Z45" s="95"/>
      <c r="AA45" s="94"/>
      <c r="AB45" s="13"/>
      <c r="AC45" s="193"/>
      <c r="AD45" s="194"/>
      <c r="AE45" s="13"/>
    </row>
    <row r="46" spans="1:31">
      <c r="A46" s="64" t="s">
        <v>53</v>
      </c>
      <c r="B46" s="64"/>
      <c r="C46" s="70">
        <f>('Tuition-4Yr'!AL40/'Total E&amp;G-4yr'!AL40)*100</f>
        <v>31.827045026370381</v>
      </c>
      <c r="D46" s="70">
        <f>('State Appropriations-4Yr'!AL40)/('Total E&amp;G-4yr'!AL40)*100</f>
        <v>12.35796306460054</v>
      </c>
      <c r="E46" s="147">
        <f>IF((('Local Appropriations-4Yr'!AL40/'Total E&amp;G-4yr'!AL40)*100)=0,(('Local Appropriations-4Yr'!AL40/'Total E&amp;G-4yr'!AL40)*100),IF((('Local Appropriations-4Yr'!AL40/'Total E&amp;G-4yr'!AL40)*100)&gt;=0.05,('Local Appropriations-4Yr'!AL40/'Total E&amp;G-4yr'!AL40)*100,"*"))</f>
        <v>0</v>
      </c>
      <c r="F46" s="70">
        <f>('Fed Contracts Grnts-4Yr'!AL40)/('Total E&amp;G-4yr'!AL40)*100</f>
        <v>14.05711048632006</v>
      </c>
      <c r="G46" s="70">
        <f>('Other Contract Grnts-4Yr'!AL40)/('Total E&amp;G-4yr'!AL40)*100</f>
        <v>9.1912024646446717</v>
      </c>
      <c r="H46" s="148">
        <f>('All Other E&amp;G-4Yr'!AL40+'Investment Income-4Yr'!AL40)/('Total E&amp;G-4yr'!AL40)*100</f>
        <v>32.566678958064344</v>
      </c>
      <c r="I46" s="70">
        <f t="shared" ref="I46:N53" si="25">IF((C46-P46)=0,(C46-P46),IF((C46-P46)&gt;=0.005,(C46-P46),IF((C46-P46&lt;=-0.005),(C46-P46),"**")))</f>
        <v>0.23723736138805407</v>
      </c>
      <c r="J46" s="77">
        <f t="shared" si="25"/>
        <v>-2.7251360367334243</v>
      </c>
      <c r="K46" s="70">
        <f t="shared" si="25"/>
        <v>0</v>
      </c>
      <c r="L46" s="77">
        <f t="shared" si="25"/>
        <v>1.6081294616728883</v>
      </c>
      <c r="M46" s="70">
        <f t="shared" si="25"/>
        <v>1.1175523932443259</v>
      </c>
      <c r="N46" s="77">
        <f t="shared" si="25"/>
        <v>-0.23778317957185635</v>
      </c>
      <c r="O46" s="1"/>
      <c r="P46" s="21">
        <f>('Tuition-4Yr'!AG40/'Total E&amp;G-4yr'!AG40)*100</f>
        <v>31.589807664982327</v>
      </c>
      <c r="Q46" s="22">
        <f>('State Appropriations-4Yr'!AG40/'Total E&amp;G-4yr'!AG40)*100</f>
        <v>15.083099101333964</v>
      </c>
      <c r="R46" s="23">
        <f>IF((('Local Appropriations-4Yr'!AG40/'Total E&amp;G-4yr'!AG40)*100)=0,(('Local Appropriations-4Yr'!AG40/'Total E&amp;G-4yr'!AG40)*100),IF((('Local Appropriations-4Yr'!AG40/'Total E&amp;G-4yr'!AG40)*100)&gt;=0.005,(('Local Appropriations-4Yr'!AG40/'Total E&amp;G-4yr'!AG40)*100),"*"))</f>
        <v>0</v>
      </c>
      <c r="S46" s="21">
        <f>('Fed Contracts Grnts-4Yr'!AG40/'Total E&amp;G-4yr'!AG40)*100</f>
        <v>12.448981024647171</v>
      </c>
      <c r="T46" s="23">
        <f>('Other Contract Grnts-4Yr'!AG40/'Total E&amp;G-4yr'!AG40)*100</f>
        <v>8.0736500714003459</v>
      </c>
      <c r="U46" s="21">
        <f>(('All Other E&amp;G-4Yr'!AG40+'Investment Income-4Yr'!AG40)/('Total E&amp;G-4yr'!AG40))*100</f>
        <v>32.8044621376362</v>
      </c>
      <c r="W46" s="191">
        <f t="shared" ref="W46:W58" si="26">SUM(P46:U46)</f>
        <v>100</v>
      </c>
      <c r="X46" s="177">
        <f t="shared" ref="X46:X58" si="27">SUM(C46:H46)</f>
        <v>100</v>
      </c>
      <c r="Y46" s="94">
        <f t="shared" si="1"/>
        <v>15.083099101333964</v>
      </c>
      <c r="Z46" s="95">
        <f t="shared" si="2"/>
        <v>12.35796306460054</v>
      </c>
      <c r="AA46" s="94">
        <f t="shared" si="3"/>
        <v>20.522631096047519</v>
      </c>
      <c r="AB46" s="13">
        <f t="shared" si="4"/>
        <v>23.248312950964731</v>
      </c>
      <c r="AC46" s="193">
        <f t="shared" si="5"/>
        <v>100.00000000000001</v>
      </c>
      <c r="AD46" s="194">
        <f t="shared" si="6"/>
        <v>100</v>
      </c>
      <c r="AE46" s="13"/>
    </row>
    <row r="47" spans="1:31">
      <c r="A47" s="64" t="s">
        <v>54</v>
      </c>
      <c r="B47" s="64"/>
      <c r="C47" s="70">
        <f>('Tuition-4Yr'!AL41/'Total E&amp;G-4yr'!AL41)*100</f>
        <v>46.776324817833036</v>
      </c>
      <c r="D47" s="70">
        <f>('State Appropriations-4Yr'!AL41)/('Total E&amp;G-4yr'!AL41)*100</f>
        <v>17.699051541903213</v>
      </c>
      <c r="E47" s="147">
        <f>IF((('Local Appropriations-4Yr'!AL41/'Total E&amp;G-4yr'!AL41)*100)=0,(('Local Appropriations-4Yr'!AL41/'Total E&amp;G-4yr'!AL41)*100),IF((('Local Appropriations-4Yr'!AL41/'Total E&amp;G-4yr'!AL41)*100)&gt;=0.05,('Local Appropriations-4Yr'!AL41/'Total E&amp;G-4yr'!AL41)*100,"*"))</f>
        <v>0.13206344757486643</v>
      </c>
      <c r="F47" s="70">
        <f>('Fed Contracts Grnts-4Yr'!AL41)/('Total E&amp;G-4yr'!AL41)*100</f>
        <v>14.708182855725383</v>
      </c>
      <c r="G47" s="70">
        <f>('Other Contract Grnts-4Yr'!AL41)/('Total E&amp;G-4yr'!AL41)*100</f>
        <v>9.5805442328888493</v>
      </c>
      <c r="H47" s="148">
        <f>('All Other E&amp;G-4Yr'!AL41+'Investment Income-4Yr'!AL41)/('Total E&amp;G-4yr'!AL41)*100</f>
        <v>11.103833104074662</v>
      </c>
      <c r="I47" s="70">
        <f t="shared" si="25"/>
        <v>0.95631136129060934</v>
      </c>
      <c r="J47" s="77">
        <f t="shared" si="25"/>
        <v>-3.1222199710366247</v>
      </c>
      <c r="K47" s="121">
        <f t="shared" si="25"/>
        <v>-1.2529314339175007E-2</v>
      </c>
      <c r="L47" s="77">
        <f t="shared" si="25"/>
        <v>1.3954253624395818</v>
      </c>
      <c r="M47" s="70">
        <f t="shared" si="25"/>
        <v>-0.10749963546545516</v>
      </c>
      <c r="N47" s="77">
        <f t="shared" si="25"/>
        <v>0.89051219711108587</v>
      </c>
      <c r="O47" s="1"/>
      <c r="P47" s="21">
        <f>('Tuition-4Yr'!AG41/'Total E&amp;G-4yr'!AG41)*100</f>
        <v>45.820013456542426</v>
      </c>
      <c r="Q47" s="22">
        <f>('State Appropriations-4Yr'!AG41/'Total E&amp;G-4yr'!AG41)*100</f>
        <v>20.821271512939838</v>
      </c>
      <c r="R47" s="23">
        <f>IF((('Local Appropriations-4Yr'!AG41/'Total E&amp;G-4yr'!AG41)*100)=0,(('Local Appropriations-4Yr'!AG41/'Total E&amp;G-4yr'!AG41)*100),IF((('Local Appropriations-4Yr'!AG41/'Total E&amp;G-4yr'!AG41)*100)&gt;=0.005,(('Local Appropriations-4Yr'!AG41/'Total E&amp;G-4yr'!AG41)*100),"*"))</f>
        <v>0.14459276191404144</v>
      </c>
      <c r="S47" s="21">
        <f>('Fed Contracts Grnts-4Yr'!AG41/'Total E&amp;G-4yr'!AG41)*100</f>
        <v>13.312757493285801</v>
      </c>
      <c r="T47" s="23">
        <f>('Other Contract Grnts-4Yr'!AG41/'Total E&amp;G-4yr'!AG41)*100</f>
        <v>9.6880438683543044</v>
      </c>
      <c r="U47" s="21">
        <f>(('All Other E&amp;G-4Yr'!AG41+'Investment Income-4Yr'!AG41)/('Total E&amp;G-4yr'!AG41))*100</f>
        <v>10.213320906963576</v>
      </c>
      <c r="W47" s="191">
        <f t="shared" si="26"/>
        <v>99.999999999999972</v>
      </c>
      <c r="X47" s="177">
        <f t="shared" si="27"/>
        <v>100.00000000000001</v>
      </c>
      <c r="Y47" s="94">
        <f t="shared" si="1"/>
        <v>20.965864274853878</v>
      </c>
      <c r="Z47" s="95">
        <f t="shared" si="2"/>
        <v>17.831114989478078</v>
      </c>
      <c r="AA47" s="94">
        <f t="shared" si="3"/>
        <v>23.000801361640107</v>
      </c>
      <c r="AB47" s="13">
        <f t="shared" si="4"/>
        <v>24.28872708861423</v>
      </c>
      <c r="AC47" s="193">
        <f t="shared" si="5"/>
        <v>99.999999999999986</v>
      </c>
      <c r="AD47" s="194">
        <f t="shared" si="6"/>
        <v>100</v>
      </c>
      <c r="AE47" s="13"/>
    </row>
    <row r="48" spans="1:31">
      <c r="A48" s="64" t="s">
        <v>55</v>
      </c>
      <c r="B48" s="64"/>
      <c r="C48" s="70">
        <f>('Tuition-4Yr'!AL42/'Total E&amp;G-4yr'!AL42)*100</f>
        <v>38.291612219761426</v>
      </c>
      <c r="D48" s="70">
        <f>('State Appropriations-4Yr'!AL42)/('Total E&amp;G-4yr'!AL42)*100</f>
        <v>19.460911956554725</v>
      </c>
      <c r="E48" s="147">
        <f>IF((('Local Appropriations-4Yr'!AL42/'Total E&amp;G-4yr'!AL42)*100)=0,(('Local Appropriations-4Yr'!AL42/'Total E&amp;G-4yr'!AL42)*100),IF((('Local Appropriations-4Yr'!AL42/'Total E&amp;G-4yr'!AL42)*100)&gt;=0.05,('Local Appropriations-4Yr'!AL42/'Total E&amp;G-4yr'!AL42)*100,"*"))</f>
        <v>0</v>
      </c>
      <c r="F48" s="70">
        <f>('Fed Contracts Grnts-4Yr'!AL42)/('Total E&amp;G-4yr'!AL42)*100</f>
        <v>19.247270751043789</v>
      </c>
      <c r="G48" s="70">
        <f>('Other Contract Grnts-4Yr'!AL42)/('Total E&amp;G-4yr'!AL42)*100</f>
        <v>10.005580934840509</v>
      </c>
      <c r="H48" s="148">
        <f>('All Other E&amp;G-4Yr'!AL42+'Investment Income-4Yr'!AL42)/('Total E&amp;G-4yr'!AL42)*100</f>
        <v>12.99462413779956</v>
      </c>
      <c r="I48" s="70">
        <f t="shared" si="25"/>
        <v>1.5662265120741878</v>
      </c>
      <c r="J48" s="77">
        <f t="shared" si="25"/>
        <v>-2.3369432927139577</v>
      </c>
      <c r="K48" s="70">
        <f t="shared" si="25"/>
        <v>0</v>
      </c>
      <c r="L48" s="77">
        <f t="shared" si="25"/>
        <v>1.4932685726067128</v>
      </c>
      <c r="M48" s="70">
        <f t="shared" si="25"/>
        <v>0.61583083739812672</v>
      </c>
      <c r="N48" s="77">
        <f t="shared" si="25"/>
        <v>-1.33838262936505</v>
      </c>
      <c r="O48" s="1"/>
      <c r="P48" s="21">
        <f>('Tuition-4Yr'!AG42/'Total E&amp;G-4yr'!AG42)*100</f>
        <v>36.725385707687238</v>
      </c>
      <c r="Q48" s="22">
        <f>('State Appropriations-4Yr'!AG42/'Total E&amp;G-4yr'!AG42)*100</f>
        <v>21.797855249268682</v>
      </c>
      <c r="R48" s="23">
        <f>IF((('Local Appropriations-4Yr'!AG42/'Total E&amp;G-4yr'!AG42)*100)=0,(('Local Appropriations-4Yr'!AG42/'Total E&amp;G-4yr'!AG42)*100),IF((('Local Appropriations-4Yr'!AG42/'Total E&amp;G-4yr'!AG42)*100)&gt;=0.005,(('Local Appropriations-4Yr'!AG42/'Total E&amp;G-4yr'!AG42)*100),"*"))</f>
        <v>0</v>
      </c>
      <c r="S48" s="21">
        <f>('Fed Contracts Grnts-4Yr'!AG42/'Total E&amp;G-4yr'!AG42)*100</f>
        <v>17.754002178437077</v>
      </c>
      <c r="T48" s="23">
        <f>('Other Contract Grnts-4Yr'!AG42/'Total E&amp;G-4yr'!AG42)*100</f>
        <v>9.3897500974423824</v>
      </c>
      <c r="U48" s="21">
        <f>(('All Other E&amp;G-4Yr'!AG42+'Investment Income-4Yr'!AG42)/('Total E&amp;G-4yr'!AG42))*100</f>
        <v>14.33300676716461</v>
      </c>
      <c r="W48" s="191">
        <f t="shared" si="26"/>
        <v>99.999999999999986</v>
      </c>
      <c r="X48" s="177">
        <f t="shared" si="27"/>
        <v>100.00000000000001</v>
      </c>
      <c r="Y48" s="94">
        <f t="shared" si="1"/>
        <v>21.797855249268682</v>
      </c>
      <c r="Z48" s="95">
        <f t="shared" si="2"/>
        <v>19.460911956554725</v>
      </c>
      <c r="AA48" s="94">
        <f t="shared" si="3"/>
        <v>27.143752275879457</v>
      </c>
      <c r="AB48" s="13">
        <f t="shared" si="4"/>
        <v>29.252851685884298</v>
      </c>
      <c r="AC48" s="193">
        <f t="shared" si="5"/>
        <v>100</v>
      </c>
      <c r="AD48" s="194">
        <f t="shared" si="6"/>
        <v>100</v>
      </c>
      <c r="AE48" s="13"/>
    </row>
    <row r="49" spans="1:31">
      <c r="A49" s="64" t="s">
        <v>56</v>
      </c>
      <c r="B49" s="64"/>
      <c r="C49" s="70">
        <f>('Tuition-4Yr'!AL43/'Total E&amp;G-4yr'!AL43)*100</f>
        <v>34.068191275571316</v>
      </c>
      <c r="D49" s="70">
        <f>('State Appropriations-4Yr'!AL43)/('Total E&amp;G-4yr'!AL43)*100</f>
        <v>22.301798459796242</v>
      </c>
      <c r="E49" s="147">
        <f>IF((('Local Appropriations-4Yr'!AL43/'Total E&amp;G-4yr'!AL43)*100)=0,(('Local Appropriations-4Yr'!AL43/'Total E&amp;G-4yr'!AL43)*100),IF((('Local Appropriations-4Yr'!AL43/'Total E&amp;G-4yr'!AL43)*100)&gt;=0.05,('Local Appropriations-4Yr'!AL43/'Total E&amp;G-4yr'!AL43)*100,"*"))</f>
        <v>1.5802870891478336</v>
      </c>
      <c r="F49" s="70">
        <f>('Fed Contracts Grnts-4Yr'!AL43)/('Total E&amp;G-4yr'!AL43)*100</f>
        <v>18.160695276656369</v>
      </c>
      <c r="G49" s="70">
        <f>('Other Contract Grnts-4Yr'!AL43)/('Total E&amp;G-4yr'!AL43)*100</f>
        <v>10.416188638145531</v>
      </c>
      <c r="H49" s="148">
        <f>('All Other E&amp;G-4Yr'!AL43+'Investment Income-4Yr'!AL43)/('Total E&amp;G-4yr'!AL43)*100</f>
        <v>13.472839260682731</v>
      </c>
      <c r="I49" s="70">
        <f t="shared" si="25"/>
        <v>-1.4410539407745944</v>
      </c>
      <c r="J49" s="77">
        <f t="shared" si="25"/>
        <v>-1.5654743978364252</v>
      </c>
      <c r="K49" s="70">
        <f t="shared" si="25"/>
        <v>-6.4343554115056989E-2</v>
      </c>
      <c r="L49" s="77">
        <f t="shared" si="25"/>
        <v>2.6339539777594929</v>
      </c>
      <c r="M49" s="70">
        <f t="shared" si="25"/>
        <v>-1.6765350817983169</v>
      </c>
      <c r="N49" s="77">
        <f t="shared" si="25"/>
        <v>2.1134529967649378</v>
      </c>
      <c r="O49" s="1"/>
      <c r="P49" s="21">
        <f>('Tuition-4Yr'!AG43/'Total E&amp;G-4yr'!AG43)*100</f>
        <v>35.50924521634591</v>
      </c>
      <c r="Q49" s="22">
        <f>('State Appropriations-4Yr'!AG43/'Total E&amp;G-4yr'!AG43)*100</f>
        <v>23.867272857632667</v>
      </c>
      <c r="R49" s="23">
        <f>IF((('Local Appropriations-4Yr'!AG43/'Total E&amp;G-4yr'!AG43)*100)=0,(('Local Appropriations-4Yr'!AG43/'Total E&amp;G-4yr'!AG43)*100),IF((('Local Appropriations-4Yr'!AG43/'Total E&amp;G-4yr'!AG43)*100)&gt;=0.005,(('Local Appropriations-4Yr'!AG43/'Total E&amp;G-4yr'!AG43)*100),"*"))</f>
        <v>1.6446306432628905</v>
      </c>
      <c r="S49" s="21">
        <f>('Fed Contracts Grnts-4Yr'!AG43/'Total E&amp;G-4yr'!AG43)*100</f>
        <v>15.526741298896876</v>
      </c>
      <c r="T49" s="23">
        <f>('Other Contract Grnts-4Yr'!AG43/'Total E&amp;G-4yr'!AG43)*100</f>
        <v>12.092723719943848</v>
      </c>
      <c r="U49" s="21">
        <f>(('All Other E&amp;G-4Yr'!AG43+'Investment Income-4Yr'!AG43)/('Total E&amp;G-4yr'!AG43))*100</f>
        <v>11.359386263917793</v>
      </c>
      <c r="W49" s="191">
        <f t="shared" si="26"/>
        <v>99.999999999999986</v>
      </c>
      <c r="X49" s="177">
        <f t="shared" si="27"/>
        <v>100.00000000000001</v>
      </c>
      <c r="Y49" s="94">
        <f t="shared" si="1"/>
        <v>25.511903500895556</v>
      </c>
      <c r="Z49" s="95">
        <f t="shared" si="2"/>
        <v>23.882085548944076</v>
      </c>
      <c r="AA49" s="94">
        <f t="shared" si="3"/>
        <v>27.619465018840724</v>
      </c>
      <c r="AB49" s="13">
        <f t="shared" si="4"/>
        <v>28.5768839148019</v>
      </c>
      <c r="AC49" s="193">
        <f t="shared" si="5"/>
        <v>100</v>
      </c>
      <c r="AD49" s="194">
        <f t="shared" si="6"/>
        <v>100.00000000000003</v>
      </c>
      <c r="AE49" s="13"/>
    </row>
    <row r="50" spans="1:31">
      <c r="A50" s="63" t="s">
        <v>57</v>
      </c>
      <c r="B50" s="63"/>
      <c r="C50" s="69">
        <f>('Tuition-4Yr'!AL44/'Total E&amp;G-4yr'!AL44)*100</f>
        <v>48.552132762861447</v>
      </c>
      <c r="D50" s="69">
        <f>('State Appropriations-4Yr'!AL44)/('Total E&amp;G-4yr'!AL44)*100</f>
        <v>11.907338853408026</v>
      </c>
      <c r="E50" s="136">
        <f>IF((('Local Appropriations-4Yr'!AL44/'Total E&amp;G-4yr'!AL44)*100)=0,(('Local Appropriations-4Yr'!AL44/'Total E&amp;G-4yr'!AL44)*100),IF((('Local Appropriations-4Yr'!AL44/'Total E&amp;G-4yr'!AL44)*100)&gt;=0.05,('Local Appropriations-4Yr'!AL44/'Total E&amp;G-4yr'!AL44)*100,"*"))</f>
        <v>0</v>
      </c>
      <c r="F50" s="69">
        <f>('Fed Contracts Grnts-4Yr'!AL44)/('Total E&amp;G-4yr'!AL44)*100</f>
        <v>19.094619714755382</v>
      </c>
      <c r="G50" s="69">
        <f>('Other Contract Grnts-4Yr'!AL44)/('Total E&amp;G-4yr'!AL44)*100</f>
        <v>8.2309160833244235</v>
      </c>
      <c r="H50" s="137">
        <f>('All Other E&amp;G-4Yr'!AL44+'Investment Income-4Yr'!AL44)/('Total E&amp;G-4yr'!AL44)*100</f>
        <v>12.214992585650721</v>
      </c>
      <c r="I50" s="69">
        <f t="shared" si="25"/>
        <v>1.1975183321012679</v>
      </c>
      <c r="J50" s="122">
        <f t="shared" si="25"/>
        <v>-2.3051713849780047</v>
      </c>
      <c r="K50" s="69">
        <f t="shared" si="25"/>
        <v>0</v>
      </c>
      <c r="L50" s="122">
        <f t="shared" si="25"/>
        <v>1.3839819582662578</v>
      </c>
      <c r="M50" s="69">
        <f t="shared" si="25"/>
        <v>-0.55290829833525379</v>
      </c>
      <c r="N50" s="76">
        <f t="shared" si="25"/>
        <v>0.27657939294572387</v>
      </c>
      <c r="O50" s="1"/>
      <c r="P50" s="21">
        <f>('Tuition-4Yr'!AG44/'Total E&amp;G-4yr'!AG44)*100</f>
        <v>47.354614430760179</v>
      </c>
      <c r="Q50" s="22">
        <f>('State Appropriations-4Yr'!AG44/'Total E&amp;G-4yr'!AG44)*100</f>
        <v>14.212510238386031</v>
      </c>
      <c r="R50" s="23">
        <f>IF((('Local Appropriations-4Yr'!AG44/'Total E&amp;G-4yr'!AG44)*100)=0,(('Local Appropriations-4Yr'!AG44/'Total E&amp;G-4yr'!AG44)*100),IF((('Local Appropriations-4Yr'!AG44/'Total E&amp;G-4yr'!AG44)*100)&gt;=0.005,(('Local Appropriations-4Yr'!AG44/'Total E&amp;G-4yr'!AG44)*100),"*"))</f>
        <v>0</v>
      </c>
      <c r="S50" s="21">
        <f>('Fed Contracts Grnts-4Yr'!AG44/'Total E&amp;G-4yr'!AG44)*100</f>
        <v>17.710637756489124</v>
      </c>
      <c r="T50" s="23">
        <f>('Other Contract Grnts-4Yr'!AG44/'Total E&amp;G-4yr'!AG44)*100</f>
        <v>8.7838243816596773</v>
      </c>
      <c r="U50" s="21">
        <f>(('All Other E&amp;G-4Yr'!AG44+'Investment Income-4Yr'!AG44)/('Total E&amp;G-4yr'!AG44))*100</f>
        <v>11.938413192704997</v>
      </c>
      <c r="W50" s="191">
        <f t="shared" si="26"/>
        <v>100.00000000000001</v>
      </c>
      <c r="X50" s="177">
        <f t="shared" si="27"/>
        <v>100</v>
      </c>
      <c r="Y50" s="94">
        <f t="shared" si="1"/>
        <v>14.212510238386031</v>
      </c>
      <c r="Z50" s="95">
        <f t="shared" si="2"/>
        <v>11.907338853408026</v>
      </c>
      <c r="AA50" s="94">
        <f t="shared" si="3"/>
        <v>26.494462138148801</v>
      </c>
      <c r="AB50" s="13">
        <f t="shared" si="4"/>
        <v>27.325535798079805</v>
      </c>
      <c r="AC50" s="193">
        <f t="shared" si="5"/>
        <v>100.00000000000001</v>
      </c>
      <c r="AD50" s="194">
        <f t="shared" si="6"/>
        <v>100</v>
      </c>
      <c r="AE50" s="13"/>
    </row>
    <row r="51" spans="1:31">
      <c r="A51" s="63" t="s">
        <v>58</v>
      </c>
      <c r="B51" s="63"/>
      <c r="C51" s="69">
        <f>('Tuition-4Yr'!AL45/'Total E&amp;G-4yr'!AL45)*100</f>
        <v>34.745501498576651</v>
      </c>
      <c r="D51" s="69">
        <f>('State Appropriations-4Yr'!AL45)/('Total E&amp;G-4yr'!AL45)*100</f>
        <v>21.571511626192017</v>
      </c>
      <c r="E51" s="136">
        <f>IF((('Local Appropriations-4Yr'!AL45/'Total E&amp;G-4yr'!AL45)*100)=0,(('Local Appropriations-4Yr'!AL45/'Total E&amp;G-4yr'!AL45)*100),IF((('Local Appropriations-4Yr'!AL45/'Total E&amp;G-4yr'!AL45)*100)&gt;=0.05,('Local Appropriations-4Yr'!AL45/'Total E&amp;G-4yr'!AL45)*100,"*"))</f>
        <v>0</v>
      </c>
      <c r="F51" s="69">
        <f>('Fed Contracts Grnts-4Yr'!AL45)/('Total E&amp;G-4yr'!AL45)*100</f>
        <v>14.629710296460734</v>
      </c>
      <c r="G51" s="69">
        <f>('Other Contract Grnts-4Yr'!AL45)/('Total E&amp;G-4yr'!AL45)*100</f>
        <v>21.67444532599534</v>
      </c>
      <c r="H51" s="137">
        <f>('All Other E&amp;G-4Yr'!AL45+'Investment Income-4Yr'!AL45)/('Total E&amp;G-4yr'!AL45)*100</f>
        <v>7.3788312527752478</v>
      </c>
      <c r="I51" s="69">
        <f t="shared" si="25"/>
        <v>-0.25496947838620088</v>
      </c>
      <c r="J51" s="76">
        <f t="shared" si="25"/>
        <v>-0.60304949540851283</v>
      </c>
      <c r="K51" s="69">
        <f t="shared" si="25"/>
        <v>0</v>
      </c>
      <c r="L51" s="76">
        <f t="shared" si="25"/>
        <v>-0.61401062408494944</v>
      </c>
      <c r="M51" s="69">
        <f t="shared" si="25"/>
        <v>2.1455059829122902</v>
      </c>
      <c r="N51" s="76">
        <f t="shared" si="25"/>
        <v>-0.67347638503263596</v>
      </c>
      <c r="O51" s="1"/>
      <c r="P51" s="21">
        <f>('Tuition-4Yr'!AG45/'Total E&amp;G-4yr'!AG45)*100</f>
        <v>35.000470976962852</v>
      </c>
      <c r="Q51" s="22">
        <f>('State Appropriations-4Yr'!AG45/'Total E&amp;G-4yr'!AG45)*100</f>
        <v>22.174561121600529</v>
      </c>
      <c r="R51" s="23">
        <f>IF((('Local Appropriations-4Yr'!AG45/'Total E&amp;G-4yr'!AG45)*100)=0,(('Local Appropriations-4Yr'!AG45/'Total E&amp;G-4yr'!AG45)*100),IF((('Local Appropriations-4Yr'!AG45/'Total E&amp;G-4yr'!AG45)*100)&gt;=0.005,(('Local Appropriations-4Yr'!AG45/'Total E&amp;G-4yr'!AG45)*100),"*"))</f>
        <v>0</v>
      </c>
      <c r="S51" s="21">
        <f>('Fed Contracts Grnts-4Yr'!AG45/'Total E&amp;G-4yr'!AG45)*100</f>
        <v>15.243720920545684</v>
      </c>
      <c r="T51" s="23">
        <f>('Other Contract Grnts-4Yr'!AG45/'Total E&amp;G-4yr'!AG45)*100</f>
        <v>19.528939343083049</v>
      </c>
      <c r="U51" s="21">
        <f>(('All Other E&amp;G-4Yr'!AG45+'Investment Income-4Yr'!AG45)/('Total E&amp;G-4yr'!AG45))*100</f>
        <v>8.0523076378078837</v>
      </c>
      <c r="W51" s="191">
        <f t="shared" si="26"/>
        <v>100</v>
      </c>
      <c r="X51" s="177">
        <f t="shared" si="27"/>
        <v>99.999999999999972</v>
      </c>
      <c r="Y51" s="94">
        <f t="shared" si="1"/>
        <v>22.174561121600529</v>
      </c>
      <c r="Z51" s="95">
        <f t="shared" si="2"/>
        <v>21.571511626192017</v>
      </c>
      <c r="AA51" s="94">
        <f t="shared" si="3"/>
        <v>34.772660263628737</v>
      </c>
      <c r="AB51" s="13">
        <f t="shared" si="4"/>
        <v>36.304155622456072</v>
      </c>
      <c r="AC51" s="193">
        <f t="shared" si="5"/>
        <v>100</v>
      </c>
      <c r="AD51" s="194">
        <f t="shared" si="6"/>
        <v>99.999999999999972</v>
      </c>
      <c r="AE51" s="13"/>
    </row>
    <row r="52" spans="1:31">
      <c r="A52" s="63" t="s">
        <v>59</v>
      </c>
      <c r="B52" s="63"/>
      <c r="C52" s="69">
        <f>('Tuition-4Yr'!AL46/'Total E&amp;G-4yr'!AL46)*100</f>
        <v>45.286453299937321</v>
      </c>
      <c r="D52" s="69">
        <f>('State Appropriations-4Yr'!AL46)/('Total E&amp;G-4yr'!AL46)*100</f>
        <v>20.229288539382058</v>
      </c>
      <c r="E52" s="136">
        <f>IF((('Local Appropriations-4Yr'!AL46/'Total E&amp;G-4yr'!AL46)*100)=0,(('Local Appropriations-4Yr'!AL46/'Total E&amp;G-4yr'!AL46)*100),IF((('Local Appropriations-4Yr'!AL46/'Total E&amp;G-4yr'!AL46)*100)&gt;=0.05,('Local Appropriations-4Yr'!AL46/'Total E&amp;G-4yr'!AL46)*100,"*"))</f>
        <v>0</v>
      </c>
      <c r="F52" s="69">
        <f>('Fed Contracts Grnts-4Yr'!AL46)/('Total E&amp;G-4yr'!AL46)*100</f>
        <v>15.009615558609116</v>
      </c>
      <c r="G52" s="69">
        <f>('Other Contract Grnts-4Yr'!AL46)/('Total E&amp;G-4yr'!AL46)*100</f>
        <v>10.089472930828554</v>
      </c>
      <c r="H52" s="137">
        <f>('All Other E&amp;G-4Yr'!AL46+'Investment Income-4Yr'!AL46)/('Total E&amp;G-4yr'!AL46)*100</f>
        <v>9.3851696712429344</v>
      </c>
      <c r="I52" s="69">
        <f t="shared" si="25"/>
        <v>-1.7991292407646426</v>
      </c>
      <c r="J52" s="76">
        <f t="shared" si="25"/>
        <v>-4.7102204240595249</v>
      </c>
      <c r="K52" s="69">
        <f t="shared" si="25"/>
        <v>0</v>
      </c>
      <c r="L52" s="76">
        <f t="shared" si="25"/>
        <v>2.9468987987659485</v>
      </c>
      <c r="M52" s="69">
        <f t="shared" si="25"/>
        <v>1.6311213086275345</v>
      </c>
      <c r="N52" s="76">
        <f t="shared" si="25"/>
        <v>1.9313295574306526</v>
      </c>
      <c r="O52" s="1"/>
      <c r="P52" s="21">
        <f>('Tuition-4Yr'!AG46/'Total E&amp;G-4yr'!AG46)*100</f>
        <v>47.085582540701964</v>
      </c>
      <c r="Q52" s="22">
        <f>('State Appropriations-4Yr'!AG46/'Total E&amp;G-4yr'!AG46)*100</f>
        <v>24.939508963441583</v>
      </c>
      <c r="R52" s="23">
        <f>IF((('Local Appropriations-4Yr'!AG46/'Total E&amp;G-4yr'!AG46)*100)=0,(('Local Appropriations-4Yr'!AG46/'Total E&amp;G-4yr'!AG46)*100),IF((('Local Appropriations-4Yr'!AG46/'Total E&amp;G-4yr'!AG46)*100)&gt;=0.005,(('Local Appropriations-4Yr'!AG46/'Total E&amp;G-4yr'!AG46)*100),"*"))</f>
        <v>0</v>
      </c>
      <c r="S52" s="21">
        <f>('Fed Contracts Grnts-4Yr'!AG46/'Total E&amp;G-4yr'!AG46)*100</f>
        <v>12.062716759843168</v>
      </c>
      <c r="T52" s="23">
        <f>('Other Contract Grnts-4Yr'!AG46/'Total E&amp;G-4yr'!AG46)*100</f>
        <v>8.45835162220102</v>
      </c>
      <c r="U52" s="21">
        <f>(('All Other E&amp;G-4Yr'!AG46+'Investment Income-4Yr'!AG46)/('Total E&amp;G-4yr'!AG46))*100</f>
        <v>7.4538401138122818</v>
      </c>
      <c r="W52" s="191">
        <f t="shared" si="26"/>
        <v>100.00000000000001</v>
      </c>
      <c r="X52" s="177">
        <f t="shared" si="27"/>
        <v>99.999999999999972</v>
      </c>
      <c r="Y52" s="94">
        <f t="shared" si="1"/>
        <v>24.939508963441583</v>
      </c>
      <c r="Z52" s="95">
        <f t="shared" si="2"/>
        <v>20.229288539382058</v>
      </c>
      <c r="AA52" s="94">
        <f t="shared" si="3"/>
        <v>20.521068382044188</v>
      </c>
      <c r="AB52" s="13">
        <f t="shared" si="4"/>
        <v>25.099088489437669</v>
      </c>
      <c r="AC52" s="193">
        <f t="shared" si="5"/>
        <v>100.00000000000003</v>
      </c>
      <c r="AD52" s="194">
        <f t="shared" si="6"/>
        <v>99.999999999999986</v>
      </c>
      <c r="AE52" s="13"/>
    </row>
    <row r="53" spans="1:31">
      <c r="A53" s="63" t="s">
        <v>60</v>
      </c>
      <c r="B53" s="63"/>
      <c r="C53" s="69">
        <f>('Tuition-4Yr'!AL47/'Total E&amp;G-4yr'!AL47)*100</f>
        <v>30.778599383101518</v>
      </c>
      <c r="D53" s="69">
        <f>('State Appropriations-4Yr'!AL47)/('Total E&amp;G-4yr'!AL47)*100</f>
        <v>28.289554512115739</v>
      </c>
      <c r="E53" s="136">
        <f>IF((('Local Appropriations-4Yr'!AL47/'Total E&amp;G-4yr'!AL47)*100)=0,(('Local Appropriations-4Yr'!AL47/'Total E&amp;G-4yr'!AL47)*100),IF((('Local Appropriations-4Yr'!AL47/'Total E&amp;G-4yr'!AL47)*100)&gt;=0.05,('Local Appropriations-4Yr'!AL47/'Total E&amp;G-4yr'!AL47)*100,"*"))</f>
        <v>0</v>
      </c>
      <c r="F53" s="69">
        <f>('Fed Contracts Grnts-4Yr'!AL47)/('Total E&amp;G-4yr'!AL47)*100</f>
        <v>16.892283346107593</v>
      </c>
      <c r="G53" s="69">
        <f>('Other Contract Grnts-4Yr'!AL47)/('Total E&amp;G-4yr'!AL47)*100</f>
        <v>18.014937284791699</v>
      </c>
      <c r="H53" s="137">
        <f>('All Other E&amp;G-4Yr'!AL47+'Investment Income-4Yr'!AL47)/('Total E&amp;G-4yr'!AL47)*100</f>
        <v>6.0246254738834581</v>
      </c>
      <c r="I53" s="69">
        <f t="shared" si="25"/>
        <v>5.1067645939931516</v>
      </c>
      <c r="J53" s="76">
        <f t="shared" si="25"/>
        <v>-0.931737634768524</v>
      </c>
      <c r="K53" s="69">
        <f t="shared" si="25"/>
        <v>0</v>
      </c>
      <c r="L53" s="76">
        <f t="shared" si="25"/>
        <v>3.6624574582466849</v>
      </c>
      <c r="M53" s="69">
        <f t="shared" si="25"/>
        <v>-1.3460660112885989</v>
      </c>
      <c r="N53" s="76">
        <f t="shared" si="25"/>
        <v>-6.4914184061827056</v>
      </c>
      <c r="O53" s="1"/>
      <c r="P53" s="21">
        <f>('Tuition-4Yr'!AG47/'Total E&amp;G-4yr'!AG47)*100</f>
        <v>25.671834789108367</v>
      </c>
      <c r="Q53" s="22">
        <f>('State Appropriations-4Yr'!AG47/'Total E&amp;G-4yr'!AG47)*100</f>
        <v>29.221292146884263</v>
      </c>
      <c r="R53" s="23">
        <f>IF((('Local Appropriations-4Yr'!AG47/'Total E&amp;G-4yr'!AG47)*100)=0,(('Local Appropriations-4Yr'!AG47/'Total E&amp;G-4yr'!AG47)*100),IF((('Local Appropriations-4Yr'!AG47/'Total E&amp;G-4yr'!AG47)*100)&gt;=0.005,(('Local Appropriations-4Yr'!AG47/'Total E&amp;G-4yr'!AG47)*100),"*"))</f>
        <v>0</v>
      </c>
      <c r="S53" s="21">
        <f>('Fed Contracts Grnts-4Yr'!AG47/'Total E&amp;G-4yr'!AG47)*100</f>
        <v>13.229825887860908</v>
      </c>
      <c r="T53" s="23">
        <f>('Other Contract Grnts-4Yr'!AG47/'Total E&amp;G-4yr'!AG47)*100</f>
        <v>19.361003296080298</v>
      </c>
      <c r="U53" s="21">
        <f>(('All Other E&amp;G-4Yr'!AG47+'Investment Income-4Yr'!AG47)/('Total E&amp;G-4yr'!AG47))*100</f>
        <v>12.516043880066164</v>
      </c>
      <c r="W53" s="191">
        <f t="shared" si="26"/>
        <v>100</v>
      </c>
      <c r="X53" s="177">
        <f t="shared" si="27"/>
        <v>100.00000000000001</v>
      </c>
      <c r="Y53" s="94">
        <f t="shared" si="1"/>
        <v>29.221292146884263</v>
      </c>
      <c r="Z53" s="95">
        <f t="shared" si="2"/>
        <v>28.289554512115739</v>
      </c>
      <c r="AA53" s="94">
        <f t="shared" si="3"/>
        <v>32.59082918394121</v>
      </c>
      <c r="AB53" s="13">
        <f t="shared" si="4"/>
        <v>34.907220630899289</v>
      </c>
      <c r="AC53" s="193">
        <f t="shared" si="5"/>
        <v>100</v>
      </c>
      <c r="AD53" s="194">
        <f t="shared" si="6"/>
        <v>100.00000000000001</v>
      </c>
      <c r="AE53" s="13"/>
    </row>
    <row r="54" spans="1:31">
      <c r="A54" s="64" t="s">
        <v>61</v>
      </c>
      <c r="B54" s="64"/>
      <c r="C54" s="70">
        <f>('Tuition-4Yr'!AL48/'Total E&amp;G-4yr'!AL48)*100</f>
        <v>36.822656062861753</v>
      </c>
      <c r="D54" s="70">
        <f>('State Appropriations-4Yr'!AL48)/('Total E&amp;G-4yr'!AL48)*100</f>
        <v>27.246150874947173</v>
      </c>
      <c r="E54" s="147">
        <f>IF((('Local Appropriations-4Yr'!AL48/'Total E&amp;G-4yr'!AL48)*100)=0,(('Local Appropriations-4Yr'!AL48/'Total E&amp;G-4yr'!AL48)*100),IF((('Local Appropriations-4Yr'!AL48/'Total E&amp;G-4yr'!AL48)*100)&gt;=0.05,('Local Appropriations-4Yr'!AL48/'Total E&amp;G-4yr'!AL48)*100,"*"))</f>
        <v>0.5568042631997846</v>
      </c>
      <c r="F54" s="70">
        <f>('Fed Contracts Grnts-4Yr'!AL48)/('Total E&amp;G-4yr'!AL48)*100</f>
        <v>15.397251174104884</v>
      </c>
      <c r="G54" s="70">
        <f>('Other Contract Grnts-4Yr'!AL48)/('Total E&amp;G-4yr'!AL48)*100</f>
        <v>9.8516835377791967</v>
      </c>
      <c r="H54" s="148">
        <f>('All Other E&amp;G-4Yr'!AL48+'Investment Income-4Yr'!AL48)/('Total E&amp;G-4yr'!AL48)*100</f>
        <v>10.125454087107213</v>
      </c>
      <c r="I54" s="70">
        <f t="shared" ref="I54:L58" si="28">IF((C54-P54)=0,(C54-P54),IF((C54-P54)&gt;=0.005,(C54-P54),IF((C54-P54&lt;=-0.005),(C54-P54),"**")))</f>
        <v>1.9378074408120725</v>
      </c>
      <c r="J54" s="77">
        <f t="shared" si="28"/>
        <v>-3.2589989167884745</v>
      </c>
      <c r="K54" s="70">
        <f t="shared" si="28"/>
        <v>-7.2597962434160945E-2</v>
      </c>
      <c r="L54" s="77">
        <f t="shared" si="28"/>
        <v>1.1693201171006784</v>
      </c>
      <c r="M54" s="124">
        <f>G54-T54</f>
        <v>1.9774234326182016</v>
      </c>
      <c r="N54" s="77">
        <f>IF((H54-U54)=0,(H54-U54),IF((H54-U54)&gt;=0.005,(H54-U54),IF((H54-U54&lt;=-0.005),(H54-U54),"**")))</f>
        <v>-1.7529541113083074</v>
      </c>
      <c r="O54" s="1"/>
      <c r="P54" s="21">
        <f>('Tuition-4Yr'!AG48/'Total E&amp;G-4yr'!AG48)*100</f>
        <v>34.884848622049681</v>
      </c>
      <c r="Q54" s="22">
        <f>('State Appropriations-4Yr'!AG48/'Total E&amp;G-4yr'!AG48)*100</f>
        <v>30.505149791735647</v>
      </c>
      <c r="R54" s="23">
        <f>IF((('Local Appropriations-4Yr'!AG48/'Total E&amp;G-4yr'!AG48)*100)=0,(('Local Appropriations-4Yr'!AG48/'Total E&amp;G-4yr'!AG48)*100),IF((('Local Appropriations-4Yr'!AG48/'Total E&amp;G-4yr'!AG48)*100)&gt;=0.005,(('Local Appropriations-4Yr'!AG48/'Total E&amp;G-4yr'!AG48)*100),"*"))</f>
        <v>0.62940222563394554</v>
      </c>
      <c r="S54" s="21">
        <f>('Fed Contracts Grnts-4Yr'!AG48/'Total E&amp;G-4yr'!AG48)*100</f>
        <v>14.227931057004206</v>
      </c>
      <c r="T54" s="23">
        <f>('Other Contract Grnts-4Yr'!AG48/'Total E&amp;G-4yr'!AG48)*100</f>
        <v>7.8742601051609951</v>
      </c>
      <c r="U54" s="21">
        <f>(('All Other E&amp;G-4Yr'!AG48+'Investment Income-4Yr'!AG48)/('Total E&amp;G-4yr'!AG48))*100</f>
        <v>11.878408198415521</v>
      </c>
      <c r="W54" s="191">
        <f t="shared" si="26"/>
        <v>99.999999999999972</v>
      </c>
      <c r="X54" s="177">
        <f t="shared" si="27"/>
        <v>100</v>
      </c>
      <c r="Y54" s="94">
        <f t="shared" si="1"/>
        <v>31.134552017369593</v>
      </c>
      <c r="Z54" s="95">
        <f t="shared" si="2"/>
        <v>27.802955138146956</v>
      </c>
      <c r="AA54" s="94">
        <f t="shared" si="3"/>
        <v>22.102191162165202</v>
      </c>
      <c r="AB54" s="13">
        <f t="shared" si="4"/>
        <v>25.248934711884083</v>
      </c>
      <c r="AC54" s="193">
        <f t="shared" si="5"/>
        <v>100</v>
      </c>
      <c r="AD54" s="194">
        <f t="shared" si="6"/>
        <v>100</v>
      </c>
      <c r="AE54" s="13"/>
    </row>
    <row r="55" spans="1:31">
      <c r="A55" s="64" t="s">
        <v>62</v>
      </c>
      <c r="B55" s="64"/>
      <c r="C55" s="70">
        <f>('Tuition-4Yr'!AL49/'Total E&amp;G-4yr'!AL49)*100</f>
        <v>43.777252357701009</v>
      </c>
      <c r="D55" s="70">
        <f>('State Appropriations-4Yr'!AL49)/('Total E&amp;G-4yr'!AL49)*100</f>
        <v>16.265335533379769</v>
      </c>
      <c r="E55" s="147">
        <f>IF((('Local Appropriations-4Yr'!AL49/'Total E&amp;G-4yr'!AL49)*100)=0,(('Local Appropriations-4Yr'!AL49/'Total E&amp;G-4yr'!AL49)*100),IF((('Local Appropriations-4Yr'!AL49/'Total E&amp;G-4yr'!AL49)*100)&gt;=0.05,('Local Appropriations-4Yr'!AL49/'Total E&amp;G-4yr'!AL49)*100,"*"))</f>
        <v>0</v>
      </c>
      <c r="F55" s="70">
        <f>('Fed Contracts Grnts-4Yr'!AL49)/('Total E&amp;G-4yr'!AL49)*100</f>
        <v>13.61997657820744</v>
      </c>
      <c r="G55" s="70">
        <f>('Other Contract Grnts-4Yr'!AL49)/('Total E&amp;G-4yr'!AL49)*100</f>
        <v>10.011582110287847</v>
      </c>
      <c r="H55" s="148">
        <f>('All Other E&amp;G-4Yr'!AL49+'Investment Income-4Yr'!AL49)/('Total E&amp;G-4yr'!AL49)*100</f>
        <v>16.325853420423954</v>
      </c>
      <c r="I55" s="70">
        <f t="shared" si="28"/>
        <v>-6.5236202413824813</v>
      </c>
      <c r="J55" s="77">
        <f t="shared" si="28"/>
        <v>-2.3422139973905693</v>
      </c>
      <c r="K55" s="70">
        <f t="shared" si="28"/>
        <v>0</v>
      </c>
      <c r="L55" s="77">
        <f t="shared" si="28"/>
        <v>1.4737598989804894</v>
      </c>
      <c r="M55" s="70">
        <f>IF((G55-T55)=0,(G55-T55),IF((G55-T55)&gt;=0.005,(G55-T55),IF((G55-T55&lt;=-0.005),(G55-T55),"**")))</f>
        <v>-1.8742109581447366</v>
      </c>
      <c r="N55" s="77">
        <f>IF((H55-U55)=0,(H55-U55),IF((H55-U55)&gt;=0.005,(H55-U55),IF((H55-U55&lt;=-0.005),(H55-U55),"**")))</f>
        <v>9.2662852979373298</v>
      </c>
      <c r="O55" s="1"/>
      <c r="P55" s="21">
        <f>('Tuition-4Yr'!AG49/'Total E&amp;G-4yr'!AG49)*100</f>
        <v>50.30087259908349</v>
      </c>
      <c r="Q55" s="22">
        <f>('State Appropriations-4Yr'!AG49/'Total E&amp;G-4yr'!AG49)*100</f>
        <v>18.607549530770338</v>
      </c>
      <c r="R55" s="23">
        <f>IF((('Local Appropriations-4Yr'!AG49/'Total E&amp;G-4yr'!AG49)*100)=0,(('Local Appropriations-4Yr'!AG49/'Total E&amp;G-4yr'!AG49)*100),IF((('Local Appropriations-4Yr'!AG49/'Total E&amp;G-4yr'!AG49)*100)&gt;=0.005,(('Local Appropriations-4Yr'!AG49/'Total E&amp;G-4yr'!AG49)*100),"*"))</f>
        <v>0</v>
      </c>
      <c r="S55" s="21">
        <f>('Fed Contracts Grnts-4Yr'!AG49/'Total E&amp;G-4yr'!AG49)*100</f>
        <v>12.146216679226951</v>
      </c>
      <c r="T55" s="23">
        <f>('Other Contract Grnts-4Yr'!AG49/'Total E&amp;G-4yr'!AG49)*100</f>
        <v>11.885793068432584</v>
      </c>
      <c r="U55" s="21">
        <f>(('All Other E&amp;G-4Yr'!AG49+'Investment Income-4Yr'!AG49)/('Total E&amp;G-4yr'!AG49))*100</f>
        <v>7.0595681224866231</v>
      </c>
      <c r="W55" s="191">
        <f t="shared" si="26"/>
        <v>99.999999999999986</v>
      </c>
      <c r="X55" s="177">
        <f t="shared" si="27"/>
        <v>100.00000000000001</v>
      </c>
      <c r="Y55" s="94">
        <f t="shared" si="1"/>
        <v>18.607549530770338</v>
      </c>
      <c r="Z55" s="95">
        <f t="shared" si="2"/>
        <v>16.265335533379769</v>
      </c>
      <c r="AA55" s="94">
        <f t="shared" si="3"/>
        <v>24.032009747659536</v>
      </c>
      <c r="AB55" s="13">
        <f t="shared" si="4"/>
        <v>23.631558688495289</v>
      </c>
      <c r="AC55" s="193">
        <f t="shared" si="5"/>
        <v>99.999999999999986</v>
      </c>
      <c r="AD55" s="194">
        <f t="shared" si="6"/>
        <v>100.00000000000003</v>
      </c>
      <c r="AE55" s="13"/>
    </row>
    <row r="56" spans="1:31">
      <c r="A56" s="64" t="s">
        <v>63</v>
      </c>
      <c r="B56" s="64"/>
      <c r="C56" s="70">
        <f>('Tuition-4Yr'!AL50/'Total E&amp;G-4yr'!AL50)*100</f>
        <v>36.064316250576212</v>
      </c>
      <c r="D56" s="70">
        <f>('State Appropriations-4Yr'!AL50)/('Total E&amp;G-4yr'!AL50)*100</f>
        <v>26.804311443734381</v>
      </c>
      <c r="E56" s="147">
        <f>IF((('Local Appropriations-4Yr'!AL50/'Total E&amp;G-4yr'!AL50)*100)=0,(('Local Appropriations-4Yr'!AL50/'Total E&amp;G-4yr'!AL50)*100),IF((('Local Appropriations-4Yr'!AL50/'Total E&amp;G-4yr'!AL50)*100)&gt;=0.05,('Local Appropriations-4Yr'!AL50/'Total E&amp;G-4yr'!AL50)*100,"*"))</f>
        <v>0</v>
      </c>
      <c r="F56" s="70">
        <f>('Fed Contracts Grnts-4Yr'!AL50)/('Total E&amp;G-4yr'!AL50)*100</f>
        <v>14.720554873991226</v>
      </c>
      <c r="G56" s="70">
        <f>('Other Contract Grnts-4Yr'!AL50)/('Total E&amp;G-4yr'!AL50)*100</f>
        <v>11.517089105301368</v>
      </c>
      <c r="H56" s="148">
        <f>('All Other E&amp;G-4Yr'!AL50+'Investment Income-4Yr'!AL50)/('Total E&amp;G-4yr'!AL50)*100</f>
        <v>10.893728326396811</v>
      </c>
      <c r="I56" s="70">
        <f t="shared" si="28"/>
        <v>-2.7197480007825874</v>
      </c>
      <c r="J56" s="77">
        <f t="shared" si="28"/>
        <v>0.19501181347365204</v>
      </c>
      <c r="K56" s="70">
        <f t="shared" si="28"/>
        <v>0</v>
      </c>
      <c r="L56" s="77">
        <f t="shared" si="28"/>
        <v>-1.0368177883375385</v>
      </c>
      <c r="M56" s="70">
        <f>IF((G56-T56)=0,(G56-T56),IF((G56-T56)&gt;=0.005,(G56-T56),IF((G56-T56&lt;=-0.005),(G56-T56),"**")))</f>
        <v>2.9337391069054277</v>
      </c>
      <c r="N56" s="77">
        <f>IF((H56-U56)=0,(H56-U56),IF((H56-U56)&gt;=0.005,(H56-U56),IF((H56-U56&lt;=-0.005),(H56-U56),"**")))</f>
        <v>0.6278148687410372</v>
      </c>
      <c r="O56" s="1"/>
      <c r="P56" s="21">
        <f>('Tuition-4Yr'!AG50/'Total E&amp;G-4yr'!AG50)*100</f>
        <v>38.784064251358799</v>
      </c>
      <c r="Q56" s="22">
        <f>('State Appropriations-4Yr'!AG50/'Total E&amp;G-4yr'!AG50)*100</f>
        <v>26.609299630260729</v>
      </c>
      <c r="R56" s="23">
        <f>IF((('Local Appropriations-4Yr'!AG50/'Total E&amp;G-4yr'!AG50)*100)=0,(('Local Appropriations-4Yr'!AG50/'Total E&amp;G-4yr'!AG50)*100),IF((('Local Appropriations-4Yr'!AG50/'Total E&amp;G-4yr'!AG50)*100)&gt;=0.005,(('Local Appropriations-4Yr'!AG50/'Total E&amp;G-4yr'!AG50)*100),"*"))</f>
        <v>0</v>
      </c>
      <c r="S56" s="21">
        <f>('Fed Contracts Grnts-4Yr'!AG50/'Total E&amp;G-4yr'!AG50)*100</f>
        <v>15.757372662328764</v>
      </c>
      <c r="T56" s="23">
        <f>('Other Contract Grnts-4Yr'!AG50/'Total E&amp;G-4yr'!AG50)*100</f>
        <v>8.5833499983959403</v>
      </c>
      <c r="U56" s="21">
        <f>(('All Other E&amp;G-4Yr'!AG50+'Investment Income-4Yr'!AG50)/('Total E&amp;G-4yr'!AG50))*100</f>
        <v>10.265913457655774</v>
      </c>
      <c r="W56" s="191">
        <f t="shared" si="26"/>
        <v>100.00000000000001</v>
      </c>
      <c r="X56" s="177">
        <f t="shared" si="27"/>
        <v>100</v>
      </c>
      <c r="Y56" s="94">
        <f t="shared" si="1"/>
        <v>26.609299630260729</v>
      </c>
      <c r="Z56" s="95">
        <f t="shared" si="2"/>
        <v>26.804311443734381</v>
      </c>
      <c r="AA56" s="94">
        <f t="shared" si="3"/>
        <v>24.340722660724705</v>
      </c>
      <c r="AB56" s="13">
        <f t="shared" si="4"/>
        <v>26.237643979292592</v>
      </c>
      <c r="AC56" s="193">
        <f t="shared" si="5"/>
        <v>100</v>
      </c>
      <c r="AD56" s="194">
        <f t="shared" si="6"/>
        <v>100</v>
      </c>
      <c r="AE56" s="13"/>
    </row>
    <row r="57" spans="1:31">
      <c r="A57" s="64" t="s">
        <v>64</v>
      </c>
      <c r="B57" s="145"/>
      <c r="C57" s="146">
        <f>('Tuition-4Yr'!AL51/'Total E&amp;G-4yr'!AL51)*100</f>
        <v>33.715437862089672</v>
      </c>
      <c r="D57" s="146">
        <f>('State Appropriations-4Yr'!AL51)/('Total E&amp;G-4yr'!AL51)*100</f>
        <v>16.568386519517698</v>
      </c>
      <c r="E57" s="149">
        <f>IF((('Local Appropriations-4Yr'!AL51/'Total E&amp;G-4yr'!AL51)*100)=0,(('Local Appropriations-4Yr'!AL51/'Total E&amp;G-4yr'!AL51)*100),IF((('Local Appropriations-4Yr'!AL51/'Total E&amp;G-4yr'!AL51)*100)&gt;=0.05,('Local Appropriations-4Yr'!AL51/'Total E&amp;G-4yr'!AL51)*100,"*"))</f>
        <v>0</v>
      </c>
      <c r="F57" s="146">
        <f>('Fed Contracts Grnts-4Yr'!AL51)/('Total E&amp;G-4yr'!AL51)*100</f>
        <v>17.448582772587688</v>
      </c>
      <c r="G57" s="146">
        <f>('Other Contract Grnts-4Yr'!AL51)/('Total E&amp;G-4yr'!AL51)*100</f>
        <v>15.746699833205588</v>
      </c>
      <c r="H57" s="150">
        <f>('All Other E&amp;G-4Yr'!AL51+'Investment Income-4Yr'!AL51)/('Total E&amp;G-4yr'!AL51)*100</f>
        <v>16.520893012599373</v>
      </c>
      <c r="I57" s="146">
        <f t="shared" si="28"/>
        <v>2.2311009503099122</v>
      </c>
      <c r="J57" s="77">
        <f t="shared" si="28"/>
        <v>-2.0067046600734386</v>
      </c>
      <c r="K57" s="70">
        <f t="shared" si="28"/>
        <v>0</v>
      </c>
      <c r="L57" s="77">
        <f t="shared" si="28"/>
        <v>0.65727034413784224</v>
      </c>
      <c r="M57" s="70">
        <f>IF((G57-T57)=0,(G57-T57),IF((G57-T57)&gt;=0.005,(G57-T57),IF((G57-T57&lt;=-0.005),(G57-T57),"**")))</f>
        <v>0.27467367304425672</v>
      </c>
      <c r="N57" s="77">
        <f>IF((H57-U57)=0,(H57-U57),IF((H57-U57)&gt;=0.005,(H57-U57),IF((H57-U57&lt;=-0.005),(H57-U57),"**")))</f>
        <v>-1.1563403074185494</v>
      </c>
      <c r="O57" s="1"/>
      <c r="P57" s="21">
        <f>('Tuition-4Yr'!AG51/'Total E&amp;G-4yr'!AG51)*100</f>
        <v>31.48433691177976</v>
      </c>
      <c r="Q57" s="22">
        <f>('State Appropriations-4Yr'!AG51/'Total E&amp;G-4yr'!AG51)*100</f>
        <v>18.575091179591137</v>
      </c>
      <c r="R57" s="23">
        <f>IF((('Local Appropriations-4Yr'!AG51/'Total E&amp;G-4yr'!AG51)*100)=0,(('Local Appropriations-4Yr'!AG51/'Total E&amp;G-4yr'!AG51)*100),IF((('Local Appropriations-4Yr'!AG51/'Total E&amp;G-4yr'!AG51)*100)&gt;=0.005,(('Local Appropriations-4Yr'!AG51/'Total E&amp;G-4yr'!AG51)*100),"*"))</f>
        <v>0</v>
      </c>
      <c r="S57" s="21">
        <f>('Fed Contracts Grnts-4Yr'!AG51/'Total E&amp;G-4yr'!AG51)*100</f>
        <v>16.791312428449846</v>
      </c>
      <c r="T57" s="23">
        <f>('Other Contract Grnts-4Yr'!AG51/'Total E&amp;G-4yr'!AG51)*100</f>
        <v>15.472026160161331</v>
      </c>
      <c r="U57" s="21">
        <f>(('All Other E&amp;G-4Yr'!AG51+'Investment Income-4Yr'!AG51)/('Total E&amp;G-4yr'!AG51))*100</f>
        <v>17.677233320017923</v>
      </c>
      <c r="W57" s="191">
        <f t="shared" si="26"/>
        <v>100</v>
      </c>
      <c r="X57" s="177">
        <f t="shared" si="27"/>
        <v>100.00000000000001</v>
      </c>
      <c r="Y57" s="94">
        <f t="shared" si="1"/>
        <v>18.575091179591137</v>
      </c>
      <c r="Z57" s="95">
        <f t="shared" si="2"/>
        <v>16.568386519517698</v>
      </c>
      <c r="AA57" s="94">
        <f t="shared" si="3"/>
        <v>32.263338588611177</v>
      </c>
      <c r="AB57" s="13">
        <f t="shared" si="4"/>
        <v>33.195282605793274</v>
      </c>
      <c r="AC57" s="193">
        <f t="shared" si="5"/>
        <v>100</v>
      </c>
      <c r="AD57" s="194">
        <f t="shared" si="6"/>
        <v>100.00000000000001</v>
      </c>
      <c r="AE57" s="13"/>
    </row>
    <row r="58" spans="1:31">
      <c r="A58" s="66" t="s">
        <v>65</v>
      </c>
      <c r="B58" s="63"/>
      <c r="C58" s="69">
        <f>('Tuition-4Yr'!AL52/'Total E&amp;G-4yr'!AL52)*100</f>
        <v>39.308516553374545</v>
      </c>
      <c r="D58" s="69">
        <f>('State Appropriations-4Yr'!AL52)/('Total E&amp;G-4yr'!AL52)*100</f>
        <v>28.552638964310606</v>
      </c>
      <c r="E58" s="136">
        <f>IF((('Local Appropriations-4Yr'!AL52/'Total E&amp;G-4yr'!AL52)*100)=0,(('Local Appropriations-4Yr'!AL52/'Total E&amp;G-4yr'!AL52)*100),IF((('Local Appropriations-4Yr'!AL52/'Total E&amp;G-4yr'!AL52)*100)&gt;=0.05,('Local Appropriations-4Yr'!AL52/'Total E&amp;G-4yr'!AL52)*100,"*"))</f>
        <v>0.50916750565437696</v>
      </c>
      <c r="F58" s="69">
        <f>('Fed Contracts Grnts-4Yr'!AL52)/('Total E&amp;G-4yr'!AL52)*100</f>
        <v>14.162795118903638</v>
      </c>
      <c r="G58" s="69">
        <f>('Other Contract Grnts-4Yr'!AL52)/('Total E&amp;G-4yr'!AL52)*100</f>
        <v>10.690677194735375</v>
      </c>
      <c r="H58" s="137">
        <f>('All Other E&amp;G-4Yr'!AL52+'Investment Income-4Yr'!AL52)/('Total E&amp;G-4yr'!AL52)*100</f>
        <v>6.7762046630214554</v>
      </c>
      <c r="I58" s="69">
        <f t="shared" si="28"/>
        <v>-1.0984982602574433</v>
      </c>
      <c r="J58" s="79">
        <f t="shared" si="28"/>
        <v>-1.3273878471860137</v>
      </c>
      <c r="K58" s="73">
        <f t="shared" si="28"/>
        <v>0.13731557528025107</v>
      </c>
      <c r="L58" s="79">
        <f t="shared" si="28"/>
        <v>1.5655533543277453</v>
      </c>
      <c r="M58" s="73">
        <f>IF((G58-T58)=0,(G58-T58),IF((G58-T58)&gt;=0.005,(G58-T58),IF((G58-T58&lt;=-0.005),(G58-T58),"**")))</f>
        <v>0.40734832808171362</v>
      </c>
      <c r="N58" s="79">
        <f>IF((H58-U58)=0,(H58-U58),IF((H58-U58)&gt;=0.005,(H58-U58),IF((H58-U58&lt;=-0.005),(H58-U58),"**")))</f>
        <v>0.31566884975374165</v>
      </c>
      <c r="O58" s="1"/>
      <c r="P58" s="21">
        <f>('Tuition-4Yr'!AG52/'Total E&amp;G-4yr'!AG52)*100</f>
        <v>40.407014813631989</v>
      </c>
      <c r="Q58" s="22">
        <f>('State Appropriations-4Yr'!AG52/'Total E&amp;G-4yr'!AG52)*100</f>
        <v>29.88002681149662</v>
      </c>
      <c r="R58" s="23">
        <f>IF((('Local Appropriations-4Yr'!AG52/'Total E&amp;G-4yr'!AG52)*100)=0,(('Local Appropriations-4Yr'!AG52/'Total E&amp;G-4yr'!AG52)*100),IF((('Local Appropriations-4Yr'!AG52/'Total E&amp;G-4yr'!AG52)*100)&gt;=0.005,(('Local Appropriations-4Yr'!AG52/'Total E&amp;G-4yr'!AG52)*100),"*"))</f>
        <v>0.37185193037412589</v>
      </c>
      <c r="S58" s="21">
        <f>('Fed Contracts Grnts-4Yr'!AG52/'Total E&amp;G-4yr'!AG52)*100</f>
        <v>12.597241764575893</v>
      </c>
      <c r="T58" s="23">
        <f>('Other Contract Grnts-4Yr'!AG52/'Total E&amp;G-4yr'!AG52)*100</f>
        <v>10.283328866653662</v>
      </c>
      <c r="U58" s="21">
        <f>(('All Other E&amp;G-4Yr'!AG52+'Investment Income-4Yr'!AG52)/('Total E&amp;G-4yr'!AG52))*100</f>
        <v>6.4605358132677138</v>
      </c>
      <c r="W58" s="191">
        <f t="shared" si="26"/>
        <v>100</v>
      </c>
      <c r="X58" s="177">
        <f t="shared" si="27"/>
        <v>99.999999999999986</v>
      </c>
      <c r="Y58" s="94">
        <f t="shared" si="1"/>
        <v>30.251878741870748</v>
      </c>
      <c r="Z58" s="95">
        <f t="shared" si="2"/>
        <v>29.061806469964985</v>
      </c>
      <c r="AA58" s="94">
        <f t="shared" si="3"/>
        <v>22.880570631229553</v>
      </c>
      <c r="AB58" s="13">
        <f t="shared" si="4"/>
        <v>24.853472313639013</v>
      </c>
      <c r="AC58" s="193">
        <f t="shared" si="5"/>
        <v>100</v>
      </c>
      <c r="AD58" s="194">
        <f t="shared" si="6"/>
        <v>100</v>
      </c>
      <c r="AE58" s="13"/>
    </row>
    <row r="59" spans="1:31">
      <c r="A59" s="63"/>
      <c r="B59" s="63"/>
      <c r="C59" s="69"/>
      <c r="D59" s="69"/>
      <c r="E59" s="136"/>
      <c r="F59" s="69"/>
      <c r="G59" s="69"/>
      <c r="H59" s="137"/>
      <c r="I59" s="69"/>
      <c r="J59" s="76"/>
      <c r="K59" s="69"/>
      <c r="L59" s="76"/>
      <c r="M59" s="69"/>
      <c r="N59" s="76"/>
      <c r="O59" s="1"/>
      <c r="P59" s="21"/>
      <c r="Q59" s="22"/>
      <c r="R59" s="23"/>
      <c r="S59" s="21"/>
      <c r="T59" s="23"/>
      <c r="U59" s="21"/>
      <c r="W59" s="191"/>
      <c r="X59" s="177"/>
      <c r="Y59" s="94"/>
      <c r="Z59" s="95"/>
      <c r="AA59" s="94"/>
      <c r="AB59" s="13"/>
      <c r="AC59" s="193"/>
      <c r="AD59" s="194"/>
      <c r="AE59" s="13"/>
    </row>
    <row r="60" spans="1:31">
      <c r="A60" s="64" t="s">
        <v>66</v>
      </c>
      <c r="B60" s="64"/>
      <c r="C60" s="70">
        <f>('Tuition-4Yr'!AL54/'Total E&amp;G-4yr'!AL54)*100</f>
        <v>38.994456039343369</v>
      </c>
      <c r="D60" s="70">
        <f>('State Appropriations-4Yr'!AL54)/('Total E&amp;G-4yr'!AL54)*100</f>
        <v>35.202058824106395</v>
      </c>
      <c r="E60" s="147">
        <f>IF((('Local Appropriations-4Yr'!AL54/'Total E&amp;G-4yr'!AL54)*100)=0,(('Local Appropriations-4Yr'!AL54/'Total E&amp;G-4yr'!AL54)*100),IF((('Local Appropriations-4Yr'!AL54/'Total E&amp;G-4yr'!AL54)*100)&gt;=0.05,('Local Appropriations-4Yr'!AL54/'Total E&amp;G-4yr'!AL54)*100,"*"))</f>
        <v>0</v>
      </c>
      <c r="F60" s="70">
        <f>('Fed Contracts Grnts-4Yr'!AL54)/('Total E&amp;G-4yr'!AL54)*100</f>
        <v>11.620914280492336</v>
      </c>
      <c r="G60" s="70">
        <f>('Other Contract Grnts-4Yr'!AL54)/('Total E&amp;G-4yr'!AL54)*100</f>
        <v>4.8493213112433446</v>
      </c>
      <c r="H60" s="148">
        <f>('All Other E&amp;G-4Yr'!AL54+'Investment Income-4Yr'!AL54)/('Total E&amp;G-4yr'!AL54)*100</f>
        <v>9.3332495448145529</v>
      </c>
      <c r="I60" s="70">
        <f t="shared" ref="I60:I69" si="29">IF((C60-P60)=0,(C60-P60),IF((C60-P60)&gt;=0.005,(C60-P60),IF((C60-P60&lt;=-0.005),(C60-P60),"**")))</f>
        <v>4.3492723467162904</v>
      </c>
      <c r="J60" s="77">
        <f t="shared" ref="J60:J69" si="30">IF((D60-Q60)=0,(D60-Q60),IF((D60-Q60)&gt;=0.005,(D60-Q60),IF((D60-Q60&lt;=-0.005),(D60-Q60),"**")))</f>
        <v>-5.3448537793537128</v>
      </c>
      <c r="K60" s="70">
        <f t="shared" ref="K60:K69" si="31">IF((E60-R60)=0,(E60-R60),IF((E60-R60)&gt;=0.005,(E60-R60),IF((E60-R60&lt;=-0.005),(E60-R60),"**")))</f>
        <v>0</v>
      </c>
      <c r="L60" s="77">
        <f t="shared" ref="L60:L69" si="32">IF((F60-S60)=0,(F60-S60),IF((F60-S60)&gt;=0.005,(F60-S60),IF((F60-S60&lt;=-0.005),(F60-S60),"**")))</f>
        <v>1.7731634868085084</v>
      </c>
      <c r="M60" s="70">
        <f t="shared" ref="M60:M69" si="33">IF((G60-T60)=0,(G60-T60),IF((G60-T60)&gt;=0.005,(G60-T60),IF((G60-T60&lt;=-0.005),(G60-T60),"**")))</f>
        <v>-1.2049130641997809</v>
      </c>
      <c r="N60" s="77">
        <f t="shared" ref="N60:N69" si="34">IF((H60-U60)=0,(H60-U60),IF((H60-U60)&gt;=0.005,(H60-U60),IF((H60-U60&lt;=-0.005),(H60-U60),"**")))</f>
        <v>0.42733101002869311</v>
      </c>
      <c r="O60" s="1"/>
      <c r="P60" s="21">
        <f>('Tuition-4Yr'!AG54/'Total E&amp;G-4yr'!AG54)*100</f>
        <v>34.645183692627079</v>
      </c>
      <c r="Q60" s="22">
        <f>('State Appropriations-4Yr'!AG54/'Total E&amp;G-4yr'!AG54)*100</f>
        <v>40.546912603460108</v>
      </c>
      <c r="R60" s="23">
        <f>IF((('Local Appropriations-4Yr'!AG54/'Total E&amp;G-4yr'!AG54)*100)=0,(('Local Appropriations-4Yr'!AG54/'Total E&amp;G-4yr'!AG54)*100),IF((('Local Appropriations-4Yr'!AG54/'Total E&amp;G-4yr'!AG54)*100)&gt;=0.005,(('Local Appropriations-4Yr'!AG54/'Total E&amp;G-4yr'!AG54)*100),"*"))</f>
        <v>0</v>
      </c>
      <c r="S60" s="21">
        <f>('Fed Contracts Grnts-4Yr'!AG54/'Total E&amp;G-4yr'!AG54)*100</f>
        <v>9.8477507936838276</v>
      </c>
      <c r="T60" s="23">
        <f>('Other Contract Grnts-4Yr'!AG54/'Total E&amp;G-4yr'!AG54)*100</f>
        <v>6.0542343754431256</v>
      </c>
      <c r="U60" s="21">
        <f>(('All Other E&amp;G-4Yr'!AG54+'Investment Income-4Yr'!AG54)/('Total E&amp;G-4yr'!AG54))*100</f>
        <v>8.9059185347858598</v>
      </c>
      <c r="W60" s="191">
        <f t="shared" ref="W60:W69" si="35">SUM(P60:U60)</f>
        <v>100</v>
      </c>
      <c r="X60" s="177">
        <f t="shared" ref="X60:X69" si="36">SUM(C60:H60)</f>
        <v>99.999999999999986</v>
      </c>
      <c r="Y60" s="94">
        <f t="shared" si="1"/>
        <v>40.546912603460108</v>
      </c>
      <c r="Z60" s="95">
        <f t="shared" si="2"/>
        <v>35.202058824106395</v>
      </c>
      <c r="AA60" s="94">
        <f t="shared" si="3"/>
        <v>15.901985169126952</v>
      </c>
      <c r="AB60" s="13">
        <f t="shared" si="4"/>
        <v>16.47023559173568</v>
      </c>
      <c r="AC60" s="193">
        <f t="shared" si="5"/>
        <v>100</v>
      </c>
      <c r="AD60" s="194">
        <f t="shared" si="6"/>
        <v>100</v>
      </c>
      <c r="AE60" s="13"/>
    </row>
    <row r="61" spans="1:31">
      <c r="A61" s="64" t="s">
        <v>67</v>
      </c>
      <c r="B61" s="64"/>
      <c r="C61" s="70">
        <f>('Tuition-4Yr'!AL55/'Total E&amp;G-4yr'!AL55)*100</f>
        <v>42.949755100943761</v>
      </c>
      <c r="D61" s="70">
        <f>('State Appropriations-4Yr'!AL55)/('Total E&amp;G-4yr'!AL55)*100</f>
        <v>27.175589139913285</v>
      </c>
      <c r="E61" s="147">
        <f>IF((('Local Appropriations-4Yr'!AL55/'Total E&amp;G-4yr'!AL55)*100)=0,(('Local Appropriations-4Yr'!AL55/'Total E&amp;G-4yr'!AL55)*100),IF((('Local Appropriations-4Yr'!AL55/'Total E&amp;G-4yr'!AL55)*100)&gt;=0.05,('Local Appropriations-4Yr'!AL55/'Total E&amp;G-4yr'!AL55)*100,"*"))</f>
        <v>0</v>
      </c>
      <c r="F61" s="70">
        <f>('Fed Contracts Grnts-4Yr'!AL55)/('Total E&amp;G-4yr'!AL55)*100</f>
        <v>14.10696632674607</v>
      </c>
      <c r="G61" s="70">
        <f>('Other Contract Grnts-4Yr'!AL55)/('Total E&amp;G-4yr'!AL55)*100</f>
        <v>8.0643591877612586</v>
      </c>
      <c r="H61" s="148">
        <f>('All Other E&amp;G-4Yr'!AL55+'Investment Income-4Yr'!AL55)/('Total E&amp;G-4yr'!AL55)*100</f>
        <v>7.7033302446356355</v>
      </c>
      <c r="I61" s="70">
        <f t="shared" si="29"/>
        <v>0.44268051276412024</v>
      </c>
      <c r="J61" s="77">
        <f t="shared" si="30"/>
        <v>-0.33103907747578631</v>
      </c>
      <c r="K61" s="70">
        <f t="shared" si="31"/>
        <v>0</v>
      </c>
      <c r="L61" s="77">
        <f t="shared" si="32"/>
        <v>0.17853886425374554</v>
      </c>
      <c r="M61" s="70">
        <f t="shared" si="33"/>
        <v>0.19997054874508535</v>
      </c>
      <c r="N61" s="77">
        <f t="shared" si="34"/>
        <v>-0.49015084828714706</v>
      </c>
      <c r="O61" s="1"/>
      <c r="P61" s="21">
        <f>('Tuition-4Yr'!AG55/'Total E&amp;G-4yr'!AG55)*100</f>
        <v>42.507074588179641</v>
      </c>
      <c r="Q61" s="22">
        <f>('State Appropriations-4Yr'!AG55/'Total E&amp;G-4yr'!AG55)*100</f>
        <v>27.506628217389071</v>
      </c>
      <c r="R61" s="23">
        <f>IF((('Local Appropriations-4Yr'!AG55/'Total E&amp;G-4yr'!AG55)*100)=0,(('Local Appropriations-4Yr'!AG55/'Total E&amp;G-4yr'!AG55)*100),IF((('Local Appropriations-4Yr'!AG55/'Total E&amp;G-4yr'!AG55)*100)&gt;=0.005,(('Local Appropriations-4Yr'!AG55/'Total E&amp;G-4yr'!AG55)*100),"*"))</f>
        <v>0</v>
      </c>
      <c r="S61" s="21">
        <f>('Fed Contracts Grnts-4Yr'!AG55/'Total E&amp;G-4yr'!AG55)*100</f>
        <v>13.928427462492325</v>
      </c>
      <c r="T61" s="23">
        <f>('Other Contract Grnts-4Yr'!AG55/'Total E&amp;G-4yr'!AG55)*100</f>
        <v>7.8643886390161732</v>
      </c>
      <c r="U61" s="21">
        <f>(('All Other E&amp;G-4Yr'!AG55+'Investment Income-4Yr'!AG55)/('Total E&amp;G-4yr'!AG55))*100</f>
        <v>8.1934810929227826</v>
      </c>
      <c r="W61" s="191">
        <f t="shared" si="35"/>
        <v>99.999999999999986</v>
      </c>
      <c r="X61" s="177">
        <f t="shared" si="36"/>
        <v>100.00000000000001</v>
      </c>
      <c r="Y61" s="94">
        <f t="shared" si="1"/>
        <v>27.506628217389071</v>
      </c>
      <c r="Z61" s="95">
        <f t="shared" si="2"/>
        <v>27.175589139913285</v>
      </c>
      <c r="AA61" s="94">
        <f t="shared" si="3"/>
        <v>21.7928161015085</v>
      </c>
      <c r="AB61" s="13">
        <f t="shared" si="4"/>
        <v>22.17132551450733</v>
      </c>
      <c r="AC61" s="193">
        <f t="shared" si="5"/>
        <v>100</v>
      </c>
      <c r="AD61" s="194">
        <f t="shared" si="6"/>
        <v>100.00000000000001</v>
      </c>
      <c r="AE61" s="13"/>
    </row>
    <row r="62" spans="1:31">
      <c r="A62" s="64" t="s">
        <v>68</v>
      </c>
      <c r="B62" s="64"/>
      <c r="C62" s="70">
        <f>('Tuition-4Yr'!AL56/'Total E&amp;G-4yr'!AL56)*100</f>
        <v>40.098562066147011</v>
      </c>
      <c r="D62" s="70">
        <f>('State Appropriations-4Yr'!AL56)/('Total E&amp;G-4yr'!AL56)*100</f>
        <v>27.3466602633126</v>
      </c>
      <c r="E62" s="147">
        <f>IF((('Local Appropriations-4Yr'!AL56/'Total E&amp;G-4yr'!AL56)*100)=0,(('Local Appropriations-4Yr'!AL56/'Total E&amp;G-4yr'!AL56)*100),IF((('Local Appropriations-4Yr'!AL56/'Total E&amp;G-4yr'!AL56)*100)&gt;=0.05,('Local Appropriations-4Yr'!AL56/'Total E&amp;G-4yr'!AL56)*100,"*"))</f>
        <v>0</v>
      </c>
      <c r="F62" s="70">
        <f>('Fed Contracts Grnts-4Yr'!AL56)/('Total E&amp;G-4yr'!AL56)*100</f>
        <v>12.816969642320078</v>
      </c>
      <c r="G62" s="70">
        <f>('Other Contract Grnts-4Yr'!AL56)/('Total E&amp;G-4yr'!AL56)*100</f>
        <v>7.0171740503984603</v>
      </c>
      <c r="H62" s="148">
        <f>('All Other E&amp;G-4Yr'!AL56+'Investment Income-4Yr'!AL56)/('Total E&amp;G-4yr'!AL56)*100</f>
        <v>12.720633977821864</v>
      </c>
      <c r="I62" s="70">
        <f t="shared" si="29"/>
        <v>0.99910877073777016</v>
      </c>
      <c r="J62" s="77">
        <f t="shared" si="30"/>
        <v>1.1635888805436245</v>
      </c>
      <c r="K62" s="70">
        <f t="shared" si="31"/>
        <v>0</v>
      </c>
      <c r="L62" s="77">
        <f t="shared" si="32"/>
        <v>-0.25360333421801862</v>
      </c>
      <c r="M62" s="70">
        <f t="shared" si="33"/>
        <v>-2.1737081157911398E-2</v>
      </c>
      <c r="N62" s="77">
        <f t="shared" si="34"/>
        <v>-1.8873572359054478</v>
      </c>
      <c r="O62" s="1"/>
      <c r="P62" s="21">
        <f>('Tuition-4Yr'!AG56/'Total E&amp;G-4yr'!AG56)*100</f>
        <v>39.099453295409241</v>
      </c>
      <c r="Q62" s="22">
        <f>('State Appropriations-4Yr'!AG56/'Total E&amp;G-4yr'!AG56)*100</f>
        <v>26.183071382768976</v>
      </c>
      <c r="R62" s="23">
        <f>IF((('Local Appropriations-4Yr'!AG56/'Total E&amp;G-4yr'!AG56)*100)=0,(('Local Appropriations-4Yr'!AG56/'Total E&amp;G-4yr'!AG56)*100),IF((('Local Appropriations-4Yr'!AG56/'Total E&amp;G-4yr'!AG56)*100)&gt;=0.005,(('Local Appropriations-4Yr'!AG56/'Total E&amp;G-4yr'!AG56)*100),"*"))</f>
        <v>0</v>
      </c>
      <c r="S62" s="21">
        <f>('Fed Contracts Grnts-4Yr'!AG56/'Total E&amp;G-4yr'!AG56)*100</f>
        <v>13.070572976538097</v>
      </c>
      <c r="T62" s="23">
        <f>('Other Contract Grnts-4Yr'!AG56/'Total E&amp;G-4yr'!AG56)*100</f>
        <v>7.0389111315563717</v>
      </c>
      <c r="U62" s="21">
        <f>(('All Other E&amp;G-4Yr'!AG56+'Investment Income-4Yr'!AG56)/('Total E&amp;G-4yr'!AG56))*100</f>
        <v>14.607991213727312</v>
      </c>
      <c r="W62" s="191">
        <f t="shared" si="35"/>
        <v>100.00000000000001</v>
      </c>
      <c r="X62" s="177">
        <f t="shared" si="36"/>
        <v>100.00000000000001</v>
      </c>
      <c r="Y62" s="94">
        <f t="shared" si="1"/>
        <v>26.183071382768976</v>
      </c>
      <c r="Z62" s="95">
        <f t="shared" si="2"/>
        <v>27.3466602633126</v>
      </c>
      <c r="AA62" s="94">
        <f t="shared" si="3"/>
        <v>20.10948410809447</v>
      </c>
      <c r="AB62" s="13">
        <f t="shared" si="4"/>
        <v>19.834143692718538</v>
      </c>
      <c r="AC62" s="193">
        <f t="shared" si="5"/>
        <v>100</v>
      </c>
      <c r="AD62" s="194">
        <f t="shared" si="6"/>
        <v>100.00000000000001</v>
      </c>
      <c r="AE62" s="13"/>
    </row>
    <row r="63" spans="1:31">
      <c r="A63" s="64" t="s">
        <v>69</v>
      </c>
      <c r="B63" s="64"/>
      <c r="C63" s="70">
        <f>('Tuition-4Yr'!AL57/'Total E&amp;G-4yr'!AL57)*100</f>
        <v>62.539858617501856</v>
      </c>
      <c r="D63" s="70">
        <f>('State Appropriations-4Yr'!AL57)/('Total E&amp;G-4yr'!AL57)*100</f>
        <v>10.299648951824603</v>
      </c>
      <c r="E63" s="147">
        <f>IF((('Local Appropriations-4Yr'!AL57/'Total E&amp;G-4yr'!AL57)*100)=0,(('Local Appropriations-4Yr'!AL57/'Total E&amp;G-4yr'!AL57)*100),IF((('Local Appropriations-4Yr'!AL57/'Total E&amp;G-4yr'!AL57)*100)&gt;=0.05,('Local Appropriations-4Yr'!AL57/'Total E&amp;G-4yr'!AL57)*100,"*"))</f>
        <v>0</v>
      </c>
      <c r="F63" s="70">
        <f>('Fed Contracts Grnts-4Yr'!AL57)/('Total E&amp;G-4yr'!AL57)*100</f>
        <v>13.854091534943795</v>
      </c>
      <c r="G63" s="70">
        <f>('Other Contract Grnts-4Yr'!AL57)/('Total E&amp;G-4yr'!AL57)*100</f>
        <v>8.3387108342597607</v>
      </c>
      <c r="H63" s="148">
        <f>('All Other E&amp;G-4Yr'!AL57+'Investment Income-4Yr'!AL57)/('Total E&amp;G-4yr'!AL57)*100</f>
        <v>4.967690061469991</v>
      </c>
      <c r="I63" s="70">
        <f t="shared" si="29"/>
        <v>1.739009742280885</v>
      </c>
      <c r="J63" s="77">
        <f t="shared" si="30"/>
        <v>-0.29696625641399521</v>
      </c>
      <c r="K63" s="70">
        <f t="shared" si="31"/>
        <v>0</v>
      </c>
      <c r="L63" s="77">
        <f t="shared" si="32"/>
        <v>0.67821897596077996</v>
      </c>
      <c r="M63" s="70">
        <f t="shared" si="33"/>
        <v>0.63862924163088231</v>
      </c>
      <c r="N63" s="77">
        <f t="shared" si="34"/>
        <v>-2.7588917034585423</v>
      </c>
      <c r="O63" s="1"/>
      <c r="P63" s="21">
        <f>('Tuition-4Yr'!AG57/'Total E&amp;G-4yr'!AG57)*100</f>
        <v>60.800848875220971</v>
      </c>
      <c r="Q63" s="22">
        <f>('State Appropriations-4Yr'!AG57/'Total E&amp;G-4yr'!AG57)*100</f>
        <v>10.596615208238598</v>
      </c>
      <c r="R63" s="23">
        <f>IF((('Local Appropriations-4Yr'!AG57/'Total E&amp;G-4yr'!AG57)*100)=0,(('Local Appropriations-4Yr'!AG57/'Total E&amp;G-4yr'!AG57)*100),IF((('Local Appropriations-4Yr'!AG57/'Total E&amp;G-4yr'!AG57)*100)&gt;=0.005,(('Local Appropriations-4Yr'!AG57/'Total E&amp;G-4yr'!AG57)*100),"*"))</f>
        <v>0</v>
      </c>
      <c r="S63" s="21">
        <f>('Fed Contracts Grnts-4Yr'!AG57/'Total E&amp;G-4yr'!AG57)*100</f>
        <v>13.175872558983015</v>
      </c>
      <c r="T63" s="23">
        <f>('Other Contract Grnts-4Yr'!AG57/'Total E&amp;G-4yr'!AG57)*100</f>
        <v>7.7000815926288784</v>
      </c>
      <c r="U63" s="21">
        <f>(('All Other E&amp;G-4Yr'!AG57+'Investment Income-4Yr'!AG57)/('Total E&amp;G-4yr'!AG57))*100</f>
        <v>7.7265817649285333</v>
      </c>
      <c r="W63" s="191">
        <f t="shared" si="35"/>
        <v>100</v>
      </c>
      <c r="X63" s="177">
        <f t="shared" si="36"/>
        <v>100</v>
      </c>
      <c r="Y63" s="94">
        <f t="shared" si="1"/>
        <v>10.596615208238598</v>
      </c>
      <c r="Z63" s="95">
        <f t="shared" si="2"/>
        <v>10.299648951824603</v>
      </c>
      <c r="AA63" s="94">
        <f t="shared" si="3"/>
        <v>20.875954151611893</v>
      </c>
      <c r="AB63" s="13">
        <f t="shared" si="4"/>
        <v>22.192802369203555</v>
      </c>
      <c r="AC63" s="193">
        <f t="shared" si="5"/>
        <v>100</v>
      </c>
      <c r="AD63" s="194">
        <f t="shared" si="6"/>
        <v>100</v>
      </c>
      <c r="AE63" s="13"/>
    </row>
    <row r="64" spans="1:31">
      <c r="A64" s="63" t="s">
        <v>70</v>
      </c>
      <c r="B64" s="63"/>
      <c r="C64" s="69">
        <f>('Tuition-4Yr'!AL58/'Total E&amp;G-4yr'!AL58)*100</f>
        <v>46.13080864609514</v>
      </c>
      <c r="D64" s="69">
        <f>('State Appropriations-4Yr'!AL58)/('Total E&amp;G-4yr'!AL58)*100</f>
        <v>23.235855993110718</v>
      </c>
      <c r="E64" s="136">
        <f>IF((('Local Appropriations-4Yr'!AL58/'Total E&amp;G-4yr'!AL58)*100)=0,(('Local Appropriations-4Yr'!AL58/'Total E&amp;G-4yr'!AL58)*100),IF((('Local Appropriations-4Yr'!AL58/'Total E&amp;G-4yr'!AL58)*100)&gt;=0.05,('Local Appropriations-4Yr'!AL58/'Total E&amp;G-4yr'!AL58)*100,"*"))</f>
        <v>0</v>
      </c>
      <c r="F64" s="69">
        <f>('Fed Contracts Grnts-4Yr'!AL58)/('Total E&amp;G-4yr'!AL58)*100</f>
        <v>14.371533273543257</v>
      </c>
      <c r="G64" s="69">
        <f>('Other Contract Grnts-4Yr'!AL58)/('Total E&amp;G-4yr'!AL58)*100</f>
        <v>10.306114719310932</v>
      </c>
      <c r="H64" s="137">
        <f>('All Other E&amp;G-4Yr'!AL58+'Investment Income-4Yr'!AL58)/('Total E&amp;G-4yr'!AL58)*100</f>
        <v>5.9556873679399454</v>
      </c>
      <c r="I64" s="69">
        <f t="shared" si="29"/>
        <v>2.4156041903289704</v>
      </c>
      <c r="J64" s="76">
        <f t="shared" si="30"/>
        <v>-3.458499396125422</v>
      </c>
      <c r="K64" s="69">
        <f t="shared" si="31"/>
        <v>0</v>
      </c>
      <c r="L64" s="76">
        <f t="shared" si="32"/>
        <v>2.7126064858135859</v>
      </c>
      <c r="M64" s="69">
        <f t="shared" si="33"/>
        <v>-1.5788601373815041</v>
      </c>
      <c r="N64" s="76">
        <f t="shared" si="34"/>
        <v>-9.0851142635629323E-2</v>
      </c>
      <c r="O64" s="1"/>
      <c r="P64" s="21">
        <f>('Tuition-4Yr'!AG58/'Total E&amp;G-4yr'!AG58)*100</f>
        <v>43.71520445576617</v>
      </c>
      <c r="Q64" s="22">
        <f>('State Appropriations-4Yr'!AG58/'Total E&amp;G-4yr'!AG58)*100</f>
        <v>26.69435538923614</v>
      </c>
      <c r="R64" s="23">
        <f>IF((('Local Appropriations-4Yr'!AG58/'Total E&amp;G-4yr'!AG58)*100)=0,(('Local Appropriations-4Yr'!AG58/'Total E&amp;G-4yr'!AG58)*100),IF((('Local Appropriations-4Yr'!AG58/'Total E&amp;G-4yr'!AG58)*100)&gt;=0.005,(('Local Appropriations-4Yr'!AG58/'Total E&amp;G-4yr'!AG58)*100),"*"))</f>
        <v>0</v>
      </c>
      <c r="S64" s="21">
        <f>('Fed Contracts Grnts-4Yr'!AG58/'Total E&amp;G-4yr'!AG58)*100</f>
        <v>11.658926787729671</v>
      </c>
      <c r="T64" s="23">
        <f>('Other Contract Grnts-4Yr'!AG58/'Total E&amp;G-4yr'!AG58)*100</f>
        <v>11.884974856692436</v>
      </c>
      <c r="U64" s="21">
        <f>(('All Other E&amp;G-4Yr'!AG58+'Investment Income-4Yr'!AG58)/('Total E&amp;G-4yr'!AG58))*100</f>
        <v>6.0465385105755747</v>
      </c>
      <c r="W64" s="191">
        <f t="shared" si="35"/>
        <v>99.999999999999986</v>
      </c>
      <c r="X64" s="177">
        <f t="shared" si="36"/>
        <v>99.999999999999986</v>
      </c>
      <c r="Y64" s="94">
        <f t="shared" si="1"/>
        <v>26.69435538923614</v>
      </c>
      <c r="Z64" s="95">
        <f t="shared" si="2"/>
        <v>23.235855993110718</v>
      </c>
      <c r="AA64" s="94">
        <f t="shared" si="3"/>
        <v>23.543901644422107</v>
      </c>
      <c r="AB64" s="13">
        <f t="shared" si="4"/>
        <v>24.67764799285419</v>
      </c>
      <c r="AC64" s="193">
        <f t="shared" si="5"/>
        <v>99.999999999999986</v>
      </c>
      <c r="AD64" s="194">
        <f t="shared" si="6"/>
        <v>100</v>
      </c>
      <c r="AE64" s="13"/>
    </row>
    <row r="65" spans="1:31">
      <c r="A65" s="63" t="s">
        <v>71</v>
      </c>
      <c r="B65" s="63"/>
      <c r="C65" s="69">
        <f>('Tuition-4Yr'!AL59/'Total E&amp;G-4yr'!AL59)*100</f>
        <v>29.261842491233374</v>
      </c>
      <c r="D65" s="69">
        <f>('State Appropriations-4Yr'!AL59)/('Total E&amp;G-4yr'!AL59)*100</f>
        <v>34.528518323483468</v>
      </c>
      <c r="E65" s="136">
        <f>IF((('Local Appropriations-4Yr'!AL59/'Total E&amp;G-4yr'!AL59)*100)=0,(('Local Appropriations-4Yr'!AL59/'Total E&amp;G-4yr'!AL59)*100),IF((('Local Appropriations-4Yr'!AL59/'Total E&amp;G-4yr'!AL59)*100)&gt;=0.05,('Local Appropriations-4Yr'!AL59/'Total E&amp;G-4yr'!AL59)*100,"*"))</f>
        <v>1.2825735575219404</v>
      </c>
      <c r="F65" s="69">
        <f>('Fed Contracts Grnts-4Yr'!AL59)/('Total E&amp;G-4yr'!AL59)*100</f>
        <v>15.074416699727566</v>
      </c>
      <c r="G65" s="69">
        <f>('Other Contract Grnts-4Yr'!AL59)/('Total E&amp;G-4yr'!AL59)*100</f>
        <v>14.68454387204009</v>
      </c>
      <c r="H65" s="137">
        <f>('All Other E&amp;G-4Yr'!AL59+'Investment Income-4Yr'!AL59)/('Total E&amp;G-4yr'!AL59)*100</f>
        <v>5.1681050559935713</v>
      </c>
      <c r="I65" s="69">
        <f t="shared" si="29"/>
        <v>-3.2852251576034277</v>
      </c>
      <c r="J65" s="76">
        <f t="shared" si="30"/>
        <v>-1.9002799861488384</v>
      </c>
      <c r="K65" s="69">
        <f t="shared" si="31"/>
        <v>0.26419821516049202</v>
      </c>
      <c r="L65" s="76">
        <f t="shared" si="32"/>
        <v>1.7485787920365556</v>
      </c>
      <c r="M65" s="69">
        <f t="shared" si="33"/>
        <v>1.7961705942701744</v>
      </c>
      <c r="N65" s="76">
        <f t="shared" si="34"/>
        <v>1.3765575422850569</v>
      </c>
      <c r="O65" s="1"/>
      <c r="P65" s="21">
        <f>('Tuition-4Yr'!AG59/'Total E&amp;G-4yr'!AG59)*100</f>
        <v>32.547067648836801</v>
      </c>
      <c r="Q65" s="22">
        <f>('State Appropriations-4Yr'!AG59/'Total E&amp;G-4yr'!AG59)*100</f>
        <v>36.428798309632306</v>
      </c>
      <c r="R65" s="23">
        <f>IF((('Local Appropriations-4Yr'!AG59/'Total E&amp;G-4yr'!AG59)*100)=0,(('Local Appropriations-4Yr'!AG59/'Total E&amp;G-4yr'!AG59)*100),IF((('Local Appropriations-4Yr'!AG59/'Total E&amp;G-4yr'!AG59)*100)&gt;=0.005,(('Local Appropriations-4Yr'!AG59/'Total E&amp;G-4yr'!AG59)*100),"*"))</f>
        <v>1.0183753423614483</v>
      </c>
      <c r="S65" s="21">
        <f>('Fed Contracts Grnts-4Yr'!AG59/'Total E&amp;G-4yr'!AG59)*100</f>
        <v>13.32583790769101</v>
      </c>
      <c r="T65" s="23">
        <f>('Other Contract Grnts-4Yr'!AG59/'Total E&amp;G-4yr'!AG59)*100</f>
        <v>12.888373277769915</v>
      </c>
      <c r="U65" s="21">
        <f>(('All Other E&amp;G-4Yr'!AG59+'Investment Income-4Yr'!AG59)/('Total E&amp;G-4yr'!AG59))*100</f>
        <v>3.7915475137085144</v>
      </c>
      <c r="W65" s="191">
        <f t="shared" si="35"/>
        <v>100</v>
      </c>
      <c r="X65" s="177">
        <f t="shared" si="36"/>
        <v>100</v>
      </c>
      <c r="Y65" s="94">
        <f t="shared" si="1"/>
        <v>37.447173651993751</v>
      </c>
      <c r="Z65" s="95">
        <f t="shared" si="2"/>
        <v>35.81109188100541</v>
      </c>
      <c r="AA65" s="94">
        <f t="shared" si="3"/>
        <v>26.214211185460925</v>
      </c>
      <c r="AB65" s="13">
        <f t="shared" si="4"/>
        <v>29.758960571767656</v>
      </c>
      <c r="AC65" s="193">
        <f t="shared" si="5"/>
        <v>99.999999999999986</v>
      </c>
      <c r="AD65" s="194">
        <f t="shared" si="6"/>
        <v>100.00000000000003</v>
      </c>
      <c r="AE65" s="13"/>
    </row>
    <row r="66" spans="1:31">
      <c r="A66" s="63" t="s">
        <v>72</v>
      </c>
      <c r="B66" s="63"/>
      <c r="C66" s="69">
        <f>('Tuition-4Yr'!AL60/'Total E&amp;G-4yr'!AL60)*100</f>
        <v>51.291456315076864</v>
      </c>
      <c r="D66" s="69">
        <f>('State Appropriations-4Yr'!AL60)/('Total E&amp;G-4yr'!AL60)*100</f>
        <v>23.482484112341545</v>
      </c>
      <c r="E66" s="136">
        <f>IF((('Local Appropriations-4Yr'!AL60/'Total E&amp;G-4yr'!AL60)*100)=0,(('Local Appropriations-4Yr'!AL60/'Total E&amp;G-4yr'!AL60)*100),IF((('Local Appropriations-4Yr'!AL60/'Total E&amp;G-4yr'!AL60)*100)&gt;=0.05,('Local Appropriations-4Yr'!AL60/'Total E&amp;G-4yr'!AL60)*100,"*"))</f>
        <v>0</v>
      </c>
      <c r="F66" s="69">
        <f>('Fed Contracts Grnts-4Yr'!AL60)/('Total E&amp;G-4yr'!AL60)*100</f>
        <v>12.019962232404177</v>
      </c>
      <c r="G66" s="69">
        <f>('Other Contract Grnts-4Yr'!AL60)/('Total E&amp;G-4yr'!AL60)*100</f>
        <v>6.8496731610782957</v>
      </c>
      <c r="H66" s="137">
        <f>('All Other E&amp;G-4Yr'!AL60+'Investment Income-4Yr'!AL60)/('Total E&amp;G-4yr'!AL60)*100</f>
        <v>6.3564241790991201</v>
      </c>
      <c r="I66" s="69">
        <f t="shared" si="29"/>
        <v>-5.4976856180805385</v>
      </c>
      <c r="J66" s="122">
        <f t="shared" si="30"/>
        <v>1.2419083285495454</v>
      </c>
      <c r="K66" s="69">
        <f t="shared" si="31"/>
        <v>0</v>
      </c>
      <c r="L66" s="76">
        <f t="shared" si="32"/>
        <v>2.2844867792745323</v>
      </c>
      <c r="M66" s="69">
        <f t="shared" si="33"/>
        <v>-0.71345447929487804</v>
      </c>
      <c r="N66" s="76">
        <f t="shared" si="34"/>
        <v>2.684744989551338</v>
      </c>
      <c r="O66" s="1"/>
      <c r="P66" s="21">
        <f>('Tuition-4Yr'!AG60/'Total E&amp;G-4yr'!AG60)*100</f>
        <v>56.789141933157403</v>
      </c>
      <c r="Q66" s="22">
        <f>('State Appropriations-4Yr'!AG60/'Total E&amp;G-4yr'!AG60)*100</f>
        <v>22.240575783792</v>
      </c>
      <c r="R66" s="23">
        <f>IF((('Local Appropriations-4Yr'!AG60/'Total E&amp;G-4yr'!AG60)*100)=0,(('Local Appropriations-4Yr'!AG60/'Total E&amp;G-4yr'!AG60)*100),IF((('Local Appropriations-4Yr'!AG60/'Total E&amp;G-4yr'!AG60)*100)&gt;=0.005,(('Local Appropriations-4Yr'!AG60/'Total E&amp;G-4yr'!AG60)*100),"*"))</f>
        <v>0</v>
      </c>
      <c r="S66" s="21">
        <f>('Fed Contracts Grnts-4Yr'!AG60/'Total E&amp;G-4yr'!AG60)*100</f>
        <v>9.735475453129645</v>
      </c>
      <c r="T66" s="23">
        <f>('Other Contract Grnts-4Yr'!AG60/'Total E&amp;G-4yr'!AG60)*100</f>
        <v>7.5631276403731738</v>
      </c>
      <c r="U66" s="21">
        <f>(('All Other E&amp;G-4Yr'!AG60+'Investment Income-4Yr'!AG60)/('Total E&amp;G-4yr'!AG60))*100</f>
        <v>3.6716791895477821</v>
      </c>
      <c r="W66" s="191">
        <f t="shared" si="35"/>
        <v>100</v>
      </c>
      <c r="X66" s="177">
        <f t="shared" si="36"/>
        <v>100.00000000000001</v>
      </c>
      <c r="Y66" s="94">
        <f t="shared" si="1"/>
        <v>22.240575783792</v>
      </c>
      <c r="Z66" s="95">
        <f t="shared" si="2"/>
        <v>23.482484112341545</v>
      </c>
      <c r="AA66" s="94">
        <f t="shared" si="3"/>
        <v>17.29860309350282</v>
      </c>
      <c r="AB66" s="13">
        <f t="shared" si="4"/>
        <v>18.869635393482472</v>
      </c>
      <c r="AC66" s="193">
        <f t="shared" si="5"/>
        <v>100</v>
      </c>
      <c r="AD66" s="194">
        <f t="shared" si="6"/>
        <v>100</v>
      </c>
      <c r="AE66" s="13"/>
    </row>
    <row r="67" spans="1:31">
      <c r="A67" s="63" t="s">
        <v>73</v>
      </c>
      <c r="B67" s="63"/>
      <c r="C67" s="69">
        <f>('Tuition-4Yr'!AL61/'Total E&amp;G-4yr'!AL61)*100</f>
        <v>58.098351199471551</v>
      </c>
      <c r="D67" s="69">
        <f>('State Appropriations-4Yr'!AL61)/('Total E&amp;G-4yr'!AL61)*100</f>
        <v>18.385930049721004</v>
      </c>
      <c r="E67" s="136">
        <f>IF((('Local Appropriations-4Yr'!AL61/'Total E&amp;G-4yr'!AL61)*100)=0,(('Local Appropriations-4Yr'!AL61/'Total E&amp;G-4yr'!AL61)*100),IF((('Local Appropriations-4Yr'!AL61/'Total E&amp;G-4yr'!AL61)*100)&gt;=0.05,('Local Appropriations-4Yr'!AL61/'Total E&amp;G-4yr'!AL61)*100,"*"))</f>
        <v>0</v>
      </c>
      <c r="F67" s="69">
        <f>('Fed Contracts Grnts-4Yr'!AL61)/('Total E&amp;G-4yr'!AL61)*100</f>
        <v>16.806758681362783</v>
      </c>
      <c r="G67" s="69">
        <f>('Other Contract Grnts-4Yr'!AL61)/('Total E&amp;G-4yr'!AL61)*100</f>
        <v>5.7425155192028869</v>
      </c>
      <c r="H67" s="137">
        <f>('All Other E&amp;G-4Yr'!AL61+'Investment Income-4Yr'!AL61)/('Total E&amp;G-4yr'!AL61)*100</f>
        <v>0.96644455024175735</v>
      </c>
      <c r="I67" s="69">
        <f t="shared" si="29"/>
        <v>-3.1362205251561193E-2</v>
      </c>
      <c r="J67" s="76">
        <f t="shared" si="30"/>
        <v>-0.57866988803656128</v>
      </c>
      <c r="K67" s="69">
        <f t="shared" si="31"/>
        <v>0</v>
      </c>
      <c r="L67" s="76">
        <f t="shared" si="32"/>
        <v>0.26773368833462285</v>
      </c>
      <c r="M67" s="69">
        <f t="shared" si="33"/>
        <v>5.3160875013784192E-2</v>
      </c>
      <c r="N67" s="76">
        <f t="shared" si="34"/>
        <v>0.28913752993971176</v>
      </c>
      <c r="O67" s="1"/>
      <c r="P67" s="21">
        <f>('Tuition-4Yr'!AG61/'Total E&amp;G-4yr'!AG61)*100</f>
        <v>58.129713404723113</v>
      </c>
      <c r="Q67" s="22">
        <f>('State Appropriations-4Yr'!AG61/'Total E&amp;G-4yr'!AG61)*100</f>
        <v>18.964599937757566</v>
      </c>
      <c r="R67" s="23">
        <f>IF((('Local Appropriations-4Yr'!AG61/'Total E&amp;G-4yr'!AG61)*100)=0,(('Local Appropriations-4Yr'!AG61/'Total E&amp;G-4yr'!AG61)*100),IF((('Local Appropriations-4Yr'!AG61/'Total E&amp;G-4yr'!AG61)*100)&gt;=0.005,(('Local Appropriations-4Yr'!AG61/'Total E&amp;G-4yr'!AG61)*100),"*"))</f>
        <v>0</v>
      </c>
      <c r="S67" s="21">
        <f>('Fed Contracts Grnts-4Yr'!AG61/'Total E&amp;G-4yr'!AG61)*100</f>
        <v>16.539024993028161</v>
      </c>
      <c r="T67" s="23">
        <f>('Other Contract Grnts-4Yr'!AG61/'Total E&amp;G-4yr'!AG61)*100</f>
        <v>5.6893546441891027</v>
      </c>
      <c r="U67" s="21">
        <f>(('All Other E&amp;G-4Yr'!AG61+'Investment Income-4Yr'!AG61)/('Total E&amp;G-4yr'!AG61))*100</f>
        <v>0.67730702030204559</v>
      </c>
      <c r="W67" s="191">
        <f t="shared" si="35"/>
        <v>100</v>
      </c>
      <c r="X67" s="177">
        <f t="shared" si="36"/>
        <v>99.999999999999972</v>
      </c>
      <c r="Y67" s="94">
        <f t="shared" si="1"/>
        <v>18.964599937757566</v>
      </c>
      <c r="Z67" s="95">
        <f t="shared" si="2"/>
        <v>18.385930049721004</v>
      </c>
      <c r="AA67" s="94">
        <f t="shared" si="3"/>
        <v>22.228379637217262</v>
      </c>
      <c r="AB67" s="13">
        <f t="shared" si="4"/>
        <v>22.549274200565669</v>
      </c>
      <c r="AC67" s="193">
        <f t="shared" si="5"/>
        <v>99.999999999999986</v>
      </c>
      <c r="AD67" s="194">
        <f t="shared" si="6"/>
        <v>99.999999999999986</v>
      </c>
      <c r="AE67" s="13"/>
    </row>
    <row r="68" spans="1:31">
      <c r="A68" s="62" t="s">
        <v>74</v>
      </c>
      <c r="B68" s="63"/>
      <c r="C68" s="69">
        <f>('Tuition-4Yr'!AL62/'Total E&amp;G-4yr'!AL62)*100</f>
        <v>58.824906348996684</v>
      </c>
      <c r="D68" s="69">
        <f>('State Appropriations-4Yr'!AL62)/('Total E&amp;G-4yr'!AL62)*100</f>
        <v>8.2441870312312968</v>
      </c>
      <c r="E68" s="136">
        <f>IF((('Local Appropriations-4Yr'!AL62/'Total E&amp;G-4yr'!AL62)*100)=0,(('Local Appropriations-4Yr'!AL62/'Total E&amp;G-4yr'!AL62)*100),IF((('Local Appropriations-4Yr'!AL62/'Total E&amp;G-4yr'!AL62)*100)&gt;=0.05,('Local Appropriations-4Yr'!AL62/'Total E&amp;G-4yr'!AL62)*100,"*"))</f>
        <v>0</v>
      </c>
      <c r="F68" s="69">
        <f>('Fed Contracts Grnts-4Yr'!AL62)/('Total E&amp;G-4yr'!AL62)*100</f>
        <v>17.393531375181155</v>
      </c>
      <c r="G68" s="69">
        <f>('Other Contract Grnts-4Yr'!AL62)/('Total E&amp;G-4yr'!AL62)*100</f>
        <v>11.143972231773946</v>
      </c>
      <c r="H68" s="137">
        <f>('All Other E&amp;G-4Yr'!AL62+'Investment Income-4Yr'!AL62)/('Total E&amp;G-4yr'!AL62)*100</f>
        <v>4.3934030128169184</v>
      </c>
      <c r="I68" s="69">
        <f t="shared" si="29"/>
        <v>0.31578095615903834</v>
      </c>
      <c r="J68" s="75">
        <f t="shared" si="30"/>
        <v>0.39510670135986015</v>
      </c>
      <c r="K68" s="71">
        <f t="shared" si="31"/>
        <v>0</v>
      </c>
      <c r="L68" s="75">
        <f t="shared" si="32"/>
        <v>-1.3351107003978235</v>
      </c>
      <c r="M68" s="71">
        <f t="shared" si="33"/>
        <v>0.65741949344858774</v>
      </c>
      <c r="N68" s="75">
        <f t="shared" si="34"/>
        <v>-3.3196450569662694E-2</v>
      </c>
      <c r="O68" s="1"/>
      <c r="P68" s="21">
        <f>('Tuition-4Yr'!AG62/'Total E&amp;G-4yr'!AG62)*100</f>
        <v>58.509125392837646</v>
      </c>
      <c r="Q68" s="22">
        <f>('State Appropriations-4Yr'!AG62/'Total E&amp;G-4yr'!AG62)*100</f>
        <v>7.8490803298714367</v>
      </c>
      <c r="R68" s="23">
        <f>IF((('Local Appropriations-4Yr'!AG62/'Total E&amp;G-4yr'!AG62)*100)=0,(('Local Appropriations-4Yr'!AG62/'Total E&amp;G-4yr'!AG62)*100),IF((('Local Appropriations-4Yr'!AG62/'Total E&amp;G-4yr'!AG62)*100)&gt;=0.005,(('Local Appropriations-4Yr'!AG62/'Total E&amp;G-4yr'!AG62)*100),"*"))</f>
        <v>0</v>
      </c>
      <c r="S68" s="21">
        <f>('Fed Contracts Grnts-4Yr'!AG62/'Total E&amp;G-4yr'!AG62)*100</f>
        <v>18.728642075578978</v>
      </c>
      <c r="T68" s="23">
        <f>('Other Contract Grnts-4Yr'!AG62/'Total E&amp;G-4yr'!AG62)*100</f>
        <v>10.486552738325358</v>
      </c>
      <c r="U68" s="21">
        <f>(('All Other E&amp;G-4Yr'!AG62+'Investment Income-4Yr'!AG62)/('Total E&amp;G-4yr'!AG62))*100</f>
        <v>4.4265994633865811</v>
      </c>
      <c r="W68" s="191">
        <f t="shared" si="35"/>
        <v>100</v>
      </c>
      <c r="X68" s="177">
        <f t="shared" si="36"/>
        <v>100</v>
      </c>
      <c r="Y68" s="94">
        <f t="shared" si="1"/>
        <v>7.8490803298714367</v>
      </c>
      <c r="Z68" s="95">
        <f t="shared" si="2"/>
        <v>8.2441870312312968</v>
      </c>
      <c r="AA68" s="94">
        <f t="shared" si="3"/>
        <v>29.215194813904336</v>
      </c>
      <c r="AB68" s="13">
        <f t="shared" si="4"/>
        <v>28.537503606955099</v>
      </c>
      <c r="AC68" s="193">
        <f t="shared" si="5"/>
        <v>100</v>
      </c>
      <c r="AD68" s="194">
        <f t="shared" si="6"/>
        <v>100</v>
      </c>
      <c r="AE68" s="13"/>
    </row>
    <row r="69" spans="1:31">
      <c r="A69" s="46" t="s">
        <v>75</v>
      </c>
      <c r="B69" s="151"/>
      <c r="C69" s="152">
        <f>('Tuition-4Yr'!AL63/'Total E&amp;G-4yr'!AL63)*100</f>
        <v>3.4862065543980358E-2</v>
      </c>
      <c r="D69" s="152">
        <f>('State Appropriations-4Yr'!AL63)/('Total E&amp;G-4yr'!AL63)*100</f>
        <v>99.923856167079023</v>
      </c>
      <c r="E69" s="153">
        <f>IF((('Local Appropriations-4Yr'!AL63/'Total E&amp;G-4yr'!AL63)*100)=0,(('Local Appropriations-4Yr'!AL63/'Total E&amp;G-4yr'!AL63)*100),IF((('Local Appropriations-4Yr'!AL63/'Total E&amp;G-4yr'!AL63)*100)&gt;=0.05,('Local Appropriations-4Yr'!AL63/'Total E&amp;G-4yr'!AL63)*100,"*"))</f>
        <v>0</v>
      </c>
      <c r="F69" s="152">
        <f>('Fed Contracts Grnts-4Yr'!AL63)/('Total E&amp;G-4yr'!AL63)*100</f>
        <v>2.3676509162750787E-2</v>
      </c>
      <c r="G69" s="152">
        <f>('Other Contract Grnts-4Yr'!AL63)/('Total E&amp;G-4yr'!AL63)*100</f>
        <v>7.7412893719705908E-3</v>
      </c>
      <c r="H69" s="154">
        <f>('All Other E&amp;G-4Yr'!AL63+'Investment Income-4Yr'!AL63)/('Total E&amp;G-4yr'!AL63)*100</f>
        <v>9.8639688422669635E-3</v>
      </c>
      <c r="I69" s="152">
        <f t="shared" si="29"/>
        <v>-23.349622942430006</v>
      </c>
      <c r="J69" s="75">
        <f t="shared" si="30"/>
        <v>47.066228085508271</v>
      </c>
      <c r="K69" s="71">
        <f t="shared" si="31"/>
        <v>0</v>
      </c>
      <c r="L69" s="75">
        <f t="shared" si="32"/>
        <v>-16.949666514048509</v>
      </c>
      <c r="M69" s="71">
        <f t="shared" si="33"/>
        <v>-5.0493242766376989</v>
      </c>
      <c r="N69" s="75">
        <f t="shared" si="34"/>
        <v>-1.7176143523920668</v>
      </c>
      <c r="O69" s="1"/>
      <c r="P69" s="21">
        <f>('Tuition-4Yr'!AG63/'Total E&amp;G-4yr'!AG63)*100</f>
        <v>23.384485007973986</v>
      </c>
      <c r="Q69" s="22">
        <f>('State Appropriations-4Yr'!AG63/'Total E&amp;G-4yr'!AG63)*100</f>
        <v>52.857628081570752</v>
      </c>
      <c r="R69" s="23">
        <f>IF((('Local Appropriations-4Yr'!AG63/'Total E&amp;G-4yr'!AG63)*100)=0,(('Local Appropriations-4Yr'!AG63/'Total E&amp;G-4yr'!AG63)*100),IF((('Local Appropriations-4Yr'!AG63/'Total E&amp;G-4yr'!AG63)*100)&gt;=0.005,(('Local Appropriations-4Yr'!AG63/'Total E&amp;G-4yr'!AG63)*100),"*"))</f>
        <v>0</v>
      </c>
      <c r="S69" s="21">
        <f>('Fed Contracts Grnts-4Yr'!AG63/'Total E&amp;G-4yr'!AG63)*100</f>
        <v>16.97334302321126</v>
      </c>
      <c r="T69" s="23">
        <f>('Other Contract Grnts-4Yr'!AG63/'Total E&amp;G-4yr'!AG63)*100</f>
        <v>5.0570655660096691</v>
      </c>
      <c r="U69" s="21">
        <f>(('All Other E&amp;G-4Yr'!AG63+'Investment Income-4Yr'!AG63)/('Total E&amp;G-4yr'!AG63))*100</f>
        <v>1.7274783212343339</v>
      </c>
      <c r="W69" s="192">
        <f t="shared" si="35"/>
        <v>100</v>
      </c>
      <c r="X69" s="179">
        <f t="shared" si="36"/>
        <v>99.999999999999986</v>
      </c>
      <c r="Y69" s="96">
        <f t="shared" si="1"/>
        <v>52.857628081570752</v>
      </c>
      <c r="Z69" s="97">
        <f t="shared" si="2"/>
        <v>99.923856167079023</v>
      </c>
      <c r="AA69" s="96">
        <f t="shared" si="3"/>
        <v>22.030408589220929</v>
      </c>
      <c r="AB69" s="182">
        <f t="shared" si="4"/>
        <v>3.1417798534721375E-2</v>
      </c>
      <c r="AC69" s="195">
        <f t="shared" si="5"/>
        <v>100</v>
      </c>
      <c r="AD69" s="196">
        <f t="shared" si="6"/>
        <v>99.999999999999986</v>
      </c>
      <c r="AE69" s="13"/>
    </row>
    <row r="70" spans="1:31" ht="18" customHeight="1">
      <c r="A70" s="80"/>
      <c r="B70" s="32"/>
      <c r="C70" s="81"/>
      <c r="D70" s="80"/>
      <c r="E70" s="114"/>
      <c r="F70" s="80"/>
      <c r="G70" s="80"/>
      <c r="H70" s="80"/>
      <c r="K70" s="1"/>
      <c r="L70" s="1"/>
      <c r="M70" s="1"/>
      <c r="N70" s="1"/>
      <c r="O70" s="1"/>
      <c r="P70" s="1"/>
      <c r="Q70" s="1"/>
      <c r="R70" s="1"/>
      <c r="S70" s="1"/>
      <c r="T70" s="1"/>
    </row>
    <row r="71" spans="1:31" ht="125.25" customHeight="1">
      <c r="A71" s="208" t="s">
        <v>76</v>
      </c>
      <c r="B71" s="207"/>
      <c r="C71" s="207"/>
      <c r="D71" s="207"/>
      <c r="E71" s="207"/>
      <c r="F71" s="207"/>
      <c r="G71" s="207"/>
      <c r="H71" s="207"/>
      <c r="I71" s="38"/>
      <c r="J71" s="38"/>
      <c r="K71" s="38"/>
      <c r="L71" s="38"/>
      <c r="M71" s="38"/>
      <c r="N71" s="38"/>
      <c r="O71" s="1"/>
      <c r="P71" s="1"/>
      <c r="Q71" s="1"/>
      <c r="R71" s="1"/>
      <c r="S71" s="1"/>
      <c r="T71" s="1"/>
    </row>
    <row r="72" spans="1:31" ht="37.5" customHeight="1">
      <c r="A72" s="209" t="s">
        <v>77</v>
      </c>
      <c r="B72" s="207"/>
      <c r="C72" s="207"/>
      <c r="D72" s="207"/>
      <c r="E72" s="207"/>
      <c r="F72" s="207"/>
      <c r="G72" s="207"/>
      <c r="H72" s="207"/>
      <c r="O72" s="30"/>
    </row>
    <row r="73" spans="1:31" ht="51" customHeight="1">
      <c r="A73" s="206" t="s">
        <v>78</v>
      </c>
      <c r="B73" s="207"/>
      <c r="C73" s="207"/>
      <c r="D73" s="207"/>
      <c r="E73" s="207"/>
      <c r="F73" s="207"/>
      <c r="G73" s="207"/>
      <c r="H73" s="207"/>
      <c r="N73" s="86"/>
    </row>
    <row r="74" spans="1:31" ht="12.75" customHeight="1">
      <c r="A74" s="200" t="s">
        <v>79</v>
      </c>
      <c r="B74" s="201"/>
      <c r="C74" s="201"/>
      <c r="D74" s="201"/>
      <c r="E74" s="201"/>
      <c r="F74" s="201"/>
      <c r="G74" s="201"/>
      <c r="H74" s="201"/>
      <c r="I74" s="201"/>
      <c r="J74" s="201"/>
      <c r="K74" s="201"/>
      <c r="L74" s="201"/>
      <c r="M74" s="201"/>
      <c r="N74" s="201"/>
    </row>
    <row r="75" spans="1:31">
      <c r="N75" s="155" t="s">
        <v>80</v>
      </c>
    </row>
    <row r="77" spans="1:31">
      <c r="A77" s="29"/>
      <c r="B77" s="29"/>
    </row>
  </sheetData>
  <mergeCells count="9">
    <mergeCell ref="Q7:R8"/>
    <mergeCell ref="I6:N6"/>
    <mergeCell ref="C6:H6"/>
    <mergeCell ref="A74:N74"/>
    <mergeCell ref="C8:C9"/>
    <mergeCell ref="I8:I9"/>
    <mergeCell ref="A73:H73"/>
    <mergeCell ref="A71:H71"/>
    <mergeCell ref="A72:H72"/>
  </mergeCells>
  <phoneticPr fontId="8" type="noConversion"/>
  <pageMargins left="1" right="1" top="1" bottom="0.55000000000000004" header="0.5" footer="0.4"/>
  <pageSetup scale="58" orientation="portrait" verticalDpi="300" r:id="rId1"/>
  <headerFooter alignWithMargins="0">
    <oddFooter>&amp;L&amp;"Arial,Regular"SREB Fact Book &amp;R&amp;"Arial,Regular"&amp;D</oddFooter>
  </headerFooter>
  <colBreaks count="1" manualBreakCount="1">
    <brk id="16" max="34"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9">
    <tabColor indexed="62"/>
  </sheetPr>
  <dimension ref="A1:GY92"/>
  <sheetViews>
    <sheetView showZeros="0" zoomScaleNormal="100" workbookViewId="0">
      <pane xSplit="1" ySplit="3" topLeftCell="AI4" activePane="bottomRight" state="frozen"/>
      <selection pane="bottomRight" activeCell="AQ20" sqref="AQ20"/>
      <selection pane="bottomLeft" activeCell="M5" sqref="M5:M6"/>
      <selection pane="topRight" activeCell="M5" sqref="M5:M6"/>
    </sheetView>
  </sheetViews>
  <sheetFormatPr defaultColWidth="9.7109375" defaultRowHeight="12.75"/>
  <cols>
    <col min="1" max="1" width="19.5703125" style="1" bestFit="1" customWidth="1"/>
    <col min="2" max="2" width="10.7109375" style="1" customWidth="1"/>
    <col min="3" max="3" width="8.85546875" style="1" customWidth="1"/>
    <col min="4" max="4" width="7.85546875" style="1" customWidth="1"/>
    <col min="5" max="22" width="13.85546875" style="1" customWidth="1"/>
    <col min="23" max="29" width="13.85546875" style="10" customWidth="1"/>
    <col min="30" max="31" width="9.7109375" style="1" bestFit="1" customWidth="1"/>
    <col min="32" max="32" width="13.42578125" style="1" bestFit="1" customWidth="1"/>
    <col min="33" max="38" width="13.42578125" style="1" customWidth="1"/>
    <col min="39" max="171" width="9.7109375" style="1"/>
    <col min="172" max="172" width="11.7109375" style="1" customWidth="1"/>
    <col min="173" max="196" width="9.7109375" style="1"/>
    <col min="197" max="197" width="5.7109375" style="1" customWidth="1"/>
    <col min="198" max="198" width="6.7109375" style="1" customWidth="1"/>
    <col min="199" max="200" width="8.7109375" style="1" customWidth="1"/>
    <col min="201" max="202" width="6.7109375" style="1" customWidth="1"/>
    <col min="203" max="204" width="8.7109375" style="1" customWidth="1"/>
    <col min="205" max="206" width="6.7109375" style="1" customWidth="1"/>
    <col min="207" max="207" width="1.7109375" style="1" customWidth="1"/>
    <col min="208" max="16384" width="9.7109375" style="1"/>
  </cols>
  <sheetData>
    <row r="1" spans="1:38">
      <c r="A1" s="36" t="s">
        <v>92</v>
      </c>
      <c r="B1" s="36"/>
      <c r="C1" s="36"/>
      <c r="D1" s="36"/>
      <c r="E1" s="11"/>
      <c r="F1" s="11"/>
      <c r="G1" s="11"/>
      <c r="H1" s="11"/>
      <c r="I1" s="57"/>
      <c r="J1" s="57"/>
      <c r="K1" s="11"/>
      <c r="L1" s="11"/>
    </row>
    <row r="2" spans="1:38">
      <c r="A2" s="1" t="s">
        <v>156</v>
      </c>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46">
        <f>211931+90528</f>
        <v>302459</v>
      </c>
      <c r="C4" s="46">
        <f>232992+96997</f>
        <v>329989</v>
      </c>
      <c r="D4" s="46">
        <f>280429+104437</f>
        <v>384866</v>
      </c>
      <c r="E4" s="46"/>
      <c r="F4" s="46"/>
      <c r="G4" s="46"/>
      <c r="H4" s="46"/>
      <c r="I4" s="46">
        <v>415884.60600000003</v>
      </c>
      <c r="J4" s="54">
        <f>+J5+J23+J38+J52+J63</f>
        <v>486196.58700000006</v>
      </c>
      <c r="K4" s="46">
        <v>652054.33700000006</v>
      </c>
      <c r="L4" s="46">
        <v>621737.46699999995</v>
      </c>
      <c r="M4" s="54">
        <f>+M5+M23+M38+M52+M63</f>
        <v>559327.06200000003</v>
      </c>
      <c r="N4" s="58">
        <v>697490.99100000004</v>
      </c>
      <c r="O4" s="54">
        <f>+O5+O23+O38+O52+O63</f>
        <v>766693.32297999994</v>
      </c>
      <c r="P4" s="46"/>
      <c r="Q4" s="46"/>
      <c r="R4" s="54">
        <f t="shared" ref="R4:AA4" si="0">+R5+R23+R38+R52+R63</f>
        <v>1078957.203</v>
      </c>
      <c r="S4" s="54">
        <f t="shared" si="0"/>
        <v>1195918.3870000001</v>
      </c>
      <c r="T4" s="59">
        <f t="shared" si="0"/>
        <v>914564.77399999986</v>
      </c>
      <c r="U4" s="54">
        <f t="shared" si="0"/>
        <v>2791197.7929999996</v>
      </c>
      <c r="V4" s="54">
        <f t="shared" si="0"/>
        <v>4567206.1560000004</v>
      </c>
      <c r="W4" s="54">
        <f t="shared" si="0"/>
        <v>5094989.051</v>
      </c>
      <c r="X4" s="54">
        <f t="shared" si="0"/>
        <v>5849523.5909999991</v>
      </c>
      <c r="Y4" s="54">
        <f t="shared" si="0"/>
        <v>9746433.8840000015</v>
      </c>
      <c r="Z4" s="54">
        <f t="shared" si="0"/>
        <v>2469668.4760000003</v>
      </c>
      <c r="AA4" s="54">
        <f t="shared" si="0"/>
        <v>-6616273.068</v>
      </c>
      <c r="AB4" s="54">
        <f t="shared" ref="AB4:AC4" si="1">+AB5+AB23+AB38+AB52+AB63</f>
        <v>6324915.7210000008</v>
      </c>
      <c r="AC4" s="54">
        <f t="shared" si="1"/>
        <v>8918239</v>
      </c>
      <c r="AD4" s="54">
        <f t="shared" ref="AD4:AE4" si="2">+AD5+AD23+AD38+AD52+AD63</f>
        <v>2495802.469</v>
      </c>
      <c r="AE4" s="54">
        <f t="shared" si="2"/>
        <v>6274044.2750000013</v>
      </c>
      <c r="AF4" s="54">
        <f t="shared" ref="AF4:AG4" si="3">+AF5+AF23+AF38+AF52+AF63</f>
        <v>9928203.0569999982</v>
      </c>
      <c r="AG4" s="54">
        <f t="shared" si="3"/>
        <v>2978508.34</v>
      </c>
      <c r="AH4" s="54">
        <f t="shared" ref="AH4:AI4" si="4">+AH5+AH23+AH38+AH52+AH63</f>
        <v>1785420.5020000001</v>
      </c>
      <c r="AI4" s="54">
        <f t="shared" si="4"/>
        <v>9638851.8929999992</v>
      </c>
      <c r="AJ4" s="54">
        <f t="shared" ref="AJ4:AK4" si="5">+AJ5+AJ23+AJ38+AJ52+AJ63</f>
        <v>0</v>
      </c>
      <c r="AK4" s="54">
        <f t="shared" si="5"/>
        <v>8284273.7479999997</v>
      </c>
      <c r="AL4" s="54">
        <f t="shared" ref="AL4" si="6">+AL5+AL23+AL38+AL52+AL63</f>
        <v>6748410.487999999</v>
      </c>
    </row>
    <row r="5" spans="1:38" ht="12.75" customHeight="1">
      <c r="A5" s="1" t="s">
        <v>21</v>
      </c>
      <c r="B5" s="51">
        <f>SUM(B7:B22)</f>
        <v>94685</v>
      </c>
      <c r="C5" s="51">
        <f>SUM(C7:C22)</f>
        <v>99134</v>
      </c>
      <c r="D5" s="51">
        <f>SUM(D7:D22)</f>
        <v>139610</v>
      </c>
      <c r="I5" s="51">
        <f t="shared" ref="I5:L5" si="7">SUM(I7:I22)</f>
        <v>154627.19700000001</v>
      </c>
      <c r="J5" s="51">
        <f t="shared" si="7"/>
        <v>245335.747</v>
      </c>
      <c r="K5" s="51">
        <f t="shared" si="7"/>
        <v>264685.52899999998</v>
      </c>
      <c r="L5" s="51">
        <f t="shared" si="7"/>
        <v>238594.41700000002</v>
      </c>
      <c r="M5" s="51">
        <f t="shared" ref="M5" si="8">SUM(M7:M22)</f>
        <v>268387.71100000001</v>
      </c>
      <c r="O5" s="51">
        <f t="shared" ref="O5" si="9">SUM(O7:O22)</f>
        <v>324451.54599999997</v>
      </c>
      <c r="R5" s="51">
        <f t="shared" ref="R5:AA5" si="10">SUM(R7:R22)</f>
        <v>511780.82999999996</v>
      </c>
      <c r="S5" s="51">
        <f t="shared" si="10"/>
        <v>536979.304</v>
      </c>
      <c r="T5" s="60">
        <f t="shared" si="10"/>
        <v>252269.03599999999</v>
      </c>
      <c r="U5" s="51">
        <f t="shared" si="10"/>
        <v>1450153.7429999998</v>
      </c>
      <c r="V5" s="51">
        <f t="shared" si="10"/>
        <v>1908047.716</v>
      </c>
      <c r="W5" s="51">
        <f t="shared" si="10"/>
        <v>2299614.3650000002</v>
      </c>
      <c r="X5" s="51">
        <f t="shared" si="10"/>
        <v>2467093.6709999996</v>
      </c>
      <c r="Y5" s="51">
        <f t="shared" si="10"/>
        <v>4077755.7829999998</v>
      </c>
      <c r="Z5" s="51">
        <f t="shared" si="10"/>
        <v>909166.16499999992</v>
      </c>
      <c r="AA5" s="51">
        <f t="shared" si="10"/>
        <v>-2421437.6579999998</v>
      </c>
      <c r="AB5" s="51">
        <f t="shared" ref="AB5:AC5" si="11">SUM(AB7:AB22)</f>
        <v>2629227.693</v>
      </c>
      <c r="AC5" s="51">
        <f t="shared" si="11"/>
        <v>3378523</v>
      </c>
      <c r="AD5" s="51">
        <f t="shared" ref="AD5:AE5" si="12">SUM(AD7:AD22)</f>
        <v>1272927.348</v>
      </c>
      <c r="AE5" s="51">
        <f t="shared" si="12"/>
        <v>2393249.122</v>
      </c>
      <c r="AF5" s="51">
        <f t="shared" ref="AF5:AG5" si="13">SUM(AF7:AF22)</f>
        <v>3776008.4820000003</v>
      </c>
      <c r="AG5" s="51">
        <f t="shared" si="13"/>
        <v>1011682.64</v>
      </c>
      <c r="AH5" s="51">
        <f t="shared" ref="AH5:AI5" si="14">SUM(AH7:AH22)</f>
        <v>949984.87400000007</v>
      </c>
      <c r="AI5" s="51">
        <f t="shared" si="14"/>
        <v>3884641.4269999997</v>
      </c>
      <c r="AJ5" s="51">
        <f t="shared" ref="AJ5:AK5" si="15">SUM(AJ7:AJ22)</f>
        <v>0</v>
      </c>
      <c r="AK5" s="51">
        <f t="shared" si="15"/>
        <v>3148811.1729999995</v>
      </c>
      <c r="AL5" s="51">
        <f t="shared" ref="AL5" si="16">SUM(AL7:AL22)</f>
        <v>3216161.1030000001</v>
      </c>
    </row>
    <row r="6" spans="1:38" ht="12.75" customHeight="1">
      <c r="A6" s="6" t="s">
        <v>94</v>
      </c>
      <c r="B6" s="6"/>
      <c r="C6" s="6"/>
      <c r="D6" s="6"/>
      <c r="I6" s="126"/>
      <c r="J6" s="126"/>
      <c r="R6" s="18"/>
      <c r="T6" s="44"/>
      <c r="AA6" s="10">
        <v>0</v>
      </c>
    </row>
    <row r="7" spans="1:38" ht="12.75" customHeight="1">
      <c r="A7" s="1" t="s">
        <v>22</v>
      </c>
      <c r="B7" s="1">
        <f>4238+2661</f>
        <v>6899</v>
      </c>
      <c r="C7" s="1">
        <f>4289+1966</f>
        <v>6255</v>
      </c>
      <c r="D7" s="1">
        <f>4252+2066</f>
        <v>6318</v>
      </c>
      <c r="I7" s="126">
        <v>13692.001</v>
      </c>
      <c r="J7" s="126">
        <v>14467.376</v>
      </c>
      <c r="K7" s="1">
        <v>17381.906999999999</v>
      </c>
      <c r="L7" s="1">
        <v>18644.71</v>
      </c>
      <c r="M7" s="1">
        <v>20007.667000000001</v>
      </c>
      <c r="N7" s="1">
        <v>22226.282999999999</v>
      </c>
      <c r="O7" s="1">
        <v>21818.612000000001</v>
      </c>
      <c r="R7" s="24">
        <v>31623.611000000001</v>
      </c>
      <c r="S7" s="1">
        <v>29820.521000000001</v>
      </c>
      <c r="T7" s="44">
        <v>-14863.278</v>
      </c>
      <c r="U7" s="1">
        <v>247213.39</v>
      </c>
      <c r="V7" s="1">
        <v>202720.73</v>
      </c>
      <c r="W7" s="126">
        <v>208784.649</v>
      </c>
      <c r="X7" s="126">
        <v>200630.75599999999</v>
      </c>
      <c r="Y7" s="126">
        <v>365202.902</v>
      </c>
      <c r="Z7" s="126">
        <v>-215661.46</v>
      </c>
      <c r="AA7" s="126">
        <v>69092.111000000004</v>
      </c>
      <c r="AB7" s="126">
        <v>248191.701</v>
      </c>
      <c r="AC7" s="126">
        <v>10631</v>
      </c>
      <c r="AD7" s="1">
        <v>279836.299</v>
      </c>
      <c r="AE7" s="1">
        <v>204010.95199999999</v>
      </c>
      <c r="AF7" s="1">
        <v>201073.81099999999</v>
      </c>
      <c r="AG7" s="1">
        <v>-82415.051000000007</v>
      </c>
      <c r="AH7" s="1">
        <v>238041.56899999999</v>
      </c>
      <c r="AI7" s="1">
        <v>401161.74300000002</v>
      </c>
      <c r="AK7" s="1">
        <v>119207.783</v>
      </c>
      <c r="AL7" s="1">
        <v>92835.457999999999</v>
      </c>
    </row>
    <row r="8" spans="1:38" ht="12.75" customHeight="1">
      <c r="A8" s="1" t="s">
        <v>23</v>
      </c>
      <c r="B8" s="1">
        <f>227+443</f>
        <v>670</v>
      </c>
      <c r="C8" s="1">
        <f>428+290</f>
        <v>718</v>
      </c>
      <c r="D8" s="1">
        <f>552+1347</f>
        <v>1899</v>
      </c>
      <c r="I8" s="126">
        <v>1805.5450000000001</v>
      </c>
      <c r="J8" s="126">
        <v>1700.49</v>
      </c>
      <c r="K8" s="1">
        <v>1328.992</v>
      </c>
      <c r="L8" s="1">
        <v>1931.165</v>
      </c>
      <c r="M8" s="1">
        <v>1495.9870000000001</v>
      </c>
      <c r="N8" s="1">
        <v>1774.4929999999999</v>
      </c>
      <c r="O8" s="1">
        <v>1619.5150000000001</v>
      </c>
      <c r="R8" s="24">
        <v>4951.3860000000004</v>
      </c>
      <c r="S8" s="1">
        <v>6465.027</v>
      </c>
      <c r="T8" s="44">
        <v>-10058.474</v>
      </c>
      <c r="U8" s="1">
        <v>69047.676999999996</v>
      </c>
      <c r="V8" s="1">
        <v>20346.940999999999</v>
      </c>
      <c r="W8" s="126">
        <v>27744.536</v>
      </c>
      <c r="X8" s="126">
        <v>34631.307000000001</v>
      </c>
      <c r="Y8" s="126">
        <v>56576.044000000002</v>
      </c>
      <c r="Z8" s="126">
        <v>20440.661</v>
      </c>
      <c r="AA8" s="126">
        <v>-14688.097</v>
      </c>
      <c r="AB8" s="126">
        <v>39641.203000000001</v>
      </c>
      <c r="AC8" s="126">
        <v>38715</v>
      </c>
      <c r="AD8" s="1">
        <v>16328.895</v>
      </c>
      <c r="AE8" s="1">
        <v>27204.228999999999</v>
      </c>
      <c r="AF8" s="1">
        <v>44239.106</v>
      </c>
      <c r="AG8" s="1">
        <v>15031.763000000001</v>
      </c>
      <c r="AH8" s="1">
        <v>1460.8</v>
      </c>
      <c r="AI8" s="1">
        <v>43169.936000000002</v>
      </c>
      <c r="AK8" s="1">
        <v>39509.050999999999</v>
      </c>
      <c r="AL8" s="1">
        <v>32622.314999999999</v>
      </c>
    </row>
    <row r="9" spans="1:38" ht="12.75" customHeight="1">
      <c r="A9" s="1" t="s">
        <v>24</v>
      </c>
      <c r="D9" s="1">
        <v>15245</v>
      </c>
      <c r="I9" s="126">
        <v>22354.686000000002</v>
      </c>
      <c r="J9" s="126">
        <v>22133.331999999999</v>
      </c>
      <c r="M9" s="1">
        <v>19593.962</v>
      </c>
      <c r="N9" s="1">
        <v>20897.343000000001</v>
      </c>
      <c r="O9" s="1">
        <v>22392.058000000001</v>
      </c>
      <c r="R9" s="24">
        <v>33831.161</v>
      </c>
      <c r="S9" s="35">
        <v>26821</v>
      </c>
      <c r="T9" s="45">
        <v>-30738.312999999998</v>
      </c>
      <c r="U9" s="35">
        <v>37248.946000000004</v>
      </c>
      <c r="V9" s="35">
        <v>161660.08199999999</v>
      </c>
      <c r="W9" s="126">
        <f>485.066+113425.255</f>
        <v>113910.32100000001</v>
      </c>
      <c r="X9" s="126">
        <v>171099.84</v>
      </c>
      <c r="Y9" s="126">
        <v>229948.236</v>
      </c>
      <c r="Z9" s="126">
        <v>-28202.212</v>
      </c>
      <c r="AA9" s="126">
        <v>-286830.19099999999</v>
      </c>
      <c r="AB9" s="126">
        <v>100150.852</v>
      </c>
      <c r="AC9" s="126">
        <v>230283</v>
      </c>
      <c r="AD9" s="1">
        <v>-38408.841999999997</v>
      </c>
      <c r="AE9" s="1">
        <v>157142.79800000001</v>
      </c>
      <c r="AF9" s="1">
        <v>201899.94099999999</v>
      </c>
      <c r="AG9" s="1">
        <v>77076.278000000006</v>
      </c>
      <c r="AH9" s="1">
        <v>-46952.862000000001</v>
      </c>
      <c r="AI9" s="1">
        <v>599.79700000000003</v>
      </c>
      <c r="AK9" s="1">
        <v>126348.932</v>
      </c>
      <c r="AL9" s="1">
        <v>44125.432999999997</v>
      </c>
    </row>
    <row r="10" spans="1:38" ht="12.75" customHeight="1">
      <c r="A10" s="1" t="s">
        <v>25</v>
      </c>
      <c r="B10" s="1">
        <v>174</v>
      </c>
      <c r="C10" s="1">
        <f>0+223</f>
        <v>223</v>
      </c>
      <c r="D10" s="1">
        <f>0+361</f>
        <v>361</v>
      </c>
      <c r="I10" s="126">
        <v>30.413</v>
      </c>
      <c r="J10" s="126">
        <v>26.792000000000002</v>
      </c>
      <c r="K10" s="1">
        <v>39267.040000000001</v>
      </c>
      <c r="L10" s="1">
        <v>248.06200000000001</v>
      </c>
      <c r="M10" s="1">
        <v>169.011</v>
      </c>
      <c r="N10" s="1">
        <v>0</v>
      </c>
      <c r="O10" s="1">
        <v>0</v>
      </c>
      <c r="R10" s="24">
        <v>0</v>
      </c>
      <c r="S10" s="1">
        <v>0</v>
      </c>
      <c r="T10" s="44">
        <v>52141.275000000001</v>
      </c>
      <c r="U10" s="1">
        <v>114279.216</v>
      </c>
      <c r="V10" s="1">
        <v>29265.728999999999</v>
      </c>
      <c r="W10" s="126">
        <v>78718.784</v>
      </c>
      <c r="X10" s="126">
        <v>56696.472999999998</v>
      </c>
      <c r="Y10" s="126">
        <v>130830.166</v>
      </c>
      <c r="Z10" s="126">
        <v>129035.86199999999</v>
      </c>
      <c r="AA10" s="126">
        <v>54735.565000000002</v>
      </c>
      <c r="AB10" s="126">
        <v>177268.67199999999</v>
      </c>
      <c r="AC10" s="126">
        <v>141006</v>
      </c>
      <c r="AD10" s="1">
        <v>87825.607999999993</v>
      </c>
      <c r="AE10" s="1">
        <v>67151.679999999993</v>
      </c>
      <c r="AF10" s="1">
        <v>159285.57800000001</v>
      </c>
      <c r="AG10" s="1">
        <v>56493.275999999998</v>
      </c>
      <c r="AH10" s="1">
        <v>56832.392</v>
      </c>
      <c r="AI10" s="1">
        <v>107620.933</v>
      </c>
      <c r="AK10" s="1">
        <v>233462.11</v>
      </c>
      <c r="AL10" s="1">
        <v>182711.008</v>
      </c>
    </row>
    <row r="11" spans="1:38" ht="12.75" customHeight="1">
      <c r="A11" s="1" t="s">
        <v>26</v>
      </c>
      <c r="B11" s="1">
        <f>696+1346</f>
        <v>2042</v>
      </c>
      <c r="C11" s="1">
        <f>835+969</f>
        <v>1804</v>
      </c>
      <c r="D11" s="1">
        <f>963+789</f>
        <v>1752</v>
      </c>
      <c r="I11" s="126">
        <v>2754.5430000000001</v>
      </c>
      <c r="J11" s="126">
        <v>3541.8470000000002</v>
      </c>
      <c r="K11" s="1">
        <v>4303.3879999999999</v>
      </c>
      <c r="L11" s="1">
        <v>6996.0079999999998</v>
      </c>
      <c r="M11" s="1">
        <v>3326.6579999999999</v>
      </c>
      <c r="N11" s="1">
        <v>3262.6489999999999</v>
      </c>
      <c r="O11" s="1">
        <v>2810.989</v>
      </c>
      <c r="R11" s="24">
        <v>4369.759</v>
      </c>
      <c r="S11" s="1">
        <v>4962.2910000000002</v>
      </c>
      <c r="T11" s="44">
        <v>17730.011999999999</v>
      </c>
      <c r="U11" s="1">
        <v>15423.502</v>
      </c>
      <c r="V11" s="1">
        <v>-1617.9490000000001</v>
      </c>
      <c r="W11" s="126">
        <v>21691.261999999999</v>
      </c>
      <c r="X11" s="126">
        <v>35360.343000000001</v>
      </c>
      <c r="Y11" s="126">
        <v>53588.711000000003</v>
      </c>
      <c r="Z11" s="126">
        <v>37293.292000000001</v>
      </c>
      <c r="AA11" s="126">
        <v>16941.823</v>
      </c>
      <c r="AB11" s="126">
        <v>25069.916000000001</v>
      </c>
      <c r="AC11" s="126">
        <v>28393</v>
      </c>
      <c r="AD11" s="1">
        <v>19752.233</v>
      </c>
      <c r="AE11" s="1">
        <v>24722.455000000002</v>
      </c>
      <c r="AF11" s="1">
        <v>33591.487000000001</v>
      </c>
      <c r="AG11" s="1">
        <v>21169.028999999999</v>
      </c>
      <c r="AH11" s="1">
        <v>20119.291000000001</v>
      </c>
      <c r="AI11" s="1">
        <v>40892.194000000003</v>
      </c>
      <c r="AK11" s="1">
        <v>61083.625999999997</v>
      </c>
      <c r="AL11" s="1">
        <v>53502.099000000002</v>
      </c>
    </row>
    <row r="12" spans="1:38" ht="12.75" customHeight="1">
      <c r="A12" s="1" t="s">
        <v>27</v>
      </c>
      <c r="B12" s="1">
        <v>2028</v>
      </c>
      <c r="C12" s="1">
        <f>3057+9</f>
        <v>3066</v>
      </c>
      <c r="D12" s="1">
        <f>5037+10</f>
        <v>5047</v>
      </c>
      <c r="I12" s="126">
        <v>8683.2900000000009</v>
      </c>
      <c r="J12" s="126">
        <v>6128.3829999999998</v>
      </c>
      <c r="K12" s="1">
        <v>5893.5219999999999</v>
      </c>
      <c r="L12" s="1">
        <v>5088.335</v>
      </c>
      <c r="M12" s="1">
        <v>10235.907999999999</v>
      </c>
      <c r="N12" s="1">
        <v>12130.831</v>
      </c>
      <c r="O12" s="1">
        <v>13587.120999999999</v>
      </c>
      <c r="R12" s="18">
        <v>21116.92</v>
      </c>
      <c r="S12" s="1">
        <v>22523.148000000001</v>
      </c>
      <c r="T12" s="44">
        <v>9289.7389999999996</v>
      </c>
      <c r="U12" s="1">
        <v>45312.266000000003</v>
      </c>
      <c r="V12" s="1">
        <v>90745.760999999999</v>
      </c>
      <c r="W12" s="126">
        <v>73167.163</v>
      </c>
      <c r="X12" s="126">
        <v>138425.00399999999</v>
      </c>
      <c r="Y12" s="126">
        <v>195412.75599999999</v>
      </c>
      <c r="Z12" s="126">
        <v>-25351.438999999998</v>
      </c>
      <c r="AA12" s="126">
        <v>-160304.66399999999</v>
      </c>
      <c r="AB12" s="126">
        <v>114543.66499999999</v>
      </c>
      <c r="AC12" s="126">
        <v>166331</v>
      </c>
      <c r="AD12" s="1">
        <v>9609.7790000000005</v>
      </c>
      <c r="AE12" s="1">
        <v>112360.041</v>
      </c>
      <c r="AF12" s="1">
        <v>166985.49299999999</v>
      </c>
      <c r="AG12" s="1">
        <v>48364.932999999997</v>
      </c>
      <c r="AH12" s="1">
        <v>-4490.6949999999997</v>
      </c>
      <c r="AI12" s="1">
        <v>125248.16800000001</v>
      </c>
      <c r="AK12" s="1">
        <v>125405.92200000001</v>
      </c>
      <c r="AL12" s="1">
        <v>40326.387999999999</v>
      </c>
    </row>
    <row r="13" spans="1:38" ht="12.75" customHeight="1">
      <c r="A13" s="1" t="s">
        <v>28</v>
      </c>
      <c r="B13" s="1">
        <f>78+718</f>
        <v>796</v>
      </c>
      <c r="C13" s="1">
        <f>72+157</f>
        <v>229</v>
      </c>
      <c r="D13" s="1">
        <f>173+224</f>
        <v>397</v>
      </c>
      <c r="I13" s="126">
        <v>646.91499999999996</v>
      </c>
      <c r="J13" s="126">
        <v>524.51700000000005</v>
      </c>
      <c r="K13" s="1">
        <v>999.88599999999997</v>
      </c>
      <c r="L13" s="1">
        <v>1339.3050000000001</v>
      </c>
      <c r="M13" s="1">
        <v>3787.4929999999999</v>
      </c>
      <c r="N13" s="1">
        <v>4500.6620000000003</v>
      </c>
      <c r="O13" s="1">
        <v>6334.3209999999999</v>
      </c>
      <c r="R13" s="18">
        <v>9099.3269999999993</v>
      </c>
      <c r="S13" s="1">
        <v>7633.7179999999998</v>
      </c>
      <c r="T13" s="44">
        <v>22792.867999999999</v>
      </c>
      <c r="U13" s="1">
        <v>14320.629000000001</v>
      </c>
      <c r="V13" s="1">
        <v>16594.723999999998</v>
      </c>
      <c r="W13" s="126">
        <v>28696.697</v>
      </c>
      <c r="X13" s="126">
        <v>35028.919000000002</v>
      </c>
      <c r="Y13" s="126">
        <v>66797.623999999996</v>
      </c>
      <c r="Z13" s="126">
        <v>42081.866999999998</v>
      </c>
      <c r="AA13" s="126">
        <v>-780.26400000000001</v>
      </c>
      <c r="AB13" s="126">
        <v>35379.627</v>
      </c>
      <c r="AC13" s="126">
        <v>47789</v>
      </c>
      <c r="AD13" s="1">
        <v>48572.633999999998</v>
      </c>
      <c r="AE13" s="1">
        <v>25669.708999999999</v>
      </c>
      <c r="AF13" s="1">
        <v>67037.490999999995</v>
      </c>
      <c r="AG13" s="1">
        <v>21876.131000000001</v>
      </c>
      <c r="AH13" s="1">
        <v>30824.01</v>
      </c>
      <c r="AI13" s="1">
        <v>39080.6</v>
      </c>
      <c r="AK13" s="1">
        <v>68763.324999999997</v>
      </c>
      <c r="AL13" s="1">
        <v>62151.300999999999</v>
      </c>
    </row>
    <row r="14" spans="1:38" ht="12.75" customHeight="1">
      <c r="A14" s="1" t="s">
        <v>29</v>
      </c>
      <c r="B14" s="1">
        <v>1196</v>
      </c>
      <c r="C14" s="1">
        <f>0+1073</f>
        <v>1073</v>
      </c>
      <c r="D14" s="1">
        <f>0+1247</f>
        <v>1247</v>
      </c>
      <c r="I14" s="126">
        <v>4677.2169999999996</v>
      </c>
      <c r="J14" s="126">
        <v>7960.5510000000004</v>
      </c>
      <c r="K14" s="1">
        <v>3889.9650000000001</v>
      </c>
      <c r="L14" s="1">
        <v>3431.9969999999998</v>
      </c>
      <c r="M14" s="1">
        <v>5286.5190000000002</v>
      </c>
      <c r="N14" s="1">
        <v>6615.7950000000001</v>
      </c>
      <c r="O14" s="1">
        <v>8268.3369999999995</v>
      </c>
      <c r="R14" s="18">
        <v>11456.727000000001</v>
      </c>
      <c r="S14" s="1">
        <v>18142.266</v>
      </c>
      <c r="T14" s="44">
        <v>-868.15599999999995</v>
      </c>
      <c r="U14" s="1">
        <v>21391.424999999999</v>
      </c>
      <c r="V14" s="1">
        <v>68328.849000000002</v>
      </c>
      <c r="W14" s="126">
        <v>73633.991999999998</v>
      </c>
      <c r="X14" s="126">
        <v>98424.642000000007</v>
      </c>
      <c r="Y14" s="126">
        <v>151829.98199999999</v>
      </c>
      <c r="Z14" s="126">
        <v>56073.743999999999</v>
      </c>
      <c r="AA14" s="126">
        <v>-83976.57</v>
      </c>
      <c r="AB14" s="126">
        <v>48241.212</v>
      </c>
      <c r="AC14" s="126">
        <v>62741</v>
      </c>
      <c r="AD14" s="1">
        <v>22044.251</v>
      </c>
      <c r="AE14" s="1">
        <v>32597.167000000001</v>
      </c>
      <c r="AF14" s="1">
        <v>46771.353000000003</v>
      </c>
      <c r="AG14" s="1">
        <v>31632.616999999998</v>
      </c>
      <c r="AH14" s="1">
        <v>20372.958999999999</v>
      </c>
      <c r="AI14" s="1">
        <v>61559.775000000001</v>
      </c>
      <c r="AK14" s="1">
        <v>74368.745999999999</v>
      </c>
      <c r="AL14" s="1">
        <v>80611.093999999997</v>
      </c>
    </row>
    <row r="15" spans="1:38" ht="12.75" customHeight="1">
      <c r="A15" s="1" t="s">
        <v>30</v>
      </c>
      <c r="B15" s="1">
        <f>44+500</f>
        <v>544</v>
      </c>
      <c r="C15" s="1">
        <f>194+438</f>
        <v>632</v>
      </c>
      <c r="D15" s="1">
        <f>496+436</f>
        <v>932</v>
      </c>
      <c r="I15" s="126">
        <v>1113.8240000000001</v>
      </c>
      <c r="J15" s="126">
        <v>1106.366</v>
      </c>
      <c r="K15" s="1">
        <v>955.78700000000003</v>
      </c>
      <c r="L15" s="1">
        <v>867.255</v>
      </c>
      <c r="M15" s="1">
        <v>857.43700000000001</v>
      </c>
      <c r="N15" s="1">
        <v>1461.4110000000001</v>
      </c>
      <c r="O15" s="1">
        <v>1605.127</v>
      </c>
      <c r="R15" s="18">
        <v>3856.1840000000002</v>
      </c>
      <c r="S15" s="1">
        <v>4531.4960000000001</v>
      </c>
      <c r="T15" s="44">
        <v>10174.013999999999</v>
      </c>
      <c r="U15" s="1">
        <v>15651.922</v>
      </c>
      <c r="V15" s="1">
        <v>18956.757000000001</v>
      </c>
      <c r="W15" s="126">
        <v>23172.059000000001</v>
      </c>
      <c r="X15" s="126">
        <v>27396.607</v>
      </c>
      <c r="Y15" s="126">
        <v>55096.15</v>
      </c>
      <c r="Z15" s="126">
        <v>19910.112000000001</v>
      </c>
      <c r="AA15" s="126">
        <v>-1083.617</v>
      </c>
      <c r="AB15" s="126">
        <v>29654.614000000001</v>
      </c>
      <c r="AC15" s="126">
        <v>34696</v>
      </c>
      <c r="AD15" s="1">
        <v>6419.7979999999998</v>
      </c>
      <c r="AE15" s="1">
        <v>20719.483</v>
      </c>
      <c r="AF15" s="1">
        <v>33726.307999999997</v>
      </c>
      <c r="AG15" s="1">
        <v>12777.79</v>
      </c>
      <c r="AH15" s="1">
        <v>17490.07</v>
      </c>
      <c r="AI15" s="1">
        <v>31836.937999999998</v>
      </c>
      <c r="AK15" s="1">
        <v>41523.695</v>
      </c>
      <c r="AL15" s="1">
        <v>16186.509</v>
      </c>
    </row>
    <row r="16" spans="1:38" ht="12.75" customHeight="1">
      <c r="A16" s="1" t="s">
        <v>31</v>
      </c>
      <c r="B16" s="1">
        <f>3889+2330</f>
        <v>6219</v>
      </c>
      <c r="C16" s="1">
        <f>3530+2102</f>
        <v>5632</v>
      </c>
      <c r="D16" s="1">
        <f>3953+2199</f>
        <v>6152</v>
      </c>
      <c r="I16" s="126">
        <v>9511.31</v>
      </c>
      <c r="J16" s="126">
        <v>10866.977000000001</v>
      </c>
      <c r="K16" s="1">
        <v>11984.725</v>
      </c>
      <c r="L16" s="1">
        <v>15059.013000000001</v>
      </c>
      <c r="M16" s="1">
        <v>18055.973000000002</v>
      </c>
      <c r="N16" s="1">
        <v>18871.141</v>
      </c>
      <c r="O16" s="1">
        <v>21260.315999999999</v>
      </c>
      <c r="R16" s="18">
        <v>33179.298000000003</v>
      </c>
      <c r="S16" s="1">
        <v>21156.828000000001</v>
      </c>
      <c r="T16" s="44">
        <v>56693.010999999999</v>
      </c>
      <c r="U16" s="1">
        <v>73205.267999999996</v>
      </c>
      <c r="V16" s="1">
        <v>214347.766</v>
      </c>
      <c r="W16" s="126">
        <v>215318.54500000001</v>
      </c>
      <c r="X16" s="126">
        <v>284509.56599999999</v>
      </c>
      <c r="Y16" s="126">
        <v>450872.89899999998</v>
      </c>
      <c r="Z16" s="126">
        <v>191801.902</v>
      </c>
      <c r="AA16" s="126">
        <v>-365543.24099999998</v>
      </c>
      <c r="AB16" s="126">
        <v>174659.571</v>
      </c>
      <c r="AC16" s="126">
        <v>324198</v>
      </c>
      <c r="AD16" s="1">
        <v>51273.35</v>
      </c>
      <c r="AE16" s="1">
        <v>284712.16399999999</v>
      </c>
      <c r="AF16" s="1">
        <v>391985.24599999998</v>
      </c>
      <c r="AG16" s="1">
        <v>261854.11600000001</v>
      </c>
      <c r="AH16" s="1">
        <v>-34296.743999999999</v>
      </c>
      <c r="AI16" s="1">
        <v>410067.33799999999</v>
      </c>
      <c r="AK16" s="1">
        <v>361735.98700000002</v>
      </c>
      <c r="AL16" s="1">
        <v>195230.16399999999</v>
      </c>
    </row>
    <row r="17" spans="1:38" ht="12.75" customHeight="1">
      <c r="A17" s="1" t="s">
        <v>32</v>
      </c>
      <c r="B17" s="1">
        <v>0</v>
      </c>
      <c r="C17" s="1">
        <f>0+0</f>
        <v>0</v>
      </c>
      <c r="D17" s="1">
        <f>0+0</f>
        <v>0</v>
      </c>
      <c r="I17" s="126">
        <v>649.12800000000004</v>
      </c>
      <c r="J17" s="126">
        <v>1308.0409999999999</v>
      </c>
      <c r="K17" s="1">
        <v>1451.912</v>
      </c>
      <c r="L17" s="1">
        <v>2066.09</v>
      </c>
      <c r="M17" s="1">
        <v>2453.9789999999998</v>
      </c>
      <c r="N17" s="1">
        <v>3197.3359999999998</v>
      </c>
      <c r="O17" s="1">
        <v>4625.55</v>
      </c>
      <c r="R17" s="18">
        <v>13481.684999999999</v>
      </c>
      <c r="S17" s="1">
        <v>15155.145</v>
      </c>
      <c r="T17" s="44">
        <v>9277.0849999999991</v>
      </c>
      <c r="U17" s="1">
        <v>9141.7739999999994</v>
      </c>
      <c r="V17" s="1">
        <v>9178.0650000000005</v>
      </c>
      <c r="W17" s="126">
        <v>15306.637000000001</v>
      </c>
      <c r="X17" s="126">
        <v>22672.473999999998</v>
      </c>
      <c r="Y17" s="126">
        <v>45448.940999999999</v>
      </c>
      <c r="Z17" s="126">
        <v>30506.15</v>
      </c>
      <c r="AA17" s="126">
        <v>-655.08199999999999</v>
      </c>
      <c r="AB17" s="126">
        <v>37120.705000000002</v>
      </c>
      <c r="AC17" s="126">
        <v>35930</v>
      </c>
      <c r="AD17" s="1">
        <v>16794.09</v>
      </c>
      <c r="AE17" s="1">
        <v>22753.867999999999</v>
      </c>
      <c r="AF17" s="1">
        <v>31015.387999999999</v>
      </c>
      <c r="AG17" s="1">
        <v>20357.131000000001</v>
      </c>
      <c r="AH17" s="1">
        <v>12813.087</v>
      </c>
      <c r="AI17" s="1">
        <v>36467.957999999999</v>
      </c>
      <c r="AK17" s="1">
        <v>55158.288999999997</v>
      </c>
      <c r="AL17" s="1">
        <v>40257.75</v>
      </c>
    </row>
    <row r="18" spans="1:38" ht="12.75" customHeight="1">
      <c r="A18" s="1" t="s">
        <v>33</v>
      </c>
      <c r="B18" s="1">
        <f>274+128</f>
        <v>402</v>
      </c>
      <c r="C18" s="1">
        <f>712+66</f>
        <v>778</v>
      </c>
      <c r="D18" s="1">
        <f>1254+299</f>
        <v>1553</v>
      </c>
      <c r="I18" s="126">
        <v>2043.47</v>
      </c>
      <c r="J18" s="126">
        <v>2348.3739999999998</v>
      </c>
      <c r="K18" s="1">
        <v>2144.828</v>
      </c>
      <c r="L18" s="1">
        <v>2536.2469999999998</v>
      </c>
      <c r="M18" s="1">
        <v>2656.4070000000002</v>
      </c>
      <c r="N18" s="1">
        <v>2465.8490000000002</v>
      </c>
      <c r="O18" s="1">
        <v>2434.623</v>
      </c>
      <c r="R18" s="18">
        <v>3105.4850000000001</v>
      </c>
      <c r="S18" s="1">
        <v>3501.43</v>
      </c>
      <c r="T18" s="44">
        <v>18885.650000000001</v>
      </c>
      <c r="U18" s="1">
        <v>23901.422999999999</v>
      </c>
      <c r="V18" s="1">
        <v>18286.401999999998</v>
      </c>
      <c r="W18" s="126">
        <v>22276.805</v>
      </c>
      <c r="X18" s="126">
        <v>22485.194</v>
      </c>
      <c r="Y18" s="126">
        <v>47553.095999999998</v>
      </c>
      <c r="Z18" s="126">
        <v>24565.863000000001</v>
      </c>
      <c r="AA18" s="126">
        <v>15408.787</v>
      </c>
      <c r="AB18" s="126">
        <v>57441.430999999997</v>
      </c>
      <c r="AC18" s="126">
        <v>56965</v>
      </c>
      <c r="AD18" s="1">
        <v>22738.055</v>
      </c>
      <c r="AE18" s="1">
        <v>32570.541000000001</v>
      </c>
      <c r="AF18" s="1">
        <v>50060.646000000001</v>
      </c>
      <c r="AG18" s="1">
        <v>15638.359</v>
      </c>
      <c r="AH18" s="1">
        <v>10968.1</v>
      </c>
      <c r="AI18" s="1">
        <v>41098.944000000003</v>
      </c>
      <c r="AK18" s="1">
        <v>68193.788</v>
      </c>
      <c r="AL18" s="1">
        <v>55062.870999999999</v>
      </c>
    </row>
    <row r="19" spans="1:38" ht="12.75" customHeight="1">
      <c r="A19" s="1" t="s">
        <v>34</v>
      </c>
      <c r="B19" s="1">
        <f>1472+1735</f>
        <v>3207</v>
      </c>
      <c r="C19" s="1">
        <f>1891+1832</f>
        <v>3723</v>
      </c>
      <c r="D19" s="1">
        <f>1544+2154</f>
        <v>3698</v>
      </c>
      <c r="I19" s="126">
        <v>13299.925999999999</v>
      </c>
      <c r="J19" s="126">
        <v>13643.16</v>
      </c>
      <c r="K19" s="1">
        <v>15298.074000000001</v>
      </c>
      <c r="L19" s="1">
        <v>14186.434999999999</v>
      </c>
      <c r="M19" s="1">
        <v>14087.257</v>
      </c>
      <c r="N19" s="1">
        <v>14811.873</v>
      </c>
      <c r="O19" s="1">
        <v>17574.7</v>
      </c>
      <c r="R19" s="24">
        <v>21471.502</v>
      </c>
      <c r="S19" s="1">
        <v>29233.386999999999</v>
      </c>
      <c r="T19" s="44">
        <v>45736.228999999999</v>
      </c>
      <c r="U19" s="1">
        <v>48890.413999999997</v>
      </c>
      <c r="V19" s="1">
        <v>91753.934999999998</v>
      </c>
      <c r="W19" s="126">
        <v>100408.053</v>
      </c>
      <c r="X19" s="126">
        <v>127072.598</v>
      </c>
      <c r="Y19" s="126">
        <v>198471.31400000001</v>
      </c>
      <c r="Z19" s="126">
        <v>38032.756999999998</v>
      </c>
      <c r="AA19" s="126">
        <v>-94768.520999999993</v>
      </c>
      <c r="AB19" s="126">
        <v>125225.067</v>
      </c>
      <c r="AC19" s="126">
        <v>136694</v>
      </c>
      <c r="AD19" s="1">
        <v>19793.878000000001</v>
      </c>
      <c r="AE19" s="1">
        <v>113836.538</v>
      </c>
      <c r="AF19" s="1">
        <v>145811.29999999999</v>
      </c>
      <c r="AG19" s="1">
        <v>37517.964999999997</v>
      </c>
      <c r="AH19" s="1">
        <v>43378.940999999999</v>
      </c>
      <c r="AI19" s="1">
        <v>92498.198000000004</v>
      </c>
      <c r="AK19" s="1">
        <v>66989.778000000006</v>
      </c>
      <c r="AL19" s="1">
        <v>13588.704</v>
      </c>
    </row>
    <row r="20" spans="1:38" ht="12.75" customHeight="1">
      <c r="A20" s="1" t="s">
        <v>35</v>
      </c>
      <c r="B20" s="1">
        <f>49625+9433</f>
        <v>59058</v>
      </c>
      <c r="C20" s="1">
        <f>50847+10539</f>
        <v>61386</v>
      </c>
      <c r="D20" s="1">
        <f>69127+11271</f>
        <v>80398</v>
      </c>
      <c r="I20" s="126">
        <v>46469.612000000001</v>
      </c>
      <c r="J20" s="126">
        <v>133101.978</v>
      </c>
      <c r="K20" s="1">
        <v>130949.083</v>
      </c>
      <c r="L20" s="1">
        <v>137600.90700000001</v>
      </c>
      <c r="M20" s="1">
        <v>136204.834</v>
      </c>
      <c r="N20" s="1">
        <v>159136.91500000001</v>
      </c>
      <c r="O20" s="1">
        <v>163348.21100000001</v>
      </c>
      <c r="R20" s="18">
        <v>269934.84899999999</v>
      </c>
      <c r="S20" s="1">
        <v>289265.03600000002</v>
      </c>
      <c r="T20" s="44">
        <v>23732.833999999999</v>
      </c>
      <c r="U20" s="1">
        <v>501506.50199999998</v>
      </c>
      <c r="V20" s="1">
        <v>682088.97499999998</v>
      </c>
      <c r="W20" s="126">
        <v>931704.20900000003</v>
      </c>
      <c r="X20" s="126">
        <v>794524.70900000003</v>
      </c>
      <c r="Y20" s="126">
        <v>1214789.2379999999</v>
      </c>
      <c r="Z20" s="126">
        <v>275668.42800000001</v>
      </c>
      <c r="AA20" s="126">
        <v>-714339.69499999995</v>
      </c>
      <c r="AB20" s="126">
        <v>908871.49100000004</v>
      </c>
      <c r="AC20" s="126">
        <v>1174618</v>
      </c>
      <c r="AD20" s="1">
        <v>484451.20600000001</v>
      </c>
      <c r="AE20" s="1">
        <v>656628.38899999997</v>
      </c>
      <c r="AF20" s="1">
        <v>1246531.682</v>
      </c>
      <c r="AG20" s="1">
        <v>23167.275000000001</v>
      </c>
      <c r="AH20" s="1">
        <v>692774.94299999997</v>
      </c>
      <c r="AI20" s="1">
        <v>1633879.88</v>
      </c>
      <c r="AK20" s="1">
        <v>1214291.1299999999</v>
      </c>
      <c r="AL20" s="1">
        <v>1909453.1580000001</v>
      </c>
    </row>
    <row r="21" spans="1:38" ht="12.75" customHeight="1">
      <c r="A21" s="1" t="s">
        <v>36</v>
      </c>
      <c r="B21" s="1">
        <f>9825+1589</f>
        <v>11414</v>
      </c>
      <c r="C21" s="1">
        <f>11350+2262</f>
        <v>13612</v>
      </c>
      <c r="D21" s="1">
        <f>11921+2597</f>
        <v>14518</v>
      </c>
      <c r="I21" s="126">
        <v>26233.966</v>
      </c>
      <c r="J21" s="126">
        <v>26477.562999999998</v>
      </c>
      <c r="K21" s="1">
        <v>28836.42</v>
      </c>
      <c r="L21" s="1">
        <v>28598.887999999999</v>
      </c>
      <c r="M21" s="1">
        <v>30168.618999999999</v>
      </c>
      <c r="N21" s="1">
        <v>34572.682000000001</v>
      </c>
      <c r="O21" s="1">
        <v>36772.065999999999</v>
      </c>
      <c r="R21" s="18">
        <v>50302.936000000002</v>
      </c>
      <c r="S21" s="1">
        <v>57768.010999999999</v>
      </c>
      <c r="T21" s="44">
        <v>32319.274000000001</v>
      </c>
      <c r="U21" s="1">
        <v>206693.90100000001</v>
      </c>
      <c r="V21" s="1">
        <v>281743.47600000002</v>
      </c>
      <c r="W21" s="126">
        <v>355035.07799999998</v>
      </c>
      <c r="X21" s="126">
        <v>403136.74699999997</v>
      </c>
      <c r="Y21" s="126">
        <v>793847.71200000006</v>
      </c>
      <c r="Z21" s="126">
        <v>300351.89299999998</v>
      </c>
      <c r="AA21" s="126">
        <v>-850444.76399999997</v>
      </c>
      <c r="AB21" s="126">
        <v>498270.859</v>
      </c>
      <c r="AC21" s="126">
        <v>878346</v>
      </c>
      <c r="AD21" s="1">
        <v>221866.723</v>
      </c>
      <c r="AE21" s="1">
        <v>596409.23800000001</v>
      </c>
      <c r="AF21" s="1">
        <v>933265.24199999997</v>
      </c>
      <c r="AG21" s="1">
        <v>445646.587</v>
      </c>
      <c r="AH21" s="1">
        <v>-109237.52099999999</v>
      </c>
      <c r="AI21" s="1">
        <v>791152.09900000005</v>
      </c>
      <c r="AK21" s="1">
        <v>470349.59700000001</v>
      </c>
      <c r="AL21" s="1">
        <v>381385.71</v>
      </c>
    </row>
    <row r="22" spans="1:38" ht="12.75" customHeight="1">
      <c r="A22" s="27" t="s">
        <v>37</v>
      </c>
      <c r="B22" s="27">
        <f>30+6</f>
        <v>36</v>
      </c>
      <c r="C22" s="27">
        <f>0+3</f>
        <v>3</v>
      </c>
      <c r="D22" s="27">
        <f>84+9</f>
        <v>93</v>
      </c>
      <c r="E22" s="27"/>
      <c r="F22" s="27"/>
      <c r="G22" s="27"/>
      <c r="H22" s="27"/>
      <c r="I22" s="127">
        <v>661.351</v>
      </c>
      <c r="J22" s="127">
        <v>0</v>
      </c>
      <c r="K22" s="27">
        <v>0</v>
      </c>
      <c r="L22" s="27">
        <v>0</v>
      </c>
      <c r="M22" s="27">
        <v>0</v>
      </c>
      <c r="N22" s="27">
        <v>0</v>
      </c>
      <c r="O22" s="27">
        <v>0</v>
      </c>
      <c r="P22" s="27"/>
      <c r="Q22" s="27"/>
      <c r="R22" s="27">
        <v>0</v>
      </c>
      <c r="S22" s="27">
        <v>0</v>
      </c>
      <c r="T22" s="61">
        <v>10025.266</v>
      </c>
      <c r="U22" s="27">
        <v>6925.4880000000003</v>
      </c>
      <c r="V22" s="27">
        <v>3647.473</v>
      </c>
      <c r="W22" s="127">
        <v>10045.575000000001</v>
      </c>
      <c r="X22" s="127">
        <v>14998.492</v>
      </c>
      <c r="Y22" s="127">
        <v>21490.011999999999</v>
      </c>
      <c r="Z22" s="127">
        <v>12618.745000000001</v>
      </c>
      <c r="AA22" s="127">
        <v>-4201.2380000000003</v>
      </c>
      <c r="AB22" s="127">
        <v>9497.107</v>
      </c>
      <c r="AC22" s="127">
        <v>11187</v>
      </c>
      <c r="AD22" s="27">
        <v>4029.3910000000001</v>
      </c>
      <c r="AE22" s="27">
        <v>14759.87</v>
      </c>
      <c r="AF22" s="27">
        <v>22728.41</v>
      </c>
      <c r="AG22" s="27">
        <v>5494.4409999999998</v>
      </c>
      <c r="AH22" s="27">
        <v>-113.46599999999999</v>
      </c>
      <c r="AI22" s="27">
        <v>28306.925999999999</v>
      </c>
      <c r="AJ22" s="27"/>
      <c r="AK22" s="1">
        <v>22419.414000000001</v>
      </c>
      <c r="AL22" s="1">
        <v>16111.141</v>
      </c>
    </row>
    <row r="23" spans="1:38" ht="12.75" customHeight="1">
      <c r="A23" s="6" t="s">
        <v>38</v>
      </c>
      <c r="B23" s="6"/>
      <c r="C23" s="6"/>
      <c r="D23" s="6"/>
      <c r="I23" s="51"/>
      <c r="J23" s="51">
        <f>SUM(J25:J37)</f>
        <v>51993.947</v>
      </c>
      <c r="M23" s="51">
        <f>SUM(M25:M37)</f>
        <v>63311.246000000006</v>
      </c>
      <c r="O23" s="51">
        <f>SUM(O25:O37)</f>
        <v>164369.07276000004</v>
      </c>
      <c r="R23" s="51">
        <f t="shared" ref="R23:AK23" si="17">SUM(R25:R37)</f>
        <v>192403.712</v>
      </c>
      <c r="S23" s="51">
        <f t="shared" si="17"/>
        <v>205695.83499999996</v>
      </c>
      <c r="T23" s="60">
        <f t="shared" si="17"/>
        <v>203919.40900000001</v>
      </c>
      <c r="U23" s="51">
        <f t="shared" si="17"/>
        <v>378173.95099999994</v>
      </c>
      <c r="V23" s="51">
        <f t="shared" si="17"/>
        <v>591539.59399999992</v>
      </c>
      <c r="W23" s="51">
        <f t="shared" si="17"/>
        <v>613784.65499999991</v>
      </c>
      <c r="X23" s="51">
        <f t="shared" si="17"/>
        <v>804958.7570000001</v>
      </c>
      <c r="Y23" s="51">
        <f t="shared" si="17"/>
        <v>1349183.7480000001</v>
      </c>
      <c r="Z23" s="51">
        <f t="shared" si="17"/>
        <v>474265.88100000005</v>
      </c>
      <c r="AA23" s="51">
        <f t="shared" si="17"/>
        <v>-523907.43299999996</v>
      </c>
      <c r="AB23" s="51">
        <f t="shared" si="17"/>
        <v>1112271.531</v>
      </c>
      <c r="AC23" s="51">
        <f t="shared" si="17"/>
        <v>1349076</v>
      </c>
      <c r="AD23" s="51">
        <f t="shared" si="17"/>
        <v>634399.5560000001</v>
      </c>
      <c r="AE23" s="51">
        <f t="shared" si="17"/>
        <v>1173933.2949999999</v>
      </c>
      <c r="AF23" s="51">
        <f t="shared" si="17"/>
        <v>1540914.1760000002</v>
      </c>
      <c r="AG23" s="51">
        <f t="shared" si="17"/>
        <v>811575.09899999993</v>
      </c>
      <c r="AH23" s="51">
        <f t="shared" si="17"/>
        <v>848630.51900000009</v>
      </c>
      <c r="AI23" s="51">
        <f t="shared" si="17"/>
        <v>1594230.6510000003</v>
      </c>
      <c r="AJ23" s="51">
        <f t="shared" si="17"/>
        <v>0</v>
      </c>
      <c r="AK23" s="131">
        <f t="shared" si="17"/>
        <v>2012747.2740000004</v>
      </c>
      <c r="AL23" s="131">
        <f t="shared" ref="AL23" si="18">SUM(AL25:AL37)</f>
        <v>1685763.6989999998</v>
      </c>
    </row>
    <row r="24" spans="1:38" ht="12.75" customHeight="1">
      <c r="A24" s="6" t="s">
        <v>94</v>
      </c>
      <c r="B24" s="6"/>
      <c r="C24" s="6"/>
      <c r="D24" s="6"/>
      <c r="T24" s="44"/>
      <c r="AA24" s="10">
        <v>0</v>
      </c>
      <c r="AD24" s="1">
        <v>0</v>
      </c>
      <c r="AF24" s="1">
        <v>0</v>
      </c>
      <c r="AH24" s="1">
        <v>0</v>
      </c>
      <c r="AI24" s="1">
        <v>0</v>
      </c>
    </row>
    <row r="25" spans="1:38" ht="12.75" customHeight="1">
      <c r="A25" s="1" t="s">
        <v>39</v>
      </c>
      <c r="I25" s="126"/>
      <c r="J25" s="126">
        <v>706.76499999999999</v>
      </c>
      <c r="M25" s="1">
        <v>639.44500000000005</v>
      </c>
      <c r="O25" s="1">
        <v>5013.5910000000003</v>
      </c>
      <c r="R25" s="18">
        <v>941.84199999999998</v>
      </c>
      <c r="S25" s="1">
        <v>558.149</v>
      </c>
      <c r="T25" s="44">
        <v>1252.518</v>
      </c>
      <c r="U25" s="1">
        <v>2955.4560000000001</v>
      </c>
      <c r="V25" s="1">
        <v>2370.8290000000002</v>
      </c>
      <c r="W25" s="126">
        <v>2625.6970000000001</v>
      </c>
      <c r="X25" s="126">
        <v>4236.3469999999998</v>
      </c>
      <c r="Y25" s="126">
        <v>830.94500000000005</v>
      </c>
      <c r="Z25" s="126">
        <v>497.39699999999999</v>
      </c>
      <c r="AA25" s="126">
        <v>-4500.6620000000003</v>
      </c>
      <c r="AB25" s="126">
        <v>150.179</v>
      </c>
      <c r="AC25" s="126">
        <v>-7</v>
      </c>
      <c r="AD25" s="1">
        <v>10.397</v>
      </c>
      <c r="AE25" s="1">
        <v>1241.2650000000001</v>
      </c>
      <c r="AF25" s="1">
        <v>-727.91399999999999</v>
      </c>
      <c r="AG25" s="1">
        <v>-747.99199999999996</v>
      </c>
      <c r="AH25" s="1">
        <v>983.072</v>
      </c>
      <c r="AI25" s="1">
        <v>1198.444</v>
      </c>
      <c r="AK25" s="1">
        <v>442.93900000000002</v>
      </c>
      <c r="AL25" s="1">
        <v>1455.87</v>
      </c>
    </row>
    <row r="26" spans="1:38" ht="12.75" customHeight="1">
      <c r="A26" s="1" t="s">
        <v>40</v>
      </c>
      <c r="I26" s="126"/>
      <c r="J26" s="126">
        <v>9596.4850000000006</v>
      </c>
      <c r="M26" s="1">
        <v>4674.7929999999997</v>
      </c>
      <c r="O26" s="1">
        <v>5140.6779999999999</v>
      </c>
      <c r="R26" s="18">
        <v>7358.64</v>
      </c>
      <c r="S26" s="1">
        <v>9958.35</v>
      </c>
      <c r="T26" s="44">
        <v>5240.8580000000002</v>
      </c>
      <c r="U26" s="1">
        <v>18506.949000000001</v>
      </c>
      <c r="V26" s="1">
        <v>33913.220999999998</v>
      </c>
      <c r="W26" s="126">
        <v>41839.572</v>
      </c>
      <c r="X26" s="126">
        <v>52938.911</v>
      </c>
      <c r="Y26" s="126">
        <v>79795.573999999993</v>
      </c>
      <c r="Z26" s="126">
        <v>20263.238000000001</v>
      </c>
      <c r="AA26" s="126">
        <v>-31871.191999999999</v>
      </c>
      <c r="AB26" s="126">
        <v>29821.233</v>
      </c>
      <c r="AC26" s="126">
        <v>48800</v>
      </c>
      <c r="AD26" s="1">
        <v>4434.9769999999999</v>
      </c>
      <c r="AE26" s="1">
        <v>33286.694000000003</v>
      </c>
      <c r="AF26" s="1">
        <v>69194.338000000003</v>
      </c>
      <c r="AG26" s="1">
        <v>13541.716</v>
      </c>
      <c r="AH26" s="1">
        <v>20386.886999999999</v>
      </c>
      <c r="AI26" s="1">
        <v>58863.059000000001</v>
      </c>
      <c r="AK26" s="1">
        <v>115253.632</v>
      </c>
      <c r="AL26" s="1">
        <v>62422.082999999999</v>
      </c>
    </row>
    <row r="27" spans="1:38" ht="12.75" customHeight="1">
      <c r="A27" s="1" t="s">
        <v>41</v>
      </c>
      <c r="I27" s="126"/>
      <c r="J27" s="126">
        <v>4358.4009999999998</v>
      </c>
      <c r="M27" s="1">
        <v>2074.6019999999999</v>
      </c>
      <c r="O27" s="1">
        <v>89765.104000000007</v>
      </c>
      <c r="R27" s="18">
        <v>92470.998999999996</v>
      </c>
      <c r="S27" s="1">
        <v>99696.622000000003</v>
      </c>
      <c r="T27" s="44">
        <v>38924.089999999997</v>
      </c>
      <c r="U27" s="1">
        <v>38244.419000000002</v>
      </c>
      <c r="V27" s="1">
        <v>15993.311</v>
      </c>
      <c r="W27" s="126">
        <v>31854.962</v>
      </c>
      <c r="X27" s="126">
        <v>66216.447</v>
      </c>
      <c r="Y27" s="126">
        <v>104794.84299999999</v>
      </c>
      <c r="Z27" s="126">
        <v>101358.10400000001</v>
      </c>
      <c r="AA27" s="126">
        <v>121310.321</v>
      </c>
      <c r="AB27" s="126">
        <v>346920.78899999999</v>
      </c>
      <c r="AC27" s="126">
        <v>364054</v>
      </c>
      <c r="AD27" s="1">
        <v>399957.71</v>
      </c>
      <c r="AE27" s="1">
        <v>411266.43</v>
      </c>
      <c r="AF27" s="1">
        <v>356974.43199999997</v>
      </c>
      <c r="AG27" s="1">
        <v>364444.91700000002</v>
      </c>
      <c r="AH27" s="1">
        <v>594026.20499999996</v>
      </c>
      <c r="AI27" s="1">
        <v>578299.32400000002</v>
      </c>
      <c r="AK27" s="1">
        <v>847710.05099999998</v>
      </c>
      <c r="AL27" s="1">
        <v>870938.15399999998</v>
      </c>
    </row>
    <row r="28" spans="1:38" ht="12.75" customHeight="1">
      <c r="A28" s="1" t="s">
        <v>42</v>
      </c>
      <c r="I28" s="126"/>
      <c r="J28" s="126">
        <v>321.76400000000001</v>
      </c>
      <c r="M28" s="1">
        <v>7549.7120000000004</v>
      </c>
      <c r="O28" s="1">
        <v>7588.6918499999992</v>
      </c>
      <c r="R28" s="18">
        <v>18248.172999999999</v>
      </c>
      <c r="S28" s="1">
        <v>13595.571</v>
      </c>
      <c r="T28" s="44">
        <v>32169.273000000001</v>
      </c>
      <c r="U28" s="1">
        <v>29191.126</v>
      </c>
      <c r="V28" s="1">
        <v>5018.9219999999996</v>
      </c>
      <c r="W28" s="126">
        <v>15233.498</v>
      </c>
      <c r="X28" s="126">
        <v>23186.017</v>
      </c>
      <c r="Y28" s="126">
        <v>40399.894</v>
      </c>
      <c r="Z28" s="126">
        <v>40512.25</v>
      </c>
      <c r="AA28" s="126">
        <v>30077.528999999999</v>
      </c>
      <c r="AB28" s="126">
        <v>39756.694000000003</v>
      </c>
      <c r="AC28" s="126">
        <v>29201</v>
      </c>
      <c r="AD28" s="1">
        <v>22925.363000000001</v>
      </c>
      <c r="AE28" s="1">
        <v>15595.802</v>
      </c>
      <c r="AF28" s="1">
        <v>50045.364999999998</v>
      </c>
      <c r="AG28" s="1">
        <v>20633.8</v>
      </c>
      <c r="AH28" s="1">
        <v>32332.645</v>
      </c>
      <c r="AI28" s="1">
        <v>21899.723999999998</v>
      </c>
      <c r="AK28" s="1">
        <v>80694.313999999998</v>
      </c>
      <c r="AL28" s="1">
        <v>84943.948000000004</v>
      </c>
    </row>
    <row r="29" spans="1:38" ht="12.75" customHeight="1">
      <c r="A29" s="1" t="s">
        <v>43</v>
      </c>
      <c r="I29" s="126"/>
      <c r="J29" s="126">
        <v>1630.529</v>
      </c>
      <c r="M29" s="1">
        <v>1855.5519999999999</v>
      </c>
      <c r="O29" s="1">
        <v>1899.4369999999999</v>
      </c>
      <c r="R29" s="18">
        <v>2422.395</v>
      </c>
      <c r="S29" s="1">
        <v>2651.192</v>
      </c>
      <c r="T29" s="44">
        <v>5026.0720000000001</v>
      </c>
      <c r="U29" s="1">
        <v>11465.476000000001</v>
      </c>
      <c r="V29" s="1">
        <v>9270.7369999999992</v>
      </c>
      <c r="W29" s="126">
        <v>7786.9620000000004</v>
      </c>
      <c r="X29" s="126">
        <v>6540.2659999999996</v>
      </c>
      <c r="Y29" s="126">
        <v>13563.102999999999</v>
      </c>
      <c r="Z29" s="126">
        <v>10507.754000000001</v>
      </c>
      <c r="AA29" s="126">
        <v>6667.3950000000004</v>
      </c>
      <c r="AB29" s="126">
        <v>10393.541999999999</v>
      </c>
      <c r="AC29" s="126">
        <v>11098</v>
      </c>
      <c r="AD29" s="1">
        <v>1568.7909999999999</v>
      </c>
      <c r="AE29" s="1">
        <v>7389.2349999999997</v>
      </c>
      <c r="AF29" s="1">
        <v>5669.7560000000003</v>
      </c>
      <c r="AG29" s="1">
        <v>1859.9929999999999</v>
      </c>
      <c r="AH29" s="1">
        <v>-994.82399999999996</v>
      </c>
      <c r="AI29" s="1">
        <v>5741.2060000000001</v>
      </c>
      <c r="AK29" s="1">
        <v>9206.3160000000007</v>
      </c>
      <c r="AL29" s="1">
        <v>8149.098</v>
      </c>
    </row>
    <row r="30" spans="1:38" ht="12.75" customHeight="1">
      <c r="A30" s="1" t="s">
        <v>44</v>
      </c>
      <c r="I30" s="126"/>
      <c r="J30" s="126">
        <v>7790.1270000000004</v>
      </c>
      <c r="M30" s="1">
        <v>8525.8189999999995</v>
      </c>
      <c r="O30" s="1">
        <v>10487.773999999999</v>
      </c>
      <c r="R30" s="18">
        <v>12720.572</v>
      </c>
      <c r="S30" s="1">
        <v>14082.683000000001</v>
      </c>
      <c r="T30" s="44">
        <v>12577.671</v>
      </c>
      <c r="U30" s="1">
        <v>12963.575999999999</v>
      </c>
      <c r="V30" s="1">
        <v>8010.4949999999999</v>
      </c>
      <c r="W30" s="126">
        <v>6333.5290000000005</v>
      </c>
      <c r="X30" s="126">
        <v>9555.3909999999996</v>
      </c>
      <c r="Y30" s="126">
        <v>19947.081999999999</v>
      </c>
      <c r="Z30" s="126">
        <v>16028.253000000001</v>
      </c>
      <c r="AA30" s="126">
        <v>8219.4470000000001</v>
      </c>
      <c r="AB30" s="126">
        <v>5049.3810000000003</v>
      </c>
      <c r="AC30" s="126">
        <v>2667</v>
      </c>
      <c r="AD30" s="1">
        <v>47.945</v>
      </c>
      <c r="AE30" s="1">
        <v>5657.5690000000004</v>
      </c>
      <c r="AF30" s="1">
        <v>2408.6010000000001</v>
      </c>
      <c r="AG30" s="1">
        <v>2451.0700000000002</v>
      </c>
      <c r="AH30" s="1">
        <v>7103.0060000000003</v>
      </c>
      <c r="AI30" s="1">
        <v>1434.962</v>
      </c>
      <c r="AK30" s="1">
        <v>11966.58</v>
      </c>
      <c r="AL30" s="1">
        <v>9269.8029999999999</v>
      </c>
    </row>
    <row r="31" spans="1:38" ht="12.75" customHeight="1">
      <c r="A31" s="1" t="s">
        <v>45</v>
      </c>
      <c r="I31" s="126"/>
      <c r="J31" s="126">
        <v>215.41200000000001</v>
      </c>
      <c r="M31" s="1">
        <v>118.625</v>
      </c>
      <c r="O31" s="1">
        <v>176.68199999999999</v>
      </c>
      <c r="R31" s="24">
        <v>168.22</v>
      </c>
      <c r="S31" s="1">
        <v>213.69</v>
      </c>
      <c r="T31" s="44">
        <v>2779.3519999999999</v>
      </c>
      <c r="U31" s="1">
        <v>3563.0819999999999</v>
      </c>
      <c r="V31" s="1">
        <v>2641.9659999999999</v>
      </c>
      <c r="W31" s="126">
        <v>7727.3040000000001</v>
      </c>
      <c r="X31" s="126">
        <v>13133.290999999999</v>
      </c>
      <c r="Y31" s="126">
        <v>18114.341</v>
      </c>
      <c r="Z31" s="126">
        <v>9846.4339999999993</v>
      </c>
      <c r="AA31" s="126">
        <v>1980.7380000000001</v>
      </c>
      <c r="AB31" s="126">
        <v>6415.6729999999998</v>
      </c>
      <c r="AC31" s="126">
        <v>9394</v>
      </c>
      <c r="AD31" s="1">
        <v>5839.0240000000003</v>
      </c>
      <c r="AE31" s="1">
        <v>5123.3119999999999</v>
      </c>
      <c r="AF31" s="1">
        <v>10624.316000000001</v>
      </c>
      <c r="AG31" s="1">
        <v>5554.5950000000003</v>
      </c>
      <c r="AH31" s="1">
        <v>5484.9849999999997</v>
      </c>
      <c r="AI31" s="1">
        <v>5693.2259999999997</v>
      </c>
      <c r="AK31" s="1">
        <v>13955.77</v>
      </c>
      <c r="AL31" s="1">
        <v>9701.2279999999992</v>
      </c>
    </row>
    <row r="32" spans="1:38" ht="12.75" customHeight="1">
      <c r="A32" s="1" t="s">
        <v>46</v>
      </c>
      <c r="I32" s="126"/>
      <c r="J32" s="126">
        <v>1778.8610000000001</v>
      </c>
      <c r="M32" s="1">
        <v>1328.2180000000001</v>
      </c>
      <c r="O32" s="1">
        <v>2404.444</v>
      </c>
      <c r="R32" s="24">
        <v>4278.143</v>
      </c>
      <c r="S32" s="1">
        <v>4116.3220000000001</v>
      </c>
      <c r="T32" s="44">
        <v>-3648.9920000000002</v>
      </c>
      <c r="U32" s="1">
        <v>11164.697</v>
      </c>
      <c r="V32" s="1">
        <v>38640.01</v>
      </c>
      <c r="W32" s="126">
        <v>37383.546999999999</v>
      </c>
      <c r="X32" s="126">
        <v>46694.904999999999</v>
      </c>
      <c r="Y32" s="126">
        <v>75979.282000000007</v>
      </c>
      <c r="Z32" s="126">
        <v>4253.95</v>
      </c>
      <c r="AA32" s="126">
        <v>-63664.116999999998</v>
      </c>
      <c r="AB32" s="126">
        <v>45929.620999999999</v>
      </c>
      <c r="AC32" s="126">
        <v>65673</v>
      </c>
      <c r="AD32" s="1">
        <v>11599.784</v>
      </c>
      <c r="AE32" s="1">
        <v>53723.696000000004</v>
      </c>
      <c r="AF32" s="1">
        <v>79585.714000000007</v>
      </c>
      <c r="AG32" s="1">
        <v>2683.723</v>
      </c>
      <c r="AH32" s="1">
        <v>-1484.029</v>
      </c>
      <c r="AI32" s="1">
        <v>58533.226000000002</v>
      </c>
      <c r="AK32" s="1">
        <v>35544.949999999997</v>
      </c>
      <c r="AL32" s="1">
        <v>16988.054</v>
      </c>
    </row>
    <row r="33" spans="1:38" ht="12.75" customHeight="1">
      <c r="A33" s="1" t="s">
        <v>47</v>
      </c>
      <c r="I33" s="126"/>
      <c r="J33" s="126">
        <v>2253.125</v>
      </c>
      <c r="M33" s="1">
        <v>7296.5510000000004</v>
      </c>
      <c r="O33" s="1">
        <v>9416.064910000001</v>
      </c>
      <c r="R33" s="24">
        <v>9834.1820000000007</v>
      </c>
      <c r="S33" s="1">
        <v>10672.11</v>
      </c>
      <c r="T33" s="44">
        <v>4401.8209999999999</v>
      </c>
      <c r="U33" s="1">
        <v>22514.911</v>
      </c>
      <c r="V33" s="1">
        <v>49445.487000000001</v>
      </c>
      <c r="W33" s="126">
        <v>40841.214</v>
      </c>
      <c r="X33" s="126">
        <v>57193.574999999997</v>
      </c>
      <c r="Y33" s="126">
        <v>102353.58100000001</v>
      </c>
      <c r="Z33" s="126">
        <v>23859.212</v>
      </c>
      <c r="AA33" s="126">
        <v>-81399.807000000001</v>
      </c>
      <c r="AB33" s="126">
        <v>59684.258000000002</v>
      </c>
      <c r="AC33" s="126">
        <v>79484</v>
      </c>
      <c r="AD33" s="1">
        <v>15982.378000000001</v>
      </c>
      <c r="AE33" s="1">
        <v>58487.167999999998</v>
      </c>
      <c r="AF33" s="1">
        <v>85625.728000000003</v>
      </c>
      <c r="AG33" s="1">
        <v>13649.481</v>
      </c>
      <c r="AH33" s="1">
        <v>5412.7629999999999</v>
      </c>
      <c r="AI33" s="1">
        <v>41273.982000000004</v>
      </c>
      <c r="AK33" s="1">
        <v>56389.525999999998</v>
      </c>
      <c r="AL33" s="1">
        <v>42526.226000000002</v>
      </c>
    </row>
    <row r="34" spans="1:38" ht="12.75" customHeight="1">
      <c r="A34" s="1" t="s">
        <v>48</v>
      </c>
      <c r="I34" s="126"/>
      <c r="J34" s="126">
        <v>5624.8230000000003</v>
      </c>
      <c r="M34" s="1">
        <v>5146.9279999999999</v>
      </c>
      <c r="O34" s="1">
        <v>3661.12</v>
      </c>
      <c r="R34" s="18">
        <v>4309.1469999999999</v>
      </c>
      <c r="S34" s="1">
        <v>4521.3630000000003</v>
      </c>
      <c r="T34" s="44">
        <v>10082.364</v>
      </c>
      <c r="U34" s="1">
        <v>35688.231</v>
      </c>
      <c r="V34" s="1">
        <v>55877.114999999998</v>
      </c>
      <c r="W34" s="126">
        <v>62144.428999999996</v>
      </c>
      <c r="X34" s="126">
        <v>75237.076000000001</v>
      </c>
      <c r="Y34" s="126">
        <v>110895.80899999999</v>
      </c>
      <c r="Z34" s="126">
        <v>40301.118999999999</v>
      </c>
      <c r="AA34" s="126">
        <v>8301.5540000000001</v>
      </c>
      <c r="AB34" s="126">
        <v>80250.899000000005</v>
      </c>
      <c r="AC34" s="126">
        <v>112346</v>
      </c>
      <c r="AD34" s="1">
        <v>38946.803999999996</v>
      </c>
      <c r="AE34" s="1">
        <v>86810.081000000006</v>
      </c>
      <c r="AF34" s="1">
        <v>135500.193</v>
      </c>
      <c r="AG34" s="1">
        <v>36258.095000000001</v>
      </c>
      <c r="AH34" s="1">
        <v>43896.688000000002</v>
      </c>
      <c r="AI34" s="1">
        <v>145543.44200000001</v>
      </c>
      <c r="AK34" s="1">
        <v>210584.891</v>
      </c>
      <c r="AL34" s="1">
        <v>146992.57199999999</v>
      </c>
    </row>
    <row r="35" spans="1:38" ht="12.75" customHeight="1">
      <c r="A35" s="1" t="s">
        <v>49</v>
      </c>
      <c r="I35" s="126"/>
      <c r="J35" s="126">
        <v>9116.8819999999996</v>
      </c>
      <c r="M35" s="1">
        <v>9780.634</v>
      </c>
      <c r="O35" s="1">
        <v>13611.245999999999</v>
      </c>
      <c r="R35" s="18">
        <v>15098.885</v>
      </c>
      <c r="S35" s="1">
        <v>17986.205999999998</v>
      </c>
      <c r="T35" s="44">
        <v>-2366.4110000000001</v>
      </c>
      <c r="U35" s="1">
        <v>36857.300999999999</v>
      </c>
      <c r="V35" s="1">
        <v>76698.032999999996</v>
      </c>
      <c r="W35" s="126">
        <v>71199.543000000005</v>
      </c>
      <c r="X35" s="126">
        <v>87797.445999999996</v>
      </c>
      <c r="Y35" s="126">
        <v>171209.22700000001</v>
      </c>
      <c r="Z35" s="126">
        <v>36936.008000000002</v>
      </c>
      <c r="AA35" s="126">
        <v>-56328.224000000002</v>
      </c>
      <c r="AB35" s="126">
        <v>90812.788</v>
      </c>
      <c r="AC35" s="126">
        <v>138054</v>
      </c>
      <c r="AD35" s="1">
        <v>38480.42</v>
      </c>
      <c r="AE35" s="1">
        <v>76688.031000000003</v>
      </c>
      <c r="AF35" s="1">
        <v>146427.87100000001</v>
      </c>
      <c r="AG35" s="1">
        <v>60300.434999999998</v>
      </c>
      <c r="AH35" s="1">
        <v>47390.591</v>
      </c>
      <c r="AI35" s="1">
        <v>144496.37700000001</v>
      </c>
      <c r="AK35" s="1">
        <v>194078.546</v>
      </c>
      <c r="AL35" s="1">
        <v>126569.49400000001</v>
      </c>
    </row>
    <row r="36" spans="1:38" ht="12.75" customHeight="1">
      <c r="A36" s="1" t="s">
        <v>50</v>
      </c>
      <c r="I36" s="126"/>
      <c r="J36" s="126">
        <v>5611.0290000000005</v>
      </c>
      <c r="M36" s="1">
        <v>11602.298000000001</v>
      </c>
      <c r="O36" s="1">
        <v>12710.632</v>
      </c>
      <c r="R36" s="18">
        <v>21512.09</v>
      </c>
      <c r="S36" s="1">
        <v>24861.598000000002</v>
      </c>
      <c r="T36" s="44">
        <v>95743.312999999995</v>
      </c>
      <c r="U36" s="1">
        <v>148794.4</v>
      </c>
      <c r="V36" s="1">
        <v>281255.99300000002</v>
      </c>
      <c r="W36" s="126">
        <v>278085.73700000002</v>
      </c>
      <c r="X36" s="126">
        <v>341009.85100000002</v>
      </c>
      <c r="Y36" s="126">
        <v>586887.027</v>
      </c>
      <c r="Z36" s="126">
        <v>164726.42499999999</v>
      </c>
      <c r="AA36" s="126">
        <v>-436963.75699999998</v>
      </c>
      <c r="AB36" s="126">
        <v>380531.951</v>
      </c>
      <c r="AC36" s="126">
        <v>457600</v>
      </c>
      <c r="AD36" s="1">
        <v>92660.172999999995</v>
      </c>
      <c r="AE36" s="1">
        <v>398838.10800000001</v>
      </c>
      <c r="AF36" s="1">
        <v>570124.67200000002</v>
      </c>
      <c r="AG36" s="1">
        <v>284877.25300000003</v>
      </c>
      <c r="AH36" s="1">
        <v>98448.751999999993</v>
      </c>
      <c r="AI36" s="1">
        <v>508352.04499999998</v>
      </c>
      <c r="AK36" s="1">
        <v>423745.75900000002</v>
      </c>
      <c r="AL36" s="1">
        <v>290642.16899999999</v>
      </c>
    </row>
    <row r="37" spans="1:38" ht="12.75" customHeight="1">
      <c r="A37" s="27" t="s">
        <v>51</v>
      </c>
      <c r="B37" s="27"/>
      <c r="C37" s="27"/>
      <c r="D37" s="27"/>
      <c r="E37" s="27"/>
      <c r="F37" s="27"/>
      <c r="G37" s="27"/>
      <c r="H37" s="27"/>
      <c r="I37" s="127"/>
      <c r="J37" s="127">
        <v>2989.7440000000001</v>
      </c>
      <c r="K37" s="27"/>
      <c r="L37" s="27"/>
      <c r="M37" s="27">
        <v>2718.069</v>
      </c>
      <c r="N37" s="27"/>
      <c r="O37" s="27">
        <v>2493.6080000000002</v>
      </c>
      <c r="P37" s="27"/>
      <c r="Q37" s="27"/>
      <c r="R37" s="37">
        <v>3040.424</v>
      </c>
      <c r="S37" s="27">
        <v>2781.9789999999998</v>
      </c>
      <c r="T37" s="61">
        <v>1737.48</v>
      </c>
      <c r="U37" s="27">
        <v>6264.3270000000002</v>
      </c>
      <c r="V37" s="27">
        <v>12403.475</v>
      </c>
      <c r="W37" s="127">
        <v>10728.661</v>
      </c>
      <c r="X37" s="127">
        <v>21219.234</v>
      </c>
      <c r="Y37" s="127">
        <v>24413.040000000001</v>
      </c>
      <c r="Z37" s="127">
        <v>5175.7370000000001</v>
      </c>
      <c r="AA37" s="127">
        <v>-25736.657999999999</v>
      </c>
      <c r="AB37" s="127">
        <v>16554.523000000001</v>
      </c>
      <c r="AC37" s="127">
        <v>30712</v>
      </c>
      <c r="AD37" s="27">
        <v>1945.79</v>
      </c>
      <c r="AE37" s="27">
        <v>19825.903999999999</v>
      </c>
      <c r="AF37" s="27">
        <v>29461.103999999999</v>
      </c>
      <c r="AG37" s="27">
        <v>6068.0129999999999</v>
      </c>
      <c r="AH37" s="27">
        <v>-4356.2219999999998</v>
      </c>
      <c r="AI37" s="27">
        <v>22901.633999999998</v>
      </c>
      <c r="AJ37" s="27"/>
      <c r="AK37" s="1">
        <v>13174</v>
      </c>
      <c r="AL37" s="1">
        <v>15165</v>
      </c>
    </row>
    <row r="38" spans="1:38" ht="12.75" customHeight="1">
      <c r="A38" s="6" t="s">
        <v>52</v>
      </c>
      <c r="B38" s="6"/>
      <c r="C38" s="6"/>
      <c r="D38" s="6"/>
      <c r="I38" s="51"/>
      <c r="J38" s="51">
        <f>SUM(J40:J51)</f>
        <v>134004.451</v>
      </c>
      <c r="M38" s="51">
        <f>SUM(M40:M51)</f>
        <v>159966.16700000002</v>
      </c>
      <c r="O38" s="51">
        <f>SUM(O40:O51)</f>
        <v>191643.57227999999</v>
      </c>
      <c r="R38" s="51">
        <f t="shared" ref="R38:AK38" si="19">SUM(R40:R51)</f>
        <v>269691.75099999999</v>
      </c>
      <c r="S38" s="51">
        <f t="shared" si="19"/>
        <v>328745.60000000003</v>
      </c>
      <c r="T38" s="60">
        <f t="shared" si="19"/>
        <v>327710.39399999997</v>
      </c>
      <c r="U38" s="51">
        <f t="shared" si="19"/>
        <v>802509.03299999994</v>
      </c>
      <c r="V38" s="51">
        <f t="shared" si="19"/>
        <v>1878305.7210000004</v>
      </c>
      <c r="W38" s="51">
        <f t="shared" si="19"/>
        <v>1922293.5459999996</v>
      </c>
      <c r="X38" s="51">
        <f t="shared" si="19"/>
        <v>2268021.1799999997</v>
      </c>
      <c r="Y38" s="51">
        <f t="shared" si="19"/>
        <v>3823988.2759999996</v>
      </c>
      <c r="Z38" s="51">
        <f t="shared" si="19"/>
        <v>816256.98199999996</v>
      </c>
      <c r="AA38" s="51">
        <f t="shared" si="19"/>
        <v>-3636329.6120000002</v>
      </c>
      <c r="AB38" s="51">
        <f t="shared" si="19"/>
        <v>2378594.8909999998</v>
      </c>
      <c r="AC38" s="51">
        <f t="shared" si="19"/>
        <v>3921179</v>
      </c>
      <c r="AD38" s="51">
        <f t="shared" si="19"/>
        <v>500120.48500000004</v>
      </c>
      <c r="AE38" s="51">
        <f t="shared" si="19"/>
        <v>2443374.0690000006</v>
      </c>
      <c r="AF38" s="51">
        <f t="shared" si="19"/>
        <v>4225587.8739999989</v>
      </c>
      <c r="AG38" s="51">
        <f t="shared" si="19"/>
        <v>1046747.1410000001</v>
      </c>
      <c r="AH38" s="51">
        <f t="shared" si="19"/>
        <v>-60469.667999999991</v>
      </c>
      <c r="AI38" s="51">
        <f t="shared" si="19"/>
        <v>3752118.5659999996</v>
      </c>
      <c r="AJ38" s="51">
        <f t="shared" si="19"/>
        <v>0</v>
      </c>
      <c r="AK38" s="131">
        <f t="shared" si="19"/>
        <v>2670858.1949999994</v>
      </c>
      <c r="AL38" s="131">
        <f t="shared" ref="AL38" si="20">SUM(AL40:AL51)</f>
        <v>1610123.7639999997</v>
      </c>
    </row>
    <row r="39" spans="1:38" ht="12.75" customHeight="1">
      <c r="A39" s="6" t="s">
        <v>94</v>
      </c>
      <c r="B39" s="6"/>
      <c r="C39" s="6"/>
      <c r="D39" s="6"/>
      <c r="T39" s="44"/>
      <c r="AA39" s="10">
        <v>0</v>
      </c>
      <c r="AD39" s="1">
        <v>0</v>
      </c>
      <c r="AF39" s="1">
        <v>0</v>
      </c>
      <c r="AH39" s="1">
        <v>0</v>
      </c>
      <c r="AI39" s="1">
        <v>0</v>
      </c>
    </row>
    <row r="40" spans="1:38" ht="12.75" customHeight="1">
      <c r="A40" s="1" t="s">
        <v>53</v>
      </c>
      <c r="I40" s="126"/>
      <c r="J40" s="126">
        <v>2996.2060000000001</v>
      </c>
      <c r="M40" s="1">
        <v>3842.8270000000002</v>
      </c>
      <c r="O40" s="1">
        <v>5054.7</v>
      </c>
      <c r="R40" s="18">
        <v>5709.8770000000004</v>
      </c>
      <c r="S40" s="1">
        <v>7045.5110000000004</v>
      </c>
      <c r="T40" s="44">
        <v>30671.96</v>
      </c>
      <c r="U40" s="1">
        <v>30939.067999999999</v>
      </c>
      <c r="V40" s="1">
        <v>11816.462</v>
      </c>
      <c r="W40" s="126">
        <v>31743.874</v>
      </c>
      <c r="X40" s="126">
        <v>43014.684999999998</v>
      </c>
      <c r="Y40" s="126">
        <v>105086.77099999999</v>
      </c>
      <c r="Z40" s="126">
        <v>29656.751</v>
      </c>
      <c r="AA40" s="126">
        <v>4539.8950000000004</v>
      </c>
      <c r="AB40" s="126">
        <v>53169.470999999998</v>
      </c>
      <c r="AC40" s="126">
        <v>18802</v>
      </c>
      <c r="AD40" s="1">
        <v>23456.606</v>
      </c>
      <c r="AE40" s="1">
        <v>38203.584999999999</v>
      </c>
      <c r="AF40" s="1">
        <v>27976.273000000001</v>
      </c>
      <c r="AG40" s="1">
        <v>44511.775999999998</v>
      </c>
      <c r="AH40" s="1">
        <v>37269.358</v>
      </c>
      <c r="AI40" s="1">
        <v>27678.048999999999</v>
      </c>
      <c r="AK40" s="1">
        <v>132370.06299999999</v>
      </c>
      <c r="AL40" s="1">
        <v>135500.59299999999</v>
      </c>
    </row>
    <row r="41" spans="1:38" ht="12.75" customHeight="1">
      <c r="A41" s="1" t="s">
        <v>54</v>
      </c>
      <c r="I41" s="126"/>
      <c r="J41" s="126">
        <v>7864.44</v>
      </c>
      <c r="M41" s="1">
        <v>7385.9539999999997</v>
      </c>
      <c r="O41" s="1">
        <v>8564.6630000000005</v>
      </c>
      <c r="R41" s="18">
        <v>12968.828</v>
      </c>
      <c r="S41" s="1">
        <v>16266.966</v>
      </c>
      <c r="T41" s="44">
        <v>27480.964</v>
      </c>
      <c r="U41" s="1">
        <v>94023.695000000007</v>
      </c>
      <c r="V41" s="1">
        <v>142450.47500000001</v>
      </c>
      <c r="W41" s="126">
        <v>176571.74600000001</v>
      </c>
      <c r="X41" s="126">
        <v>164715.731</v>
      </c>
      <c r="Y41" s="126">
        <v>332054.22700000001</v>
      </c>
      <c r="Z41" s="126">
        <v>105414.694</v>
      </c>
      <c r="AA41" s="126">
        <v>-160912.492</v>
      </c>
      <c r="AB41" s="126">
        <v>334088.73200000002</v>
      </c>
      <c r="AC41" s="126">
        <v>369343</v>
      </c>
      <c r="AD41" s="1">
        <v>103986.61500000001</v>
      </c>
      <c r="AE41" s="1">
        <v>199377.166</v>
      </c>
      <c r="AF41" s="1">
        <v>386992.38199999998</v>
      </c>
      <c r="AG41" s="1">
        <v>87636.178</v>
      </c>
      <c r="AH41" s="1">
        <v>25605.437000000002</v>
      </c>
      <c r="AI41" s="1">
        <v>254990.829</v>
      </c>
      <c r="AK41" s="1">
        <v>336370.587</v>
      </c>
      <c r="AL41" s="1">
        <v>196512.77</v>
      </c>
    </row>
    <row r="42" spans="1:38" ht="12.75" customHeight="1">
      <c r="A42" s="1" t="s">
        <v>55</v>
      </c>
      <c r="I42" s="126"/>
      <c r="J42" s="126">
        <v>1232.8440000000001</v>
      </c>
      <c r="M42" s="1">
        <v>1182.4570000000001</v>
      </c>
      <c r="O42" s="1">
        <v>3658.97</v>
      </c>
      <c r="R42" s="18">
        <v>8134.5789999999997</v>
      </c>
      <c r="S42" s="1">
        <v>6690.6360000000004</v>
      </c>
      <c r="T42" s="44">
        <v>13088.691000000001</v>
      </c>
      <c r="U42" s="1">
        <v>48925.773000000001</v>
      </c>
      <c r="V42" s="1">
        <v>46998.483999999997</v>
      </c>
      <c r="W42" s="126">
        <v>49265.667999999998</v>
      </c>
      <c r="X42" s="126">
        <v>58213.103000000003</v>
      </c>
      <c r="Y42" s="126">
        <v>115850.647</v>
      </c>
      <c r="Z42" s="126">
        <v>24641.458999999999</v>
      </c>
      <c r="AA42" s="126">
        <v>-61644.608999999997</v>
      </c>
      <c r="AB42" s="126">
        <v>97517.964000000007</v>
      </c>
      <c r="AC42" s="126">
        <v>140608</v>
      </c>
      <c r="AD42" s="1">
        <v>75612.92</v>
      </c>
      <c r="AE42" s="1">
        <v>92287.365000000005</v>
      </c>
      <c r="AF42" s="1">
        <v>166022.39799999999</v>
      </c>
      <c r="AG42" s="1">
        <v>24290.473000000002</v>
      </c>
      <c r="AH42" s="1">
        <v>52847.836000000003</v>
      </c>
      <c r="AI42" s="1">
        <v>139570.57</v>
      </c>
      <c r="AK42" s="1">
        <v>158488.992</v>
      </c>
      <c r="AL42" s="1">
        <v>131373.77499999999</v>
      </c>
    </row>
    <row r="43" spans="1:38" ht="12.75" customHeight="1">
      <c r="A43" s="1" t="s">
        <v>56</v>
      </c>
      <c r="I43" s="126"/>
      <c r="J43" s="126">
        <v>29425.762999999999</v>
      </c>
      <c r="M43" s="1">
        <v>32961.574000000001</v>
      </c>
      <c r="O43" s="1">
        <v>34879.567999999999</v>
      </c>
      <c r="R43" s="18">
        <v>52753.868999999999</v>
      </c>
      <c r="S43" s="1">
        <v>59785.449000000001</v>
      </c>
      <c r="T43" s="44">
        <v>7936.8689999999997</v>
      </c>
      <c r="U43" s="1">
        <v>5012.4390000000003</v>
      </c>
      <c r="V43" s="1">
        <v>14177.573</v>
      </c>
      <c r="W43" s="126">
        <v>14858.594999999999</v>
      </c>
      <c r="X43" s="126">
        <v>26777.463</v>
      </c>
      <c r="Y43" s="126">
        <v>37467.870999999999</v>
      </c>
      <c r="Z43" s="126">
        <v>15547.541999999999</v>
      </c>
      <c r="AA43" s="126">
        <v>-10339.413</v>
      </c>
      <c r="AB43" s="126">
        <v>31285.554</v>
      </c>
      <c r="AC43" s="126">
        <v>35661</v>
      </c>
      <c r="AD43" s="1">
        <v>5042.87</v>
      </c>
      <c r="AE43" s="1">
        <v>23186.288</v>
      </c>
      <c r="AF43" s="1">
        <v>28054.965</v>
      </c>
      <c r="AG43" s="1">
        <v>5034.7730000000001</v>
      </c>
      <c r="AH43" s="1">
        <v>13479.491</v>
      </c>
      <c r="AI43" s="1">
        <v>26286.838</v>
      </c>
      <c r="AK43" s="1">
        <v>22069.883999999998</v>
      </c>
      <c r="AL43" s="1">
        <v>8508.2610000000004</v>
      </c>
    </row>
    <row r="44" spans="1:38" ht="12.75" customHeight="1">
      <c r="A44" s="1" t="s">
        <v>57</v>
      </c>
      <c r="I44" s="126"/>
      <c r="J44" s="126">
        <v>23942.951000000001</v>
      </c>
      <c r="M44" s="1">
        <v>29642.994999999999</v>
      </c>
      <c r="O44" s="1">
        <v>46425.470999999998</v>
      </c>
      <c r="R44" s="18">
        <v>55283.298999999999</v>
      </c>
      <c r="S44" s="1">
        <v>96982.104000000007</v>
      </c>
      <c r="T44" s="44">
        <v>308062.94</v>
      </c>
      <c r="U44" s="1">
        <v>362804.98800000001</v>
      </c>
      <c r="V44" s="1">
        <v>917430.86</v>
      </c>
      <c r="W44" s="126">
        <v>1098159.9029999999</v>
      </c>
      <c r="X44" s="126">
        <v>1198735.2439999999</v>
      </c>
      <c r="Y44" s="126">
        <v>1973811.074</v>
      </c>
      <c r="Z44" s="126">
        <v>676742.25899999996</v>
      </c>
      <c r="AA44" s="126">
        <v>-2130926.6090000002</v>
      </c>
      <c r="AB44" s="126">
        <v>1069294.334</v>
      </c>
      <c r="AC44" s="126">
        <v>2049145</v>
      </c>
      <c r="AD44" s="1">
        <v>122119.02099999999</v>
      </c>
      <c r="AE44" s="1">
        <v>1125220.469</v>
      </c>
      <c r="AF44" s="1">
        <v>2131258.6439999999</v>
      </c>
      <c r="AG44" s="1">
        <v>478250.68</v>
      </c>
      <c r="AH44" s="1">
        <v>-232244.96799999999</v>
      </c>
      <c r="AI44" s="1">
        <v>1955513.1240000001</v>
      </c>
      <c r="AK44" s="1">
        <v>1174353.419</v>
      </c>
      <c r="AL44" s="1">
        <v>564729.56999999995</v>
      </c>
    </row>
    <row r="45" spans="1:38" ht="12.75" customHeight="1">
      <c r="A45" s="1" t="s">
        <v>58</v>
      </c>
      <c r="I45" s="126"/>
      <c r="J45" s="126">
        <v>11603.161</v>
      </c>
      <c r="M45" s="1">
        <v>10967.191000000001</v>
      </c>
      <c r="O45" s="1">
        <v>9882.1470000000008</v>
      </c>
      <c r="R45" s="18">
        <v>15917.772000000001</v>
      </c>
      <c r="S45" s="1">
        <v>16910.490000000002</v>
      </c>
      <c r="T45" s="44">
        <v>-56563.228999999999</v>
      </c>
      <c r="U45" s="1">
        <v>26699.531999999999</v>
      </c>
      <c r="V45" s="1">
        <v>31209.18</v>
      </c>
      <c r="W45" s="126">
        <v>35442.728000000003</v>
      </c>
      <c r="X45" s="126">
        <v>42711.917000000001</v>
      </c>
      <c r="Y45" s="126">
        <v>64347.23</v>
      </c>
      <c r="Z45" s="126">
        <v>47355.106</v>
      </c>
      <c r="AA45" s="126">
        <v>-264547.40299999999</v>
      </c>
      <c r="AB45" s="126">
        <v>58597.262999999999</v>
      </c>
      <c r="AC45" s="126">
        <v>184531</v>
      </c>
      <c r="AD45" s="1">
        <v>39481.39</v>
      </c>
      <c r="AE45" s="1">
        <v>126033.601</v>
      </c>
      <c r="AF45" s="1">
        <v>237975.12100000001</v>
      </c>
      <c r="AG45" s="1">
        <v>85067.748999999996</v>
      </c>
      <c r="AH45" s="1">
        <v>22701.279999999999</v>
      </c>
      <c r="AI45" s="1">
        <v>152280.88500000001</v>
      </c>
      <c r="AK45" s="1">
        <v>155377.31899999999</v>
      </c>
      <c r="AL45" s="1">
        <v>98553.43</v>
      </c>
    </row>
    <row r="46" spans="1:38" ht="12.75" customHeight="1">
      <c r="A46" s="1" t="s">
        <v>59</v>
      </c>
      <c r="I46" s="126"/>
      <c r="J46" s="126">
        <v>8683.1630000000005</v>
      </c>
      <c r="M46" s="1">
        <v>9245.7199999999993</v>
      </c>
      <c r="O46" s="1">
        <v>13829.495999999999</v>
      </c>
      <c r="R46" s="18">
        <v>20578.955999999998</v>
      </c>
      <c r="S46" s="1">
        <v>37828.298999999999</v>
      </c>
      <c r="T46" s="44">
        <v>45730.834000000003</v>
      </c>
      <c r="U46" s="1">
        <v>53744.025000000001</v>
      </c>
      <c r="V46" s="1">
        <v>99608.985000000001</v>
      </c>
      <c r="W46" s="126">
        <v>77996.237999999998</v>
      </c>
      <c r="X46" s="126">
        <v>109560.732</v>
      </c>
      <c r="Y46" s="126">
        <v>174928.95699999999</v>
      </c>
      <c r="Z46" s="126">
        <v>33890.786</v>
      </c>
      <c r="AA46" s="126">
        <v>-104719.52899999999</v>
      </c>
      <c r="AB46" s="126">
        <v>124860.444</v>
      </c>
      <c r="AC46" s="126">
        <v>187891</v>
      </c>
      <c r="AD46" s="1">
        <v>25865.637999999999</v>
      </c>
      <c r="AE46" s="1">
        <v>136299.43299999999</v>
      </c>
      <c r="AF46" s="1">
        <v>197086.72200000001</v>
      </c>
      <c r="AG46" s="1">
        <v>44376.415999999997</v>
      </c>
      <c r="AH46" s="1">
        <v>20762.266</v>
      </c>
      <c r="AI46" s="1">
        <v>185324.91099999999</v>
      </c>
      <c r="AK46" s="1">
        <v>122780.053</v>
      </c>
      <c r="AL46" s="1">
        <v>63645.35</v>
      </c>
    </row>
    <row r="47" spans="1:38" ht="12.75" customHeight="1">
      <c r="A47" s="1" t="s">
        <v>60</v>
      </c>
      <c r="I47" s="126"/>
      <c r="J47" s="126">
        <v>2717.6</v>
      </c>
      <c r="M47" s="1">
        <v>3192.8029999999999</v>
      </c>
      <c r="O47" s="1">
        <v>3008.174</v>
      </c>
      <c r="R47" s="24">
        <v>3323.2910000000002</v>
      </c>
      <c r="S47" s="1">
        <v>4124.8339999999998</v>
      </c>
      <c r="T47" s="44">
        <v>14446.695</v>
      </c>
      <c r="U47" s="1">
        <v>3035.0149999999999</v>
      </c>
      <c r="V47" s="1">
        <v>29216.053</v>
      </c>
      <c r="W47" s="126">
        <v>25783.348999999998</v>
      </c>
      <c r="X47" s="126">
        <v>44922.686000000002</v>
      </c>
      <c r="Y47" s="126">
        <v>47578.98</v>
      </c>
      <c r="Z47" s="126">
        <v>40157.535000000003</v>
      </c>
      <c r="AA47" s="126">
        <v>15552.775</v>
      </c>
      <c r="AB47" s="126">
        <v>17200.352999999999</v>
      </c>
      <c r="AC47" s="126">
        <v>30229</v>
      </c>
      <c r="AD47" s="1">
        <v>22474.827000000001</v>
      </c>
      <c r="AE47" s="1">
        <v>25001.433000000001</v>
      </c>
      <c r="AF47" s="1">
        <v>15368.307000000001</v>
      </c>
      <c r="AG47" s="1">
        <v>27968.721000000001</v>
      </c>
      <c r="AH47" s="1">
        <v>22277.251</v>
      </c>
      <c r="AI47" s="1">
        <v>46752.148999999998</v>
      </c>
      <c r="AK47" s="1">
        <v>29231.542000000001</v>
      </c>
      <c r="AL47" s="1">
        <v>15739.081</v>
      </c>
    </row>
    <row r="48" spans="1:38" ht="12.75" customHeight="1">
      <c r="A48" s="1" t="s">
        <v>61</v>
      </c>
      <c r="I48" s="126"/>
      <c r="J48" s="126">
        <v>2310.0549999999998</v>
      </c>
      <c r="M48" s="1">
        <v>2388.0010000000002</v>
      </c>
      <c r="O48" s="1">
        <v>2818.183</v>
      </c>
      <c r="R48" s="18">
        <v>4368.6620000000003</v>
      </c>
      <c r="S48" s="1">
        <v>4311.7870000000003</v>
      </c>
      <c r="T48" s="44">
        <v>5253.6090000000004</v>
      </c>
      <c r="U48" s="1">
        <v>4520.2969999999996</v>
      </c>
      <c r="V48" s="1">
        <v>6596.7520000000004</v>
      </c>
      <c r="W48" s="126">
        <v>5320.7879999999996</v>
      </c>
      <c r="X48" s="126">
        <v>6831.4669999999996</v>
      </c>
      <c r="Y48" s="126">
        <v>13706.415000000001</v>
      </c>
      <c r="Z48" s="126">
        <v>7156.56</v>
      </c>
      <c r="AA48" s="126">
        <v>4297.91</v>
      </c>
      <c r="AB48" s="126">
        <v>8125.91</v>
      </c>
      <c r="AC48" s="126">
        <v>9932</v>
      </c>
      <c r="AD48" s="1">
        <v>3994.511</v>
      </c>
      <c r="AE48" s="1">
        <v>5993.518</v>
      </c>
      <c r="AF48" s="1">
        <v>7452.8429999999998</v>
      </c>
      <c r="AG48" s="1">
        <v>4539.3100000000004</v>
      </c>
      <c r="AH48" s="1">
        <v>4176.9080000000004</v>
      </c>
      <c r="AI48" s="1">
        <v>8256.0390000000007</v>
      </c>
      <c r="AK48" s="1">
        <v>9990.5159999999996</v>
      </c>
      <c r="AL48" s="1">
        <v>10982.308999999999</v>
      </c>
    </row>
    <row r="49" spans="1:38" ht="12.75" customHeight="1">
      <c r="A49" s="1" t="s">
        <v>62</v>
      </c>
      <c r="I49" s="126"/>
      <c r="J49" s="126">
        <v>33611.807000000001</v>
      </c>
      <c r="M49" s="1">
        <v>43153.845999999998</v>
      </c>
      <c r="O49" s="1">
        <v>49948.544000000002</v>
      </c>
      <c r="R49" s="18">
        <v>77249.558000000005</v>
      </c>
      <c r="S49" s="1">
        <v>64135.502999999997</v>
      </c>
      <c r="T49" s="44">
        <v>-56568.826000000001</v>
      </c>
      <c r="U49" s="1">
        <v>158524.42499999999</v>
      </c>
      <c r="V49" s="1">
        <v>536616.08400000003</v>
      </c>
      <c r="W49" s="126">
        <v>367420.01199999999</v>
      </c>
      <c r="X49" s="126">
        <v>521083.41700000002</v>
      </c>
      <c r="Y49" s="126">
        <v>883951.00600000005</v>
      </c>
      <c r="Z49" s="126">
        <v>-180149.15700000001</v>
      </c>
      <c r="AA49" s="126">
        <v>-888647.69700000004</v>
      </c>
      <c r="AB49" s="126">
        <v>541492.4</v>
      </c>
      <c r="AC49" s="126">
        <v>829207</v>
      </c>
      <c r="AD49" s="1">
        <v>70511.091</v>
      </c>
      <c r="AE49" s="1">
        <v>631533.04700000002</v>
      </c>
      <c r="AF49" s="1">
        <v>966317.68799999997</v>
      </c>
      <c r="AG49" s="1">
        <v>238024.785</v>
      </c>
      <c r="AH49" s="1">
        <v>-31709.221000000001</v>
      </c>
      <c r="AI49" s="1">
        <v>899555.03599999996</v>
      </c>
      <c r="AK49" s="1">
        <v>446846.65899999999</v>
      </c>
      <c r="AL49" s="1">
        <v>336937.96799999999</v>
      </c>
    </row>
    <row r="50" spans="1:38" ht="12.75" customHeight="1">
      <c r="A50" s="1" t="s">
        <v>63</v>
      </c>
      <c r="I50" s="126"/>
      <c r="J50" s="126">
        <v>33.061999999999998</v>
      </c>
      <c r="M50" s="1">
        <v>1033.0239999999999</v>
      </c>
      <c r="O50" s="1">
        <v>1147.3382799999999</v>
      </c>
      <c r="R50" s="18">
        <v>826.61400000000003</v>
      </c>
      <c r="S50" s="1">
        <v>180.45500000000001</v>
      </c>
      <c r="T50" s="44">
        <v>1168.896</v>
      </c>
      <c r="U50" s="1">
        <v>903.89700000000005</v>
      </c>
      <c r="V50" s="1">
        <v>1252.1510000000001</v>
      </c>
      <c r="W50" s="126">
        <v>1753.9949999999999</v>
      </c>
      <c r="X50" s="126">
        <v>1563.383</v>
      </c>
      <c r="Y50" s="126">
        <v>2353.8380000000002</v>
      </c>
      <c r="Z50" s="126">
        <v>2799.6390000000001</v>
      </c>
      <c r="AA50" s="126">
        <v>2754.9780000000001</v>
      </c>
      <c r="AB50" s="126">
        <v>4721.0510000000004</v>
      </c>
      <c r="AC50" s="126">
        <v>3433</v>
      </c>
      <c r="AD50" s="1">
        <v>6595.1549999999997</v>
      </c>
      <c r="AE50" s="1">
        <v>1551.711</v>
      </c>
      <c r="AF50" s="1">
        <v>1014.513</v>
      </c>
      <c r="AG50" s="1">
        <v>1216.0889999999999</v>
      </c>
      <c r="AH50" s="1">
        <v>1922.0350000000001</v>
      </c>
      <c r="AI50" s="1">
        <v>1569.366</v>
      </c>
      <c r="AK50" s="1">
        <v>2269.7669999999998</v>
      </c>
      <c r="AL50" s="1">
        <v>2866.8110000000001</v>
      </c>
    </row>
    <row r="51" spans="1:38" ht="12.75" customHeight="1">
      <c r="A51" s="27" t="s">
        <v>64</v>
      </c>
      <c r="B51" s="27"/>
      <c r="C51" s="27"/>
      <c r="D51" s="27"/>
      <c r="E51" s="27"/>
      <c r="F51" s="27"/>
      <c r="G51" s="27"/>
      <c r="H51" s="27"/>
      <c r="I51" s="127"/>
      <c r="J51" s="127">
        <v>9583.3989999999994</v>
      </c>
      <c r="K51" s="27"/>
      <c r="L51" s="27"/>
      <c r="M51" s="27">
        <v>14969.775</v>
      </c>
      <c r="N51" s="27"/>
      <c r="O51" s="27">
        <v>12426.317999999999</v>
      </c>
      <c r="P51" s="27"/>
      <c r="Q51" s="27"/>
      <c r="R51" s="37">
        <v>12576.446</v>
      </c>
      <c r="S51" s="27">
        <v>14483.566000000001</v>
      </c>
      <c r="T51" s="61">
        <v>-12999.009</v>
      </c>
      <c r="U51" s="27">
        <v>13375.879000000001</v>
      </c>
      <c r="V51" s="27">
        <v>40932.661999999997</v>
      </c>
      <c r="W51" s="127">
        <v>37976.65</v>
      </c>
      <c r="X51" s="127">
        <v>49891.351999999999</v>
      </c>
      <c r="Y51" s="127">
        <v>72851.259999999995</v>
      </c>
      <c r="Z51" s="127">
        <v>13043.808000000001</v>
      </c>
      <c r="AA51" s="127">
        <v>-41737.417999999998</v>
      </c>
      <c r="AB51" s="127">
        <v>38241.415000000001</v>
      </c>
      <c r="AC51" s="127">
        <v>62397</v>
      </c>
      <c r="AD51" s="27">
        <v>979.84100000000001</v>
      </c>
      <c r="AE51" s="27">
        <v>38686.453000000001</v>
      </c>
      <c r="AF51" s="27">
        <v>60068.017999999996</v>
      </c>
      <c r="AG51" s="27">
        <v>5830.1909999999998</v>
      </c>
      <c r="AH51" s="27">
        <v>2442.6590000000001</v>
      </c>
      <c r="AI51" s="27">
        <v>54340.77</v>
      </c>
      <c r="AJ51" s="27"/>
      <c r="AK51" s="27">
        <v>80709.394</v>
      </c>
      <c r="AL51" s="1">
        <v>44773.845999999998</v>
      </c>
    </row>
    <row r="52" spans="1:38" ht="12.75" customHeight="1">
      <c r="A52" s="6" t="s">
        <v>65</v>
      </c>
      <c r="B52" s="6"/>
      <c r="C52" s="6"/>
      <c r="D52" s="6"/>
      <c r="I52" s="51"/>
      <c r="J52" s="51">
        <f>SUM(J54:J62)</f>
        <v>53621.279999999999</v>
      </c>
      <c r="M52" s="51">
        <f>SUM(M54:M62)</f>
        <v>66916.892999999996</v>
      </c>
      <c r="O52" s="51">
        <f>SUM(O54:O62)</f>
        <v>85401.639999999985</v>
      </c>
      <c r="R52" s="51">
        <f t="shared" ref="R52:AK52" si="21">SUM(R54:R62)</f>
        <v>104529.60999999999</v>
      </c>
      <c r="S52" s="51">
        <f t="shared" si="21"/>
        <v>122963.86499999999</v>
      </c>
      <c r="T52" s="60">
        <f t="shared" si="21"/>
        <v>128984.24899999998</v>
      </c>
      <c r="U52" s="51">
        <f t="shared" si="21"/>
        <v>158343.76699999999</v>
      </c>
      <c r="V52" s="51">
        <f t="shared" si="21"/>
        <v>186895.91800000001</v>
      </c>
      <c r="W52" s="51">
        <f t="shared" si="21"/>
        <v>255298.77200000003</v>
      </c>
      <c r="X52" s="51">
        <f t="shared" si="21"/>
        <v>306009.64600000001</v>
      </c>
      <c r="Y52" s="51">
        <f t="shared" si="21"/>
        <v>488628.52599999995</v>
      </c>
      <c r="Z52" s="51">
        <f t="shared" si="21"/>
        <v>277476.08600000001</v>
      </c>
      <c r="AA52" s="51">
        <f t="shared" si="21"/>
        <v>-35556.926000000007</v>
      </c>
      <c r="AB52" s="51">
        <f t="shared" si="21"/>
        <v>202518.41600000003</v>
      </c>
      <c r="AC52" s="51">
        <f t="shared" si="21"/>
        <v>268526</v>
      </c>
      <c r="AD52" s="51">
        <f t="shared" si="21"/>
        <v>82968.324999999997</v>
      </c>
      <c r="AE52" s="51">
        <f t="shared" si="21"/>
        <v>260772.42300000001</v>
      </c>
      <c r="AF52" s="51">
        <f t="shared" si="21"/>
        <v>381936.75699999998</v>
      </c>
      <c r="AG52" s="51">
        <f t="shared" si="21"/>
        <v>109756.15</v>
      </c>
      <c r="AH52" s="51">
        <f t="shared" si="21"/>
        <v>41873.494000000006</v>
      </c>
      <c r="AI52" s="51">
        <f t="shared" si="21"/>
        <v>403113.86</v>
      </c>
      <c r="AJ52" s="51">
        <f t="shared" si="21"/>
        <v>0</v>
      </c>
      <c r="AK52" s="51">
        <f t="shared" si="21"/>
        <v>451498.72900000005</v>
      </c>
      <c r="AL52" s="131">
        <f t="shared" ref="AL52" si="22">SUM(AL54:AL62)</f>
        <v>232132.277</v>
      </c>
    </row>
    <row r="53" spans="1:38" ht="12.75" customHeight="1">
      <c r="A53" s="6" t="s">
        <v>94</v>
      </c>
      <c r="B53" s="6"/>
      <c r="C53" s="6"/>
      <c r="D53" s="6"/>
      <c r="T53" s="44"/>
      <c r="AA53" s="10">
        <v>0</v>
      </c>
      <c r="AD53" s="1">
        <v>0</v>
      </c>
      <c r="AF53" s="1">
        <v>0</v>
      </c>
      <c r="AH53" s="1">
        <v>0</v>
      </c>
      <c r="AI53" s="1">
        <v>0</v>
      </c>
    </row>
    <row r="54" spans="1:38" ht="12.75" customHeight="1">
      <c r="A54" s="1" t="s">
        <v>66</v>
      </c>
      <c r="I54" s="126"/>
      <c r="J54" s="126">
        <v>137.21100000000001</v>
      </c>
      <c r="M54" s="1">
        <v>29.103999999999999</v>
      </c>
      <c r="O54" s="1">
        <v>277.24900000000002</v>
      </c>
      <c r="R54" s="18">
        <v>1271.5329999999999</v>
      </c>
      <c r="S54" s="1">
        <v>2172.759</v>
      </c>
      <c r="T54" s="44">
        <v>9442.31</v>
      </c>
      <c r="U54" s="1">
        <v>10048.584999999999</v>
      </c>
      <c r="V54" s="1">
        <v>5482.4480000000003</v>
      </c>
      <c r="W54" s="126">
        <v>9520.9069999999992</v>
      </c>
      <c r="X54" s="126">
        <v>21042.727999999999</v>
      </c>
      <c r="Y54" s="126">
        <v>26591.030999999999</v>
      </c>
      <c r="Z54" s="126">
        <v>24241.18</v>
      </c>
      <c r="AA54" s="126">
        <v>12773.999</v>
      </c>
      <c r="AB54" s="126">
        <v>4455.7120000000004</v>
      </c>
      <c r="AC54" s="126">
        <v>1650</v>
      </c>
      <c r="AD54" s="1">
        <v>1314.86</v>
      </c>
      <c r="AE54" s="1">
        <v>1343.6780000000001</v>
      </c>
      <c r="AF54" s="1">
        <v>2109.1419999999998</v>
      </c>
      <c r="AG54" s="1">
        <v>898.58900000000006</v>
      </c>
      <c r="AH54" s="1">
        <v>1653.3889999999999</v>
      </c>
      <c r="AI54" s="1">
        <v>5503.8919999999998</v>
      </c>
      <c r="AK54" s="1">
        <v>19823.82</v>
      </c>
      <c r="AL54" s="1">
        <v>12527.331</v>
      </c>
    </row>
    <row r="55" spans="1:38" ht="12.75" customHeight="1">
      <c r="A55" s="1" t="s">
        <v>67</v>
      </c>
      <c r="I55" s="126"/>
      <c r="J55" s="126">
        <v>1312.164</v>
      </c>
      <c r="M55" s="1">
        <v>2295.3620000000001</v>
      </c>
      <c r="O55" s="1">
        <v>3026.549</v>
      </c>
      <c r="R55" s="18">
        <v>4398.8680000000004</v>
      </c>
      <c r="S55" s="1">
        <v>4738.5249999999996</v>
      </c>
      <c r="T55" s="44">
        <v>-5763.9880000000003</v>
      </c>
      <c r="U55" s="1">
        <v>3946.8530000000001</v>
      </c>
      <c r="V55" s="1">
        <v>15217.239</v>
      </c>
      <c r="W55" s="126">
        <v>9347.4179999999997</v>
      </c>
      <c r="X55" s="126">
        <v>12030.3</v>
      </c>
      <c r="Y55" s="126">
        <v>18221.501</v>
      </c>
      <c r="Z55" s="126">
        <v>-596.30100000000004</v>
      </c>
      <c r="AA55" s="126">
        <v>-16371.932000000001</v>
      </c>
      <c r="AB55" s="126">
        <v>11835.406000000001</v>
      </c>
      <c r="AC55" s="126">
        <v>21434</v>
      </c>
      <c r="AD55" s="1">
        <v>-1306.8499999999999</v>
      </c>
      <c r="AE55" s="1">
        <v>14970.575000000001</v>
      </c>
      <c r="AF55" s="1">
        <v>22119.187999999998</v>
      </c>
      <c r="AG55" s="1">
        <v>-220.505</v>
      </c>
      <c r="AH55" s="1">
        <v>-1198.722</v>
      </c>
      <c r="AI55" s="1">
        <v>17143.424999999999</v>
      </c>
      <c r="AK55" s="1">
        <v>8573.9930000000004</v>
      </c>
      <c r="AL55" s="1">
        <v>2793.884</v>
      </c>
    </row>
    <row r="56" spans="1:38" ht="12.75" customHeight="1">
      <c r="A56" s="1" t="s">
        <v>68</v>
      </c>
      <c r="I56" s="126"/>
      <c r="J56" s="126">
        <v>934.58399999999995</v>
      </c>
      <c r="M56" s="1">
        <v>2290.7640000000001</v>
      </c>
      <c r="O56" s="1">
        <v>1187.873</v>
      </c>
      <c r="R56" s="18">
        <v>3314.4459999999999</v>
      </c>
      <c r="S56" s="1">
        <v>1587.8779999999999</v>
      </c>
      <c r="T56" s="44">
        <v>28080.887999999999</v>
      </c>
      <c r="U56" s="1">
        <v>24372.544999999998</v>
      </c>
      <c r="V56" s="1">
        <v>28102.21</v>
      </c>
      <c r="W56" s="126">
        <v>36930.212</v>
      </c>
      <c r="X56" s="126">
        <v>45612.281000000003</v>
      </c>
      <c r="Y56" s="126">
        <v>92083.865999999995</v>
      </c>
      <c r="Z56" s="126">
        <v>31699.585999999999</v>
      </c>
      <c r="AA56" s="126">
        <v>6851.0590000000002</v>
      </c>
      <c r="AB56" s="126">
        <v>64874.870999999999</v>
      </c>
      <c r="AC56" s="126">
        <v>84121</v>
      </c>
      <c r="AD56" s="1">
        <v>39402.855000000003</v>
      </c>
      <c r="AE56" s="1">
        <v>66772.36</v>
      </c>
      <c r="AF56" s="1">
        <v>102983.557</v>
      </c>
      <c r="AG56" s="1">
        <v>20179.985000000001</v>
      </c>
      <c r="AH56" s="1">
        <v>12455.624</v>
      </c>
      <c r="AI56" s="1">
        <v>87641.209000000003</v>
      </c>
      <c r="AK56" s="1">
        <v>105477.928</v>
      </c>
      <c r="AL56" s="1">
        <v>59747.351000000002</v>
      </c>
    </row>
    <row r="57" spans="1:38" ht="12.75" customHeight="1">
      <c r="A57" s="1" t="s">
        <v>69</v>
      </c>
      <c r="I57" s="126"/>
      <c r="J57" s="126">
        <v>2034.2370000000001</v>
      </c>
      <c r="M57" s="1">
        <v>2177.1999999999998</v>
      </c>
      <c r="O57" s="1">
        <v>2905.3130000000001</v>
      </c>
      <c r="R57" s="24">
        <v>7297.058</v>
      </c>
      <c r="S57" s="1">
        <v>8724.1450000000004</v>
      </c>
      <c r="T57" s="44">
        <v>8732.5010000000002</v>
      </c>
      <c r="U57" s="1">
        <v>4191.1180000000004</v>
      </c>
      <c r="V57" s="1">
        <v>4168.2330000000002</v>
      </c>
      <c r="W57" s="126">
        <v>4615.6260000000002</v>
      </c>
      <c r="X57" s="126">
        <v>7008.7110000000002</v>
      </c>
      <c r="Y57" s="126">
        <v>4603.8770000000004</v>
      </c>
      <c r="Z57" s="126">
        <v>5075.1120000000001</v>
      </c>
      <c r="AA57" s="126">
        <v>-56560.974999999999</v>
      </c>
      <c r="AB57" s="126">
        <v>4985.8</v>
      </c>
      <c r="AC57" s="126">
        <v>5262</v>
      </c>
      <c r="AD57" s="1">
        <v>-4214.5649999999996</v>
      </c>
      <c r="AE57" s="1">
        <v>5550.1959999999999</v>
      </c>
      <c r="AF57" s="1">
        <v>5873.5339999999997</v>
      </c>
      <c r="AG57" s="1">
        <v>5994.9690000000001</v>
      </c>
      <c r="AH57" s="1">
        <v>-19137.177</v>
      </c>
      <c r="AI57" s="1">
        <v>6402.6090000000004</v>
      </c>
      <c r="AK57" s="1">
        <v>34617.898999999998</v>
      </c>
      <c r="AL57" s="1">
        <v>16362.888999999999</v>
      </c>
    </row>
    <row r="58" spans="1:38" ht="12.75" customHeight="1">
      <c r="A58" s="1" t="s">
        <v>70</v>
      </c>
      <c r="I58" s="126"/>
      <c r="J58" s="126">
        <v>2035.0730000000001</v>
      </c>
      <c r="M58" s="1">
        <v>1721.9680000000001</v>
      </c>
      <c r="O58" s="1">
        <v>13741.241</v>
      </c>
      <c r="R58" s="24">
        <v>2899.67</v>
      </c>
      <c r="S58" s="1">
        <v>6175.1260000000002</v>
      </c>
      <c r="T58" s="44">
        <v>42310.813999999998</v>
      </c>
      <c r="U58" s="1">
        <v>44704.394999999997</v>
      </c>
      <c r="V58" s="1">
        <v>28359.68</v>
      </c>
      <c r="W58" s="126">
        <v>55521.052000000003</v>
      </c>
      <c r="X58" s="126">
        <v>78925.417000000001</v>
      </c>
      <c r="Y58" s="126">
        <v>113443.429</v>
      </c>
      <c r="Z58" s="126">
        <v>91430.629000000001</v>
      </c>
      <c r="AA58" s="126">
        <v>25559.041000000001</v>
      </c>
      <c r="AB58" s="126">
        <v>45087.14</v>
      </c>
      <c r="AC58" s="126">
        <v>46064</v>
      </c>
      <c r="AD58" s="1">
        <v>27469.348000000002</v>
      </c>
      <c r="AE58" s="1">
        <v>95350.014999999999</v>
      </c>
      <c r="AF58" s="1">
        <v>155689.51500000001</v>
      </c>
      <c r="AG58" s="1">
        <v>56393.413999999997</v>
      </c>
      <c r="AH58" s="1">
        <v>26852.656999999999</v>
      </c>
      <c r="AI58" s="1">
        <v>186612.72</v>
      </c>
      <c r="AK58" s="1">
        <v>147739.43900000001</v>
      </c>
      <c r="AL58" s="1">
        <v>47414.040999999997</v>
      </c>
    </row>
    <row r="59" spans="1:38" ht="12.75" customHeight="1">
      <c r="A59" s="1" t="s">
        <v>71</v>
      </c>
      <c r="I59" s="126"/>
      <c r="J59" s="126">
        <v>14665.453</v>
      </c>
      <c r="M59" s="1">
        <v>15780.050999999999</v>
      </c>
      <c r="O59" s="1">
        <v>15509.546</v>
      </c>
      <c r="R59" s="24">
        <v>21434.978999999999</v>
      </c>
      <c r="S59" s="1">
        <v>27434.594000000001</v>
      </c>
      <c r="T59" s="44">
        <v>1732.644</v>
      </c>
      <c r="U59" s="1">
        <v>38300.1</v>
      </c>
      <c r="V59" s="1">
        <v>43411.17</v>
      </c>
      <c r="W59" s="126">
        <v>85937.273000000001</v>
      </c>
      <c r="X59" s="126">
        <v>74709.542000000001</v>
      </c>
      <c r="Y59" s="126">
        <v>112834.818</v>
      </c>
      <c r="Z59" s="126">
        <v>80449.171000000002</v>
      </c>
      <c r="AA59" s="126">
        <v>38602.453999999998</v>
      </c>
      <c r="AB59" s="126">
        <v>18985.828000000001</v>
      </c>
      <c r="AC59" s="126">
        <v>18298</v>
      </c>
      <c r="AD59" s="1">
        <v>10335.857</v>
      </c>
      <c r="AE59" s="1">
        <v>9968.6119999999992</v>
      </c>
      <c r="AF59" s="1">
        <v>9020.9269999999997</v>
      </c>
      <c r="AG59" s="1">
        <v>7671.4210000000003</v>
      </c>
      <c r="AH59" s="1">
        <v>14086.527</v>
      </c>
      <c r="AI59" s="1">
        <v>21132.258999999998</v>
      </c>
      <c r="AK59" s="1">
        <v>69857.460999999996</v>
      </c>
      <c r="AL59" s="1">
        <v>54549.938000000002</v>
      </c>
    </row>
    <row r="60" spans="1:38" ht="12.75" customHeight="1">
      <c r="A60" s="1" t="s">
        <v>72</v>
      </c>
      <c r="I60" s="126"/>
      <c r="J60" s="126">
        <v>28089.877</v>
      </c>
      <c r="M60" s="1">
        <v>37844.434999999998</v>
      </c>
      <c r="O60" s="1">
        <v>42685.870999999999</v>
      </c>
      <c r="R60" s="18">
        <v>57322.392999999996</v>
      </c>
      <c r="S60" s="1">
        <v>64043.411</v>
      </c>
      <c r="T60" s="44">
        <v>46812.055</v>
      </c>
      <c r="U60" s="1">
        <v>17535.718000000001</v>
      </c>
      <c r="V60" s="1">
        <v>16698.431</v>
      </c>
      <c r="W60" s="126">
        <v>16984.432000000001</v>
      </c>
      <c r="X60" s="126">
        <v>26062.396000000001</v>
      </c>
      <c r="Y60" s="126">
        <v>41687.873</v>
      </c>
      <c r="Z60" s="126">
        <v>35564.713000000003</v>
      </c>
      <c r="AA60" s="126">
        <v>22165.825000000001</v>
      </c>
      <c r="AB60" s="126">
        <v>20228.637999999999</v>
      </c>
      <c r="AC60" s="126">
        <v>20141</v>
      </c>
      <c r="AD60" s="1">
        <v>14177.098</v>
      </c>
      <c r="AE60" s="1">
        <v>16927.198</v>
      </c>
      <c r="AF60" s="1">
        <v>19767.620999999999</v>
      </c>
      <c r="AG60" s="1">
        <v>13738.294</v>
      </c>
      <c r="AH60" s="1">
        <v>13152.739</v>
      </c>
      <c r="AI60" s="1">
        <v>23556.632000000001</v>
      </c>
      <c r="AK60" s="1">
        <v>34162.523999999998</v>
      </c>
      <c r="AL60" s="1">
        <v>25130.653999999999</v>
      </c>
    </row>
    <row r="61" spans="1:38" ht="12.75" customHeight="1">
      <c r="A61" s="1" t="s">
        <v>73</v>
      </c>
      <c r="I61" s="126"/>
      <c r="J61" s="126">
        <v>0</v>
      </c>
      <c r="M61" s="1">
        <v>0</v>
      </c>
      <c r="O61" s="1">
        <v>0</v>
      </c>
      <c r="R61" s="18">
        <v>0</v>
      </c>
      <c r="S61" s="1">
        <v>0</v>
      </c>
      <c r="T61" s="44">
        <v>2125.2240000000002</v>
      </c>
      <c r="U61" s="1">
        <v>517.05999999999995</v>
      </c>
      <c r="V61" s="1">
        <v>510.84199999999998</v>
      </c>
      <c r="W61" s="126">
        <v>1281.002</v>
      </c>
      <c r="X61" s="126">
        <v>2167.5880000000002</v>
      </c>
      <c r="Y61" s="126">
        <v>4721.2690000000002</v>
      </c>
      <c r="Z61" s="126">
        <v>4530.0590000000002</v>
      </c>
      <c r="AA61" s="126">
        <v>1737.9369999999999</v>
      </c>
      <c r="AB61" s="126">
        <v>682.92399999999998</v>
      </c>
      <c r="AC61" s="126">
        <v>613</v>
      </c>
      <c r="AD61" s="1">
        <v>381.161</v>
      </c>
      <c r="AE61" s="1">
        <v>360.33100000000002</v>
      </c>
      <c r="AF61" s="1">
        <v>359.85399999999998</v>
      </c>
      <c r="AG61" s="1">
        <v>398.67599999999999</v>
      </c>
      <c r="AH61" s="1">
        <v>529.85799999999995</v>
      </c>
      <c r="AI61" s="1">
        <v>853.21100000000001</v>
      </c>
      <c r="AK61" s="1">
        <v>4745.8360000000002</v>
      </c>
      <c r="AL61" s="1">
        <v>3225.5889999999999</v>
      </c>
    </row>
    <row r="62" spans="1:38" ht="12.75" customHeight="1">
      <c r="A62" s="27" t="s">
        <v>74</v>
      </c>
      <c r="B62" s="27"/>
      <c r="C62" s="27"/>
      <c r="D62" s="27"/>
      <c r="E62" s="27"/>
      <c r="F62" s="27"/>
      <c r="G62" s="27"/>
      <c r="H62" s="27"/>
      <c r="I62" s="127"/>
      <c r="J62" s="127">
        <v>4412.6809999999996</v>
      </c>
      <c r="K62" s="27"/>
      <c r="L62" s="27"/>
      <c r="M62" s="27">
        <v>4778.009</v>
      </c>
      <c r="N62" s="27"/>
      <c r="O62" s="27">
        <v>6067.9979999999996</v>
      </c>
      <c r="P62" s="27"/>
      <c r="Q62" s="27"/>
      <c r="R62" s="37">
        <v>6590.6629999999996</v>
      </c>
      <c r="S62" s="27">
        <v>8087.4269999999997</v>
      </c>
      <c r="T62" s="61">
        <v>-4488.1989999999996</v>
      </c>
      <c r="U62" s="27">
        <v>14727.393</v>
      </c>
      <c r="V62" s="27">
        <v>44945.665000000001</v>
      </c>
      <c r="W62" s="127">
        <v>35160.85</v>
      </c>
      <c r="X62" s="127">
        <v>38450.682999999997</v>
      </c>
      <c r="Y62" s="127">
        <v>74440.861999999994</v>
      </c>
      <c r="Z62" s="127">
        <v>5081.9369999999999</v>
      </c>
      <c r="AA62" s="127">
        <v>-70314.334000000003</v>
      </c>
      <c r="AB62" s="127">
        <v>31382.097000000002</v>
      </c>
      <c r="AC62" s="127">
        <v>70943</v>
      </c>
      <c r="AD62" s="27">
        <v>-4591.4390000000003</v>
      </c>
      <c r="AE62" s="27">
        <v>49529.457999999999</v>
      </c>
      <c r="AF62" s="27">
        <v>64013.419000000002</v>
      </c>
      <c r="AG62" s="27">
        <v>4701.3069999999998</v>
      </c>
      <c r="AH62" s="27">
        <v>-6521.4009999999998</v>
      </c>
      <c r="AI62" s="27">
        <v>54267.902999999998</v>
      </c>
      <c r="AJ62" s="27"/>
      <c r="AK62" s="27">
        <v>26499.829000000002</v>
      </c>
      <c r="AL62" s="1">
        <v>10380.6</v>
      </c>
    </row>
    <row r="63" spans="1:38">
      <c r="A63" s="49" t="s">
        <v>75</v>
      </c>
      <c r="B63" s="49"/>
      <c r="C63" s="49"/>
      <c r="D63" s="49"/>
      <c r="E63" s="46"/>
      <c r="F63" s="46"/>
      <c r="G63" s="46"/>
      <c r="H63" s="46"/>
      <c r="I63" s="128"/>
      <c r="J63" s="128">
        <v>1241.162</v>
      </c>
      <c r="K63" s="46"/>
      <c r="L63" s="46"/>
      <c r="M63" s="46">
        <v>745.04499999999996</v>
      </c>
      <c r="N63" s="46"/>
      <c r="O63" s="46">
        <v>827.49194</v>
      </c>
      <c r="P63" s="46"/>
      <c r="Q63" s="46"/>
      <c r="R63" s="47">
        <v>551.29999999999995</v>
      </c>
      <c r="S63" s="46">
        <v>1533.7829999999999</v>
      </c>
      <c r="T63" s="48">
        <v>1681.6859999999999</v>
      </c>
      <c r="U63" s="46">
        <v>2017.299</v>
      </c>
      <c r="V63" s="46">
        <v>2417.2069999999999</v>
      </c>
      <c r="W63" s="128">
        <v>3997.7130000000002</v>
      </c>
      <c r="X63" s="128">
        <v>3440.337</v>
      </c>
      <c r="Y63" s="128">
        <v>6877.5510000000004</v>
      </c>
      <c r="Z63" s="128">
        <v>-7496.6379999999999</v>
      </c>
      <c r="AA63" s="128">
        <v>958.56100000000004</v>
      </c>
      <c r="AB63" s="128">
        <v>2303.19</v>
      </c>
      <c r="AC63" s="128">
        <v>935</v>
      </c>
      <c r="AD63" s="27">
        <v>5386.7550000000001</v>
      </c>
      <c r="AE63" s="27">
        <v>2715.366</v>
      </c>
      <c r="AF63" s="27">
        <v>3755.768</v>
      </c>
      <c r="AG63" s="27">
        <v>-1252.69</v>
      </c>
      <c r="AH63" s="27">
        <v>5401.2830000000004</v>
      </c>
      <c r="AI63" s="27">
        <v>4747.3890000000001</v>
      </c>
      <c r="AJ63" s="27"/>
      <c r="AK63" s="27">
        <v>358.37700000000001</v>
      </c>
      <c r="AL63" s="130">
        <v>4229.6450000000004</v>
      </c>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5:207" ht="9.9499999999999993" customHeight="1"/>
    <row r="82" spans="5:207" ht="9.9499999999999993" customHeight="1">
      <c r="GQ82" s="4"/>
      <c r="GR82" s="4"/>
      <c r="GS82" s="4"/>
      <c r="GT82" s="4"/>
      <c r="GU82" s="4"/>
      <c r="GV82" s="4"/>
      <c r="GW82" s="4"/>
      <c r="GX82" s="4"/>
      <c r="GY82" s="4"/>
    </row>
    <row r="83" spans="5:207">
      <c r="GO83" s="4"/>
      <c r="GP83" s="4"/>
      <c r="GQ83" s="4"/>
      <c r="GR83" s="4"/>
      <c r="GS83" s="4"/>
      <c r="GT83" s="4"/>
      <c r="GU83" s="4"/>
      <c r="GV83" s="4"/>
      <c r="GW83" s="4"/>
      <c r="GX83" s="4"/>
      <c r="GY83" s="4"/>
    </row>
    <row r="84" spans="5:207">
      <c r="GO84" s="4"/>
      <c r="GP84" s="4"/>
      <c r="GQ84" s="4"/>
      <c r="GR84" s="4"/>
      <c r="GS84" s="4"/>
      <c r="GT84" s="4"/>
      <c r="GU84" s="4"/>
      <c r="GV84" s="4"/>
      <c r="GW84" s="4"/>
      <c r="GX84" s="4"/>
      <c r="GY84" s="4"/>
    </row>
    <row r="85" spans="5:207">
      <c r="GQ85" s="4"/>
      <c r="GR85" s="4"/>
      <c r="GS85" s="4"/>
      <c r="GT85" s="4"/>
      <c r="GU85" s="4"/>
      <c r="GV85" s="4"/>
      <c r="GW85" s="4"/>
    </row>
    <row r="86" spans="5:207">
      <c r="GQ86" s="4"/>
      <c r="GR86" s="4"/>
      <c r="GS86" s="4"/>
      <c r="GT86" s="4"/>
      <c r="GU86" s="4"/>
      <c r="GV86" s="4"/>
      <c r="GW86" s="4"/>
    </row>
    <row r="87" spans="5:207">
      <c r="GQ87" s="4"/>
      <c r="GR87" s="4"/>
      <c r="GS87" s="4"/>
      <c r="GT87" s="4"/>
      <c r="GU87" s="4"/>
      <c r="GV87" s="4"/>
      <c r="GW87" s="4"/>
    </row>
    <row r="92" spans="5:207">
      <c r="E92" s="12"/>
      <c r="F92" s="12"/>
      <c r="G92" s="12"/>
      <c r="H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10">
    <tabColor indexed="62"/>
  </sheetPr>
  <dimension ref="A1:GY92"/>
  <sheetViews>
    <sheetView showZeros="0" zoomScaleNormal="100" workbookViewId="0">
      <pane xSplit="1" ySplit="3" topLeftCell="AH4" activePane="bottomRight" state="frozen"/>
      <selection pane="bottomRight" activeCell="AM1" sqref="AM1"/>
      <selection pane="bottomLeft" activeCell="M5" sqref="M5:M6"/>
      <selection pane="topRight" activeCell="M5" sqref="M5:M6"/>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2" width="13.42578125" style="1" bestFit="1" customWidth="1"/>
    <col min="33" max="38" width="13.42578125" style="1" customWidth="1"/>
    <col min="39" max="171" width="9.7109375" style="1"/>
    <col min="172" max="172" width="11.7109375" style="1" customWidth="1"/>
    <col min="173" max="196" width="9.7109375" style="1"/>
    <col min="197" max="197" width="5.7109375" style="1" customWidth="1"/>
    <col min="198" max="198" width="6.7109375" style="1" customWidth="1"/>
    <col min="199" max="200" width="8.7109375" style="1" customWidth="1"/>
    <col min="201" max="202" width="6.7109375" style="1" customWidth="1"/>
    <col min="203" max="204" width="8.7109375" style="1" customWidth="1"/>
    <col min="205" max="206" width="6.7109375" style="1" customWidth="1"/>
    <col min="207" max="207" width="1.7109375" style="1" customWidth="1"/>
    <col min="208" max="16384" width="9.7109375" style="1"/>
  </cols>
  <sheetData>
    <row r="1" spans="1:38">
      <c r="A1" s="36" t="s">
        <v>92</v>
      </c>
      <c r="B1" s="11"/>
      <c r="C1" s="11"/>
      <c r="D1" s="11"/>
      <c r="E1" s="11"/>
      <c r="F1" s="11"/>
      <c r="G1" s="11"/>
      <c r="H1" s="11"/>
      <c r="I1" s="11"/>
      <c r="J1" s="11"/>
      <c r="K1" s="11"/>
      <c r="L1" s="11"/>
    </row>
    <row r="2" spans="1:38">
      <c r="A2" s="1" t="s">
        <v>157</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107">
        <v>2013</v>
      </c>
      <c r="AF3" s="29">
        <v>2014</v>
      </c>
      <c r="AG3" s="29">
        <v>2015</v>
      </c>
      <c r="AH3" s="29">
        <v>2016</v>
      </c>
      <c r="AI3" s="29">
        <v>2017</v>
      </c>
      <c r="AJ3" s="29">
        <v>2018</v>
      </c>
      <c r="AK3" s="29">
        <v>2019</v>
      </c>
      <c r="AL3" s="105">
        <v>2020</v>
      </c>
    </row>
    <row r="4" spans="1:38" ht="12.75" customHeight="1">
      <c r="A4" s="46" t="s">
        <v>20</v>
      </c>
      <c r="B4" s="46">
        <f>266356+697367+482292+64149+874523+535848+583381+21072</f>
        <v>3524988</v>
      </c>
      <c r="C4" s="46">
        <f>328737+758349+528489+67468+950020+619431+692410+38037</f>
        <v>3982941</v>
      </c>
      <c r="D4" s="46">
        <f>345060+837534+610150+72877+993817+701998+736678+64829</f>
        <v>4362943</v>
      </c>
      <c r="E4" s="46"/>
      <c r="F4" s="46"/>
      <c r="G4" s="46"/>
      <c r="H4" s="46"/>
      <c r="I4" s="46">
        <f>488978.473+2620699.752+1965863.646+466081.614</f>
        <v>5541623.4849999994</v>
      </c>
      <c r="J4" s="54">
        <f>+J5+J23+J38+J52+J63</f>
        <v>5519392.654000001</v>
      </c>
      <c r="K4" s="46">
        <f>527691.757+3109663.96+2412742.385+211102.176</f>
        <v>6261200.2779999999</v>
      </c>
      <c r="L4" s="46">
        <f>589721.36+3188604.696+2479043.474+192118.999</f>
        <v>6449488.5289999992</v>
      </c>
      <c r="M4" s="54">
        <f t="shared" ref="M4" si="0">+M5+M23+M38+M52+M63</f>
        <v>6572131.0879999995</v>
      </c>
      <c r="N4" s="56">
        <f>569607.705+3379692.839+3338491.71+240081.66</f>
        <v>7527873.9140000008</v>
      </c>
      <c r="O4" s="54">
        <f>+O5+O23+O38+O52+O63</f>
        <v>8142816.4443600001</v>
      </c>
      <c r="P4" s="46"/>
      <c r="Q4" s="46"/>
      <c r="R4" s="54">
        <f t="shared" ref="R4:AA4" si="1">+R5+R23+R38+R52+R63</f>
        <v>9916298.2279999983</v>
      </c>
      <c r="S4" s="54">
        <f t="shared" si="1"/>
        <v>9575283.6349999998</v>
      </c>
      <c r="T4" s="59">
        <f t="shared" si="1"/>
        <v>10948532.659000002</v>
      </c>
      <c r="U4" s="54">
        <f t="shared" si="1"/>
        <v>11085403.099000001</v>
      </c>
      <c r="V4" s="54">
        <f t="shared" si="1"/>
        <v>12036239.547</v>
      </c>
      <c r="W4" s="54">
        <f t="shared" si="1"/>
        <v>13979123.051999999</v>
      </c>
      <c r="X4" s="54">
        <f t="shared" si="1"/>
        <v>12988254.914999999</v>
      </c>
      <c r="Y4" s="54">
        <f t="shared" si="1"/>
        <v>14639821.884</v>
      </c>
      <c r="Z4" s="54">
        <f t="shared" si="1"/>
        <v>14863096.987000002</v>
      </c>
      <c r="AA4" s="54">
        <f t="shared" si="1"/>
        <v>12771749.829</v>
      </c>
      <c r="AB4" s="54">
        <f t="shared" ref="AB4:AC4" si="2">+AB5+AB23+AB38+AB52+AB63</f>
        <v>19269160.169000003</v>
      </c>
      <c r="AC4" s="54">
        <f t="shared" si="2"/>
        <v>20126659</v>
      </c>
      <c r="AD4" s="54">
        <f t="shared" ref="AD4:AE4" si="3">+AD5+AD23+AD38+AD52+AD63</f>
        <v>19670676.131000001</v>
      </c>
      <c r="AE4" s="54">
        <f t="shared" si="3"/>
        <v>18714592.493999999</v>
      </c>
      <c r="AF4" s="54">
        <f t="shared" ref="AF4" si="4">+AF5+AF23+AF38+AF52+AF63</f>
        <v>12389490.956999999</v>
      </c>
      <c r="AG4" s="54">
        <f t="shared" ref="AG4:AI4" si="5">+AG5+AG23+AG38+AG52+AG63</f>
        <v>22756790.218000002</v>
      </c>
      <c r="AH4" s="54">
        <f t="shared" si="5"/>
        <v>24944390.892000001</v>
      </c>
      <c r="AI4" s="54">
        <f t="shared" si="5"/>
        <v>26848783.036000002</v>
      </c>
      <c r="AJ4" s="54">
        <f t="shared" ref="AJ4:AK4" si="6">+AJ5+AJ23+AJ38+AJ52+AJ63</f>
        <v>0</v>
      </c>
      <c r="AK4" s="54">
        <f t="shared" si="6"/>
        <v>28011106.477000002</v>
      </c>
      <c r="AL4" s="54">
        <f t="shared" ref="AL4" si="7">+AL5+AL23+AL38+AL52+AL63</f>
        <v>30038020.495999999</v>
      </c>
    </row>
    <row r="5" spans="1:38" ht="12.75" customHeight="1">
      <c r="A5" s="1" t="s">
        <v>21</v>
      </c>
      <c r="B5" s="51">
        <f>SUM(B7:B22)</f>
        <v>979577</v>
      </c>
      <c r="C5" s="51">
        <f t="shared" ref="C5:D5" si="8">SUM(C7:C22)</f>
        <v>1127072</v>
      </c>
      <c r="D5" s="51">
        <f t="shared" si="8"/>
        <v>1331090</v>
      </c>
      <c r="I5" s="51">
        <f t="shared" ref="I5:O5" si="9">SUM(I7:I22)</f>
        <v>1912914.7439999999</v>
      </c>
      <c r="J5" s="51">
        <f t="shared" si="9"/>
        <v>1952498.4650000001</v>
      </c>
      <c r="K5" s="51">
        <f t="shared" si="9"/>
        <v>2104365.9589999993</v>
      </c>
      <c r="L5" s="51">
        <f t="shared" si="9"/>
        <v>2155203.8360000006</v>
      </c>
      <c r="M5" s="51">
        <f t="shared" si="9"/>
        <v>2416988.2460000003</v>
      </c>
      <c r="N5" s="51">
        <f t="shared" si="9"/>
        <v>2652972.8742999998</v>
      </c>
      <c r="O5" s="51">
        <f t="shared" si="9"/>
        <v>2855168.0561100002</v>
      </c>
      <c r="R5" s="51">
        <f t="shared" ref="R5:Y5" si="10">SUM(R7:R22)</f>
        <v>3497484.0719999997</v>
      </c>
      <c r="S5" s="51">
        <f t="shared" si="10"/>
        <v>3363436.9529999997</v>
      </c>
      <c r="T5" s="60">
        <f t="shared" si="10"/>
        <v>4660466.4710000008</v>
      </c>
      <c r="U5" s="51">
        <f t="shared" si="10"/>
        <v>4501087.3449999997</v>
      </c>
      <c r="V5" s="51">
        <f t="shared" si="10"/>
        <v>4509832.22</v>
      </c>
      <c r="W5" s="51">
        <f t="shared" si="10"/>
        <v>5228080.2849999992</v>
      </c>
      <c r="X5" s="51">
        <f t="shared" si="10"/>
        <v>4820059.5879999995</v>
      </c>
      <c r="Y5" s="51">
        <f t="shared" si="10"/>
        <v>5705396.9859999996</v>
      </c>
      <c r="Z5" s="51">
        <f>SUM(Z7:Z22)</f>
        <v>5742870.1280000005</v>
      </c>
      <c r="AA5" s="51">
        <f>SUM(AA7:AA22)</f>
        <v>4106890.7949999999</v>
      </c>
      <c r="AB5" s="51">
        <f>SUM(AB7:AB22)</f>
        <v>7763296.415000001</v>
      </c>
      <c r="AC5" s="51">
        <f>SUM(AC7:AC22)</f>
        <v>7487723</v>
      </c>
      <c r="AD5" s="51">
        <f t="shared" ref="AD5:AE5" si="11">SUM(AD7:AD22)</f>
        <v>6721897.0340000009</v>
      </c>
      <c r="AE5" s="51">
        <f t="shared" si="11"/>
        <v>5553018.1260000002</v>
      </c>
      <c r="AF5" s="51">
        <f>SUM(AF7:AF22)</f>
        <v>3551395.1340000001</v>
      </c>
      <c r="AG5" s="51">
        <f t="shared" ref="AG5:AI5" si="12">SUM(AG7:AG22)</f>
        <v>6958497.0410000002</v>
      </c>
      <c r="AH5" s="51">
        <f t="shared" si="12"/>
        <v>8973829.4030000009</v>
      </c>
      <c r="AI5" s="51">
        <f t="shared" si="12"/>
        <v>10123518.509</v>
      </c>
      <c r="AJ5" s="51">
        <f t="shared" ref="AJ5:AK5" si="13">SUM(AJ7:AJ22)</f>
        <v>0</v>
      </c>
      <c r="AK5" s="51">
        <f t="shared" si="13"/>
        <v>10704501.002</v>
      </c>
      <c r="AL5" s="51">
        <f t="shared" ref="AL5" si="14">SUM(AL7:AL22)</f>
        <v>10394115.68</v>
      </c>
    </row>
    <row r="6" spans="1:38" ht="12.75" customHeight="1">
      <c r="A6" s="6" t="s">
        <v>94</v>
      </c>
      <c r="J6" s="126"/>
      <c r="R6" s="18"/>
      <c r="T6" s="44"/>
      <c r="AA6" s="10">
        <v>0</v>
      </c>
    </row>
    <row r="7" spans="1:38" ht="12.75" customHeight="1">
      <c r="A7" s="1" t="s">
        <v>22</v>
      </c>
      <c r="B7" s="1">
        <f>11501+9725+11893+10108+18194</f>
        <v>61421</v>
      </c>
      <c r="C7" s="1">
        <f>10739+10162+12517+0+18+9176+20039+0</f>
        <v>62651</v>
      </c>
      <c r="D7" s="1">
        <f>10211+9990+14134+0+18+9794+18644+0</f>
        <v>62791</v>
      </c>
      <c r="I7" s="1">
        <f>17276.56+34933.773+51788.756+0</f>
        <v>103999.08900000001</v>
      </c>
      <c r="J7" s="126">
        <v>105123.63099999999</v>
      </c>
      <c r="K7" s="1">
        <f>17818.728+36116.859+52436.144</f>
        <v>106371.731</v>
      </c>
      <c r="L7" s="1">
        <f>17741.4+40927.962+79308.831</f>
        <v>137978.193</v>
      </c>
      <c r="M7" s="1">
        <v>171002.39300000001</v>
      </c>
      <c r="N7" s="1">
        <f>17961.273+51906.66+90115.869+0</f>
        <v>159983.80200000003</v>
      </c>
      <c r="O7" s="1">
        <v>177061.038</v>
      </c>
      <c r="R7" s="24">
        <v>183343.77299999999</v>
      </c>
      <c r="S7" s="1">
        <v>212381.095</v>
      </c>
      <c r="T7" s="44">
        <v>404223.04700000002</v>
      </c>
      <c r="U7" s="1">
        <v>163387.60999999999</v>
      </c>
      <c r="V7" s="1">
        <v>270089.09399999998</v>
      </c>
      <c r="W7" s="126">
        <v>161364.79300000001</v>
      </c>
      <c r="X7" s="126">
        <v>225876.47399999999</v>
      </c>
      <c r="Y7" s="126">
        <v>230225.72399999999</v>
      </c>
      <c r="Z7" s="126">
        <v>531303.65399999998</v>
      </c>
      <c r="AA7" s="126">
        <v>472240.04200000002</v>
      </c>
      <c r="AB7" s="126">
        <v>767799.50899999996</v>
      </c>
      <c r="AC7" s="126">
        <v>448105</v>
      </c>
      <c r="AD7" s="1">
        <v>387369.07199999999</v>
      </c>
      <c r="AE7" s="1">
        <v>321546.27299999999</v>
      </c>
      <c r="AF7" s="1">
        <v>208185.91099999999</v>
      </c>
      <c r="AG7" s="1">
        <v>391623.098</v>
      </c>
      <c r="AH7" s="1">
        <v>388777.92</v>
      </c>
      <c r="AI7" s="1">
        <v>407446.72100000002</v>
      </c>
      <c r="AK7" s="1">
        <v>452114.734</v>
      </c>
      <c r="AL7" s="1">
        <v>472584.80499999999</v>
      </c>
    </row>
    <row r="8" spans="1:38" ht="12.75" customHeight="1">
      <c r="A8" s="1" t="s">
        <v>23</v>
      </c>
      <c r="B8" s="1">
        <f>10185+4609+2782+14+2679+3946</f>
        <v>24215</v>
      </c>
      <c r="C8" s="1">
        <f>11181+4930+1872+0+27+2611+5039+0</f>
        <v>25660</v>
      </c>
      <c r="D8" s="1">
        <f>11186+5868+1662+0+14+2982+0+5122</f>
        <v>26834</v>
      </c>
      <c r="I8" s="1">
        <f>11101.507+104238.419+15286.911+0</f>
        <v>130626.837</v>
      </c>
      <c r="J8" s="126">
        <v>50854.430999999997</v>
      </c>
      <c r="K8" s="1">
        <f>12306.174+31878.465+10678.348</f>
        <v>54862.987000000001</v>
      </c>
      <c r="L8" s="1">
        <f>12481.876+30712.87+11737.987</f>
        <v>54932.733</v>
      </c>
      <c r="M8" s="1">
        <v>57474.758000000002</v>
      </c>
      <c r="N8" s="1">
        <f>11053.64+38497.034+18502.913+0</f>
        <v>68053.587</v>
      </c>
      <c r="O8" s="1">
        <v>77379.725000000006</v>
      </c>
      <c r="R8" s="24">
        <v>78087.713000000003</v>
      </c>
      <c r="S8" s="1">
        <v>90049.153000000006</v>
      </c>
      <c r="T8" s="44">
        <v>87738.523000000001</v>
      </c>
      <c r="U8" s="1">
        <v>74060.067999999999</v>
      </c>
      <c r="V8" s="1">
        <v>82747.347999999998</v>
      </c>
      <c r="W8" s="126">
        <v>96686.987999999998</v>
      </c>
      <c r="X8" s="126">
        <v>120762.06600000001</v>
      </c>
      <c r="Y8" s="126">
        <v>95846.724000000002</v>
      </c>
      <c r="Z8" s="126">
        <v>118890.75199999999</v>
      </c>
      <c r="AA8" s="126">
        <v>90555.089000000007</v>
      </c>
      <c r="AB8" s="126">
        <v>134619.56700000001</v>
      </c>
      <c r="AC8" s="126">
        <v>123414</v>
      </c>
      <c r="AD8" s="1">
        <v>113169.806</v>
      </c>
      <c r="AE8" s="1">
        <v>131441.35</v>
      </c>
      <c r="AF8" s="1">
        <v>44718.851000000002</v>
      </c>
      <c r="AG8" s="1">
        <v>109314.277</v>
      </c>
      <c r="AH8" s="1">
        <v>112606.371</v>
      </c>
      <c r="AI8" s="1">
        <v>160504.58300000001</v>
      </c>
      <c r="AK8" s="1">
        <v>199073.00700000001</v>
      </c>
      <c r="AL8" s="1">
        <v>280774.16499999998</v>
      </c>
    </row>
    <row r="9" spans="1:38" ht="12.75" customHeight="1">
      <c r="A9" s="1" t="s">
        <v>24</v>
      </c>
      <c r="D9" s="1">
        <f>2294+2074+15873+0+10+240+667+0</f>
        <v>21158</v>
      </c>
      <c r="I9" s="1">
        <v>24559.17</v>
      </c>
      <c r="J9" s="126">
        <v>25785.814999999999</v>
      </c>
      <c r="M9" s="1">
        <v>32269.249</v>
      </c>
      <c r="N9" s="1">
        <f>3234.857+5252.954+14434.146+0</f>
        <v>22921.957000000002</v>
      </c>
      <c r="O9" s="1">
        <v>24791.388999999999</v>
      </c>
      <c r="R9" s="24">
        <v>42494.288999999997</v>
      </c>
      <c r="S9" s="35">
        <f>23224.842+13832.139</f>
        <v>37056.981</v>
      </c>
      <c r="T9" s="45">
        <v>19118.007000000001</v>
      </c>
      <c r="U9" s="35">
        <v>23324.733</v>
      </c>
      <c r="V9" s="35">
        <v>14902.821</v>
      </c>
      <c r="W9" s="126">
        <v>6079.01</v>
      </c>
      <c r="X9" s="126">
        <v>21098.637999999999</v>
      </c>
      <c r="Y9" s="126">
        <v>24508.012999999999</v>
      </c>
      <c r="Z9" s="126">
        <v>25958.883000000002</v>
      </c>
      <c r="AA9" s="126">
        <v>28856.188999999998</v>
      </c>
      <c r="AB9" s="126">
        <v>21660.934000000001</v>
      </c>
      <c r="AC9" s="126">
        <v>83616</v>
      </c>
      <c r="AD9" s="1">
        <v>43840.688000000002</v>
      </c>
      <c r="AE9" s="1">
        <v>11537.21</v>
      </c>
      <c r="AF9" s="1">
        <v>45175.224000000002</v>
      </c>
      <c r="AG9" s="1">
        <v>48804.517</v>
      </c>
      <c r="AH9" s="1">
        <v>49527.74</v>
      </c>
      <c r="AI9" s="1">
        <v>9087.5769999999993</v>
      </c>
      <c r="AK9" s="1">
        <v>77882.933000000005</v>
      </c>
      <c r="AL9" s="1">
        <v>55585.129000000001</v>
      </c>
    </row>
    <row r="10" spans="1:38" ht="12.75" customHeight="1">
      <c r="A10" s="1" t="s">
        <v>25</v>
      </c>
      <c r="B10" s="1">
        <f>5581+8373+5737+25+5159+4557</f>
        <v>29432</v>
      </c>
      <c r="C10" s="1">
        <f>5724+9669+7173+0+0+5062+6225+0</f>
        <v>33853</v>
      </c>
      <c r="D10" s="1">
        <f>5043+9963+6479+0+401+7371+5700+0</f>
        <v>34957</v>
      </c>
      <c r="I10" s="1">
        <f>6165.056+22952.049+25058.083+0</f>
        <v>54175.187999999995</v>
      </c>
      <c r="J10" s="126">
        <v>59422.455999999998</v>
      </c>
      <c r="K10" s="1">
        <f>6996.276+42215.175+15742.248</f>
        <v>64953.699000000001</v>
      </c>
      <c r="L10" s="1">
        <f>7502.82+38840.547+13833.627</f>
        <v>60176.993999999999</v>
      </c>
      <c r="M10" s="1">
        <v>135326.46400000001</v>
      </c>
      <c r="N10" s="1">
        <f>6361.977+41933.993+107725.176+0</f>
        <v>156021.14600000001</v>
      </c>
      <c r="O10" s="1">
        <v>161080.568</v>
      </c>
      <c r="R10" s="24">
        <v>220116.258</v>
      </c>
      <c r="S10" s="1">
        <v>235419.87599999999</v>
      </c>
      <c r="T10" s="44">
        <v>173040.269</v>
      </c>
      <c r="U10" s="1">
        <v>141521.38099999999</v>
      </c>
      <c r="V10" s="1">
        <v>157976.82500000001</v>
      </c>
      <c r="W10" s="126">
        <v>310001.73200000002</v>
      </c>
      <c r="X10" s="126">
        <v>319843.80200000003</v>
      </c>
      <c r="Y10" s="126">
        <v>299248.30099999998</v>
      </c>
      <c r="Z10" s="126">
        <v>244118.99299999999</v>
      </c>
      <c r="AA10" s="126">
        <v>227970.83600000001</v>
      </c>
      <c r="AB10" s="126">
        <v>244863.88</v>
      </c>
      <c r="AC10" s="126">
        <v>271316</v>
      </c>
      <c r="AD10" s="1">
        <v>201652.986</v>
      </c>
      <c r="AE10" s="1">
        <v>222665.99299999999</v>
      </c>
      <c r="AF10" s="1">
        <v>168697.234</v>
      </c>
      <c r="AG10" s="1">
        <v>230404.682</v>
      </c>
      <c r="AH10" s="1">
        <v>198491.9</v>
      </c>
      <c r="AI10" s="1">
        <v>198009.68900000001</v>
      </c>
      <c r="AK10" s="1">
        <v>375209.33</v>
      </c>
      <c r="AL10" s="1">
        <v>323638.842</v>
      </c>
    </row>
    <row r="11" spans="1:38" ht="12.75" customHeight="1">
      <c r="A11" s="1" t="s">
        <v>26</v>
      </c>
      <c r="B11" s="1">
        <f>9576+8708+61+18+4522+7840</f>
        <v>30725</v>
      </c>
      <c r="C11" s="1">
        <f>10093+9483+339+0+14+4503+9061+0</f>
        <v>33493</v>
      </c>
      <c r="D11" s="1">
        <f>10288+10503+381+0+14+4210+8956+0</f>
        <v>34352</v>
      </c>
      <c r="I11" s="1">
        <f>9872.112+24667.885+12940.176+0</f>
        <v>47480.172999999995</v>
      </c>
      <c r="J11" s="126">
        <v>57195.112000000001</v>
      </c>
      <c r="K11" s="1">
        <f>11526.845+30047.622+21622.218</f>
        <v>63196.684999999998</v>
      </c>
      <c r="L11" s="1">
        <f>11985.003+31795.912+21995.538</f>
        <v>65776.453000000009</v>
      </c>
      <c r="M11" s="1">
        <v>72054.570999999996</v>
      </c>
      <c r="N11" s="1">
        <f>11454.32+38103.131+27658.916+0</f>
        <v>77216.366999999998</v>
      </c>
      <c r="O11" s="1">
        <v>90164.478000000003</v>
      </c>
      <c r="R11" s="24">
        <v>160425.40299999999</v>
      </c>
      <c r="S11" s="1">
        <v>145474.37599999999</v>
      </c>
      <c r="T11" s="44">
        <v>113033.43</v>
      </c>
      <c r="U11" s="1">
        <v>148201.16200000001</v>
      </c>
      <c r="V11" s="1">
        <v>148436.46900000001</v>
      </c>
      <c r="W11" s="126">
        <v>127933.739</v>
      </c>
      <c r="X11" s="126">
        <v>109441.15399999999</v>
      </c>
      <c r="Y11" s="126">
        <v>128273.95</v>
      </c>
      <c r="Z11" s="126">
        <v>153034.54399999999</v>
      </c>
      <c r="AA11" s="126">
        <v>102676.01</v>
      </c>
      <c r="AB11" s="126">
        <v>281120.91600000003</v>
      </c>
      <c r="AC11" s="126">
        <v>208098</v>
      </c>
      <c r="AD11" s="1">
        <v>223760.508</v>
      </c>
      <c r="AE11" s="1">
        <v>282343.18400000001</v>
      </c>
      <c r="AF11" s="1">
        <v>118267.531</v>
      </c>
      <c r="AG11" s="1">
        <v>275336.196</v>
      </c>
      <c r="AH11" s="1">
        <v>286950.25099999999</v>
      </c>
      <c r="AI11" s="1">
        <v>304400.78000000003</v>
      </c>
      <c r="AK11" s="1">
        <v>398095.21</v>
      </c>
      <c r="AL11" s="1">
        <v>326209.87800000003</v>
      </c>
    </row>
    <row r="12" spans="1:38" ht="12.75" customHeight="1">
      <c r="A12" s="1" t="s">
        <v>27</v>
      </c>
      <c r="B12" s="1">
        <f>13327+9662+12845+7+4718+7176</f>
        <v>47735</v>
      </c>
      <c r="C12" s="1">
        <f>13991+10893+20496+2782+5204+7102</f>
        <v>60468</v>
      </c>
      <c r="D12" s="1">
        <f>13191+13140+46797+0+2795+5867+6626+0</f>
        <v>88416</v>
      </c>
      <c r="I12" s="1">
        <f>18146.066+33441.58+94513.762+78.977</f>
        <v>146180.38500000001</v>
      </c>
      <c r="J12" s="126">
        <v>147213.16399999999</v>
      </c>
      <c r="K12" s="1">
        <f>18957.707+40354.815+96582.383</f>
        <v>155894.905</v>
      </c>
      <c r="L12" s="1">
        <f>19801.62+42363.745+97708.27</f>
        <v>159873.63500000001</v>
      </c>
      <c r="M12" s="1">
        <v>183156.46100000001</v>
      </c>
      <c r="N12" s="1">
        <f>20858.693+50364.82+147723.366+0</f>
        <v>218946.87900000002</v>
      </c>
      <c r="O12" s="1">
        <v>266444.30900000001</v>
      </c>
      <c r="R12" s="18">
        <v>326174.75199999998</v>
      </c>
      <c r="S12" s="1">
        <v>283060</v>
      </c>
      <c r="T12" s="44">
        <v>138095.76</v>
      </c>
      <c r="U12" s="1">
        <v>126715.139</v>
      </c>
      <c r="V12" s="1">
        <v>133710.535</v>
      </c>
      <c r="W12" s="126">
        <v>121014.772</v>
      </c>
      <c r="X12" s="126">
        <v>127154.514</v>
      </c>
      <c r="Y12" s="126">
        <v>144232.641</v>
      </c>
      <c r="Z12" s="126">
        <v>158018.117</v>
      </c>
      <c r="AA12" s="126">
        <v>158918.27499999999</v>
      </c>
      <c r="AB12" s="126">
        <v>414360.98100000003</v>
      </c>
      <c r="AC12" s="126">
        <v>416175</v>
      </c>
      <c r="AD12" s="1">
        <v>405816.25699999998</v>
      </c>
      <c r="AE12" s="1">
        <v>427398.27600000001</v>
      </c>
      <c r="AF12" s="1">
        <v>112465.429</v>
      </c>
      <c r="AG12" s="1">
        <v>491022.473</v>
      </c>
      <c r="AH12" s="1">
        <v>529666.55500000005</v>
      </c>
      <c r="AI12" s="1">
        <v>536019.08299999998</v>
      </c>
      <c r="AK12" s="1">
        <v>588158.04500000004</v>
      </c>
      <c r="AL12" s="1">
        <v>684868.41299999994</v>
      </c>
    </row>
    <row r="13" spans="1:38" ht="12.75" customHeight="1">
      <c r="A13" s="1" t="s">
        <v>28</v>
      </c>
      <c r="B13" s="1">
        <f>9966+6031+6894+2021+27846+14274</f>
        <v>67032</v>
      </c>
      <c r="C13" s="1">
        <f>9778+6441+8067+0+2975+31824+17903+0</f>
        <v>76988</v>
      </c>
      <c r="D13" s="1">
        <f>9709+6407+9900+0+2875+38383+17853+0</f>
        <v>85127</v>
      </c>
      <c r="I13" s="1">
        <f>15094.69+64226.297+55612.219+0</f>
        <v>134933.20600000001</v>
      </c>
      <c r="J13" s="126">
        <v>165318.033</v>
      </c>
      <c r="K13" s="1">
        <f>15005.171+111628.9+71059.287</f>
        <v>197693.35800000001</v>
      </c>
      <c r="L13" s="1">
        <f>12960.946+124860.813+64987.505</f>
        <v>202809.264</v>
      </c>
      <c r="M13" s="1">
        <v>253612.967</v>
      </c>
      <c r="N13" s="1">
        <f>14500.26+178207.645+76754.734+0</f>
        <v>269462.63899999997</v>
      </c>
      <c r="O13" s="1">
        <v>266147.57299999997</v>
      </c>
      <c r="R13" s="18">
        <v>277131.58299999998</v>
      </c>
      <c r="S13" s="1">
        <v>262332.891</v>
      </c>
      <c r="T13" s="44">
        <v>189730.48</v>
      </c>
      <c r="U13" s="1">
        <v>230041.141</v>
      </c>
      <c r="V13" s="1">
        <v>115285.83199999999</v>
      </c>
      <c r="W13" s="126">
        <v>102455.537</v>
      </c>
      <c r="X13" s="126">
        <v>147883.67300000001</v>
      </c>
      <c r="Y13" s="126">
        <v>90277.804000000004</v>
      </c>
      <c r="Z13" s="126">
        <v>87104.593999999997</v>
      </c>
      <c r="AA13" s="126">
        <v>111339.863</v>
      </c>
      <c r="AB13" s="126">
        <v>394600.37800000003</v>
      </c>
      <c r="AC13" s="126">
        <v>455947</v>
      </c>
      <c r="AD13" s="1">
        <v>219108.31899999999</v>
      </c>
      <c r="AE13" s="1">
        <v>213406.21599999999</v>
      </c>
      <c r="AF13" s="1">
        <v>108381.575</v>
      </c>
      <c r="AG13" s="1">
        <v>210694.07500000001</v>
      </c>
      <c r="AH13" s="1">
        <v>249661.52499999999</v>
      </c>
      <c r="AI13" s="1">
        <v>176455.266</v>
      </c>
      <c r="AK13" s="1">
        <v>167332.916</v>
      </c>
      <c r="AL13" s="1">
        <v>172485.761</v>
      </c>
    </row>
    <row r="14" spans="1:38" ht="12.75" customHeight="1">
      <c r="A14" s="1" t="s">
        <v>29</v>
      </c>
      <c r="B14" s="1">
        <f>180+13169+2231</f>
        <v>15580</v>
      </c>
      <c r="C14" s="1">
        <f>178+19709+9814+0</f>
        <v>29701</v>
      </c>
      <c r="D14" s="1">
        <f>0+0+0+0+164+20503+14065+0</f>
        <v>34732</v>
      </c>
      <c r="I14" s="1">
        <f>2028.258+35053.784+23991.732+0</f>
        <v>61073.774000000005</v>
      </c>
      <c r="J14" s="126">
        <v>55703.817000000003</v>
      </c>
      <c r="K14" s="1">
        <f>1930.573+51912.732+16928.764</f>
        <v>70772.069000000003</v>
      </c>
      <c r="L14" s="1">
        <f>2087.014+56135.925+17131.862</f>
        <v>75354.801000000007</v>
      </c>
      <c r="M14" s="1">
        <v>82035.490000000005</v>
      </c>
      <c r="N14" s="1">
        <f>2550.742+78756.081+20541.791+0</f>
        <v>101848.614</v>
      </c>
      <c r="O14" s="1">
        <v>112530.10562</v>
      </c>
      <c r="R14" s="18">
        <v>141083.47399999999</v>
      </c>
      <c r="S14" s="1">
        <v>162599.06099999999</v>
      </c>
      <c r="T14" s="44">
        <v>156713.93799999999</v>
      </c>
      <c r="U14" s="1">
        <v>184462.19</v>
      </c>
      <c r="V14" s="1">
        <v>165422.51300000001</v>
      </c>
      <c r="W14" s="126">
        <v>527811.59100000001</v>
      </c>
      <c r="X14" s="126">
        <v>274988.78000000003</v>
      </c>
      <c r="Y14" s="126">
        <v>281003.59399999998</v>
      </c>
      <c r="Z14" s="126">
        <v>268554.57</v>
      </c>
      <c r="AA14" s="126">
        <v>83450.25</v>
      </c>
      <c r="AB14" s="126">
        <v>383551.315</v>
      </c>
      <c r="AC14" s="126">
        <v>313941</v>
      </c>
      <c r="AD14" s="1">
        <v>322094.88799999998</v>
      </c>
      <c r="AE14" s="1">
        <v>386775.54399999999</v>
      </c>
      <c r="AF14" s="1">
        <v>83709.642999999996</v>
      </c>
      <c r="AG14" s="1">
        <v>411443.36499999999</v>
      </c>
      <c r="AH14" s="1">
        <v>422545.22</v>
      </c>
      <c r="AI14" s="1">
        <v>436070.25599999999</v>
      </c>
      <c r="AK14" s="1">
        <v>429626.46</v>
      </c>
      <c r="AL14" s="1">
        <v>446702.11499999999</v>
      </c>
    </row>
    <row r="15" spans="1:38" ht="12.75" customHeight="1">
      <c r="A15" s="1" t="s">
        <v>30</v>
      </c>
      <c r="B15" s="1">
        <f>337+2602+12057+8898+9087+1040</f>
        <v>34021</v>
      </c>
      <c r="C15" s="1">
        <f>0+3280+1060+0+12332+8977+9309+1063</f>
        <v>36021</v>
      </c>
      <c r="D15" s="1">
        <f>0+2194+1337+0+11784+13454+8270+306</f>
        <v>37345</v>
      </c>
      <c r="I15" s="1">
        <f>12299.913+19167.626+17112.45+1490.274</f>
        <v>50070.262999999999</v>
      </c>
      <c r="J15" s="126">
        <v>53697.057000000001</v>
      </c>
      <c r="K15" s="1">
        <f>12916.898+25172.063+15756.614+1453.133</f>
        <v>55298.707999999999</v>
      </c>
      <c r="L15" s="1">
        <f>10706.698+23983.262+18868.975+1350.162</f>
        <v>54909.096999999994</v>
      </c>
      <c r="M15" s="1">
        <v>68984.585999999996</v>
      </c>
      <c r="N15" s="1">
        <f>12822.906+24686.126+31479.685+1516.4843</f>
        <v>70505.201300000001</v>
      </c>
      <c r="O15" s="1">
        <v>66030.293999999994</v>
      </c>
      <c r="R15" s="18">
        <v>83065.468999999997</v>
      </c>
      <c r="S15" s="1">
        <v>92349.123999999996</v>
      </c>
      <c r="T15" s="44">
        <v>109817.49400000001</v>
      </c>
      <c r="U15" s="1">
        <v>125032.40399999999</v>
      </c>
      <c r="V15" s="1">
        <v>120431.836</v>
      </c>
      <c r="W15" s="126">
        <v>130279.808</v>
      </c>
      <c r="X15" s="126">
        <v>128984.795</v>
      </c>
      <c r="Y15" s="126">
        <v>121925.398</v>
      </c>
      <c r="Z15" s="126">
        <v>112723.626</v>
      </c>
      <c r="AA15" s="126">
        <v>78769.218999999997</v>
      </c>
      <c r="AB15" s="126">
        <v>125770.38400000001</v>
      </c>
      <c r="AC15" s="126">
        <v>144900</v>
      </c>
      <c r="AD15" s="1">
        <v>151867.823</v>
      </c>
      <c r="AE15" s="1">
        <v>154120.842</v>
      </c>
      <c r="AF15" s="1">
        <v>106991.62</v>
      </c>
      <c r="AG15" s="1">
        <v>162387.53099999999</v>
      </c>
      <c r="AH15" s="1">
        <v>194060.25099999999</v>
      </c>
      <c r="AI15" s="1">
        <v>150182.777</v>
      </c>
      <c r="AK15" s="1">
        <v>173539.98800000001</v>
      </c>
      <c r="AL15" s="1">
        <v>209209.00200000001</v>
      </c>
    </row>
    <row r="16" spans="1:38" ht="12.75" customHeight="1">
      <c r="A16" s="1" t="s">
        <v>31</v>
      </c>
      <c r="B16" s="1">
        <f>47217+15908+26297+16866+16845+24759+1737</f>
        <v>149629</v>
      </c>
      <c r="C16" s="1">
        <f>0+51426+4254+27776+17954+19043+25513+1276</f>
        <v>147242</v>
      </c>
      <c r="D16" s="1">
        <f>0+55317+22016+26487+18548+18605+37203+2503</f>
        <v>180679</v>
      </c>
      <c r="I16" s="1">
        <f>23490.267+113029.776+56553.353+13184.763</f>
        <v>206258.15900000001</v>
      </c>
      <c r="J16" s="126">
        <v>228012.234</v>
      </c>
      <c r="K16" s="1">
        <f>19974.544+175579.237+56266.235+13352.344</f>
        <v>265172.36</v>
      </c>
      <c r="L16" s="1">
        <f>19213.397+86473.528+54611.657+14035.174</f>
        <v>174333.75599999999</v>
      </c>
      <c r="M16" s="1">
        <v>169877.269</v>
      </c>
      <c r="N16" s="1">
        <f>21362.525+30271.542+70162.231+14748.761</f>
        <v>136545.05900000001</v>
      </c>
      <c r="O16" s="1">
        <v>148357.76999999999</v>
      </c>
      <c r="R16" s="18">
        <v>172165.64600000001</v>
      </c>
      <c r="S16" s="1">
        <v>200967.73199999999</v>
      </c>
      <c r="T16" s="44">
        <v>61263.766000000003</v>
      </c>
      <c r="U16" s="1">
        <v>76019.269</v>
      </c>
      <c r="V16" s="1">
        <v>83265.877999999997</v>
      </c>
      <c r="W16" s="126">
        <v>97645.865000000005</v>
      </c>
      <c r="X16" s="126">
        <v>117390.486</v>
      </c>
      <c r="Y16" s="126">
        <v>165862.25200000001</v>
      </c>
      <c r="Z16" s="126">
        <v>153381.16399999999</v>
      </c>
      <c r="AA16" s="126">
        <v>224067.223</v>
      </c>
      <c r="AB16" s="126">
        <v>301300.07199999999</v>
      </c>
      <c r="AC16" s="126">
        <v>357617</v>
      </c>
      <c r="AD16" s="1">
        <v>216145.37899999999</v>
      </c>
      <c r="AE16" s="1">
        <v>212805.04500000001</v>
      </c>
      <c r="AF16" s="1">
        <v>86691.591</v>
      </c>
      <c r="AG16" s="1">
        <v>261070.91399999999</v>
      </c>
      <c r="AH16" s="1">
        <v>252872.50099999999</v>
      </c>
      <c r="AI16" s="1">
        <v>261142.26800000001</v>
      </c>
      <c r="AK16" s="1">
        <v>363502.89899999998</v>
      </c>
      <c r="AL16" s="1">
        <v>252565.56099999999</v>
      </c>
    </row>
    <row r="17" spans="1:38" ht="12.75" customHeight="1">
      <c r="A17" s="1" t="s">
        <v>32</v>
      </c>
      <c r="B17" s="1">
        <f>8341+2717+24531</f>
        <v>35589</v>
      </c>
      <c r="C17" s="1">
        <f>8742+2841+25929+0</f>
        <v>37512</v>
      </c>
      <c r="D17" s="1">
        <f>0+0+0+0+9087+5942+20210+0</f>
        <v>35239</v>
      </c>
      <c r="I17" s="1">
        <f>13043.351+15252.677+19177.49+64448.945</f>
        <v>111922.46299999999</v>
      </c>
      <c r="J17" s="126">
        <v>109765.226</v>
      </c>
      <c r="K17" s="1">
        <f>12227.593+12550.001+21829.58+60980.332</f>
        <v>107587.50599999999</v>
      </c>
      <c r="L17" s="1">
        <f>13622.743+15726.411+27755.615+67212.854</f>
        <v>124317.62300000001</v>
      </c>
      <c r="M17" s="1">
        <v>54457.497000000003</v>
      </c>
      <c r="N17" s="1">
        <f>13820.815+18611.926+33801.653+81163.376</f>
        <v>147397.77000000002</v>
      </c>
      <c r="O17" s="1">
        <v>177453.52177000002</v>
      </c>
      <c r="R17" s="18">
        <v>310330.13699999999</v>
      </c>
      <c r="S17" s="1">
        <v>78497.013999999996</v>
      </c>
      <c r="T17" s="44">
        <v>138017.364</v>
      </c>
      <c r="U17" s="1">
        <v>144060.008</v>
      </c>
      <c r="V17" s="1">
        <v>171211.41800000001</v>
      </c>
      <c r="W17" s="126">
        <v>159155.065</v>
      </c>
      <c r="X17" s="126">
        <v>191008.549</v>
      </c>
      <c r="Y17" s="126">
        <v>213418.53200000001</v>
      </c>
      <c r="Z17" s="126">
        <v>214774.40100000001</v>
      </c>
      <c r="AA17" s="126">
        <v>106555.06600000001</v>
      </c>
      <c r="AB17" s="126">
        <v>234651.24900000001</v>
      </c>
      <c r="AC17" s="126">
        <v>221204</v>
      </c>
      <c r="AD17" s="1">
        <v>238012.93400000001</v>
      </c>
      <c r="AE17" s="1">
        <v>270358.717</v>
      </c>
      <c r="AF17" s="1">
        <v>196731.21</v>
      </c>
      <c r="AG17" s="1">
        <v>286754.53399999999</v>
      </c>
      <c r="AH17" s="1">
        <v>299833.89199999999</v>
      </c>
      <c r="AI17" s="1">
        <v>313907.74800000002</v>
      </c>
      <c r="AK17" s="1">
        <v>226426.731</v>
      </c>
      <c r="AL17" s="1">
        <v>246501.255</v>
      </c>
    </row>
    <row r="18" spans="1:38" ht="12.75" customHeight="1">
      <c r="A18" s="1" t="s">
        <v>33</v>
      </c>
      <c r="B18" s="1">
        <f>10789+10481+6177+25+1522+8358</f>
        <v>37352</v>
      </c>
      <c r="C18" s="1">
        <f>10937+11913+11254+0+25+2473+9363+0</f>
        <v>45965</v>
      </c>
      <c r="D18" s="1">
        <f>10071+11403+10795+0+25+2255+11682+0</f>
        <v>46231</v>
      </c>
      <c r="I18" s="1">
        <f>11563.728+30820.123+20181.33+0</f>
        <v>62565.180999999997</v>
      </c>
      <c r="J18" s="126">
        <v>53713.24</v>
      </c>
      <c r="K18" s="1">
        <f>11698.766+26008.174+22185.209</f>
        <v>59892.149000000005</v>
      </c>
      <c r="L18" s="1">
        <f>10244.845+29881.336+27657.199</f>
        <v>67783.38</v>
      </c>
      <c r="M18" s="1">
        <v>67347.236000000004</v>
      </c>
      <c r="N18" s="1">
        <f>11047.821+32055.948+26556.379+0</f>
        <v>69660.148000000001</v>
      </c>
      <c r="O18" s="1">
        <v>87197.702999999994</v>
      </c>
      <c r="R18" s="18">
        <v>84193.09</v>
      </c>
      <c r="S18" s="1">
        <v>151077.81599999999</v>
      </c>
      <c r="T18" s="44">
        <v>160504.087</v>
      </c>
      <c r="U18" s="1">
        <v>192291.79500000001</v>
      </c>
      <c r="V18" s="1">
        <v>202306.37</v>
      </c>
      <c r="W18" s="126">
        <v>217512.52900000001</v>
      </c>
      <c r="X18" s="126">
        <v>223951.886</v>
      </c>
      <c r="Y18" s="126">
        <v>273702.91600000003</v>
      </c>
      <c r="Z18" s="126">
        <v>276345.70699999999</v>
      </c>
      <c r="AA18" s="126">
        <v>94722.423999999999</v>
      </c>
      <c r="AB18" s="126">
        <v>294337.46500000003</v>
      </c>
      <c r="AC18" s="126">
        <v>365954</v>
      </c>
      <c r="AD18" s="1">
        <v>299325.45199999999</v>
      </c>
      <c r="AE18" s="1">
        <v>303642.53399999999</v>
      </c>
      <c r="AF18" s="1">
        <v>204829.14199999999</v>
      </c>
      <c r="AG18" s="1">
        <v>372380.02899999998</v>
      </c>
      <c r="AH18" s="1">
        <v>343243.63299999997</v>
      </c>
      <c r="AI18" s="1">
        <v>369863.82500000001</v>
      </c>
      <c r="AK18" s="1">
        <v>445272.587</v>
      </c>
      <c r="AL18" s="1">
        <v>394114.27100000001</v>
      </c>
    </row>
    <row r="19" spans="1:38" ht="12.75" customHeight="1">
      <c r="A19" s="1" t="s">
        <v>34</v>
      </c>
      <c r="B19" s="1">
        <f>43+2690+2835+2523+18905+7163</f>
        <v>34159</v>
      </c>
      <c r="C19" s="1">
        <f>41+5115+1194+0+444+19495+8540+0</f>
        <v>34829</v>
      </c>
      <c r="D19" s="1">
        <f>11427+7663+1830+0+0+19900+7446+0</f>
        <v>48266</v>
      </c>
      <c r="I19" s="1">
        <f>12110.199+41780.651+23309.593+0</f>
        <v>77200.442999999999</v>
      </c>
      <c r="J19" s="126">
        <v>68909.474000000002</v>
      </c>
      <c r="K19" s="1">
        <f>13333.293+50689.682+17366.415</f>
        <v>81389.39</v>
      </c>
      <c r="L19" s="1">
        <f>13608.242+55827.978+18769.276</f>
        <v>88205.495999999999</v>
      </c>
      <c r="M19" s="1">
        <v>84883.307000000001</v>
      </c>
      <c r="N19" s="1">
        <f>13073.132+61528.25+28269.465+0</f>
        <v>102870.84699999999</v>
      </c>
      <c r="O19" s="1">
        <v>108130.59212</v>
      </c>
      <c r="R19" s="24">
        <v>217655.12</v>
      </c>
      <c r="S19" s="1">
        <v>185646.44</v>
      </c>
      <c r="T19" s="44">
        <v>178269.94500000001</v>
      </c>
      <c r="U19" s="1">
        <v>122361.122</v>
      </c>
      <c r="V19" s="1">
        <v>140753.973</v>
      </c>
      <c r="W19" s="126">
        <v>126622.739</v>
      </c>
      <c r="X19" s="126">
        <v>139145.141</v>
      </c>
      <c r="Y19" s="126">
        <v>148868.58799999999</v>
      </c>
      <c r="Z19" s="126">
        <v>171825.609</v>
      </c>
      <c r="AA19" s="126">
        <v>170964.36900000001</v>
      </c>
      <c r="AB19" s="126">
        <v>183227.88500000001</v>
      </c>
      <c r="AC19" s="126">
        <v>142386</v>
      </c>
      <c r="AD19" s="1">
        <v>192444.25700000001</v>
      </c>
      <c r="AE19" s="1">
        <v>198198.44200000001</v>
      </c>
      <c r="AF19" s="1">
        <v>116805.74</v>
      </c>
      <c r="AG19" s="1">
        <v>214887.19699999999</v>
      </c>
      <c r="AH19" s="1">
        <v>231682.84899999999</v>
      </c>
      <c r="AI19" s="1">
        <v>226186.29500000001</v>
      </c>
      <c r="AK19" s="1">
        <v>213265.685</v>
      </c>
      <c r="AL19" s="1">
        <v>197751.93400000001</v>
      </c>
    </row>
    <row r="20" spans="1:38" ht="12.75" customHeight="1">
      <c r="A20" s="1" t="s">
        <v>35</v>
      </c>
      <c r="B20" s="1">
        <f>21746+28676+111832+114014+66042</f>
        <v>342310</v>
      </c>
      <c r="C20" s="1">
        <f>22636+30719+106908+0+16+141166+71811+0</f>
        <v>373256</v>
      </c>
      <c r="D20" s="1">
        <f>19836+35931+115151+0+0+161790+81467+36202</f>
        <v>450377</v>
      </c>
      <c r="I20" s="1">
        <f>27716.453+271378.072+298815.694+1655.659</f>
        <v>599565.87800000003</v>
      </c>
      <c r="J20" s="126">
        <v>666785.00300000003</v>
      </c>
      <c r="K20" s="1">
        <f>24079.48+362254.27+338215.735</f>
        <v>724549.48499999999</v>
      </c>
      <c r="L20" s="1">
        <f>25591.72+398867.092+368883.933</f>
        <v>793342.74500000011</v>
      </c>
      <c r="M20" s="1">
        <v>878946.95700000005</v>
      </c>
      <c r="N20" s="1">
        <f>24339.974+410346.928+498957.796+0</f>
        <v>933644.69799999997</v>
      </c>
      <c r="O20" s="1">
        <v>976407.76100000006</v>
      </c>
      <c r="R20" s="18">
        <v>1071165.8189999999</v>
      </c>
      <c r="S20" s="1">
        <v>1063417.0449999999</v>
      </c>
      <c r="T20" s="44">
        <v>2498406.5970000001</v>
      </c>
      <c r="U20" s="1">
        <v>2604105.3050000002</v>
      </c>
      <c r="V20" s="1">
        <v>2541226.8029999998</v>
      </c>
      <c r="W20" s="126">
        <v>2853187.2349999999</v>
      </c>
      <c r="X20" s="126">
        <v>2435948.17</v>
      </c>
      <c r="Y20" s="126">
        <v>3243807.6260000002</v>
      </c>
      <c r="Z20" s="126">
        <v>2983950.8769999999</v>
      </c>
      <c r="AA20" s="126">
        <v>1944644.942</v>
      </c>
      <c r="AB20" s="126">
        <v>3589664.7749999999</v>
      </c>
      <c r="AC20" s="126">
        <v>3467360</v>
      </c>
      <c r="AD20" s="1">
        <v>3341233.7250000001</v>
      </c>
      <c r="AE20" s="1">
        <v>2089588.7339999999</v>
      </c>
      <c r="AF20" s="1">
        <v>1693765.2439999999</v>
      </c>
      <c r="AG20" s="1">
        <v>3111623.73</v>
      </c>
      <c r="AH20" s="1">
        <v>5055736.4340000004</v>
      </c>
      <c r="AI20" s="1">
        <v>6169389.8569999998</v>
      </c>
      <c r="AK20" s="1">
        <v>6233709.7479999997</v>
      </c>
      <c r="AL20" s="1">
        <v>5934215.3830000004</v>
      </c>
    </row>
    <row r="21" spans="1:38" ht="12.75" customHeight="1">
      <c r="A21" s="1" t="s">
        <v>36</v>
      </c>
      <c r="B21" s="1">
        <f>7598+14686+1200+11381+1915+6947</f>
        <v>43727</v>
      </c>
      <c r="C21" s="1">
        <f>56274+8790+21036+1211+12056+1903+7240+0</f>
        <v>108510</v>
      </c>
      <c r="D21" s="1">
        <f>65266+8416+23408+0+11327+1987+8721+2020</f>
        <v>121145</v>
      </c>
      <c r="I21" s="1">
        <f>12686.55+19582.949+38228.749+366.469</f>
        <v>70864.717000000004</v>
      </c>
      <c r="J21" s="126">
        <v>73537.816000000006</v>
      </c>
      <c r="K21" s="1">
        <f>13652.97+19896.869+34775.178+278.025</f>
        <v>68603.041999999987</v>
      </c>
      <c r="L21" s="1">
        <f>13395.242+21348.713+35065.648+272.377</f>
        <v>70081.98</v>
      </c>
      <c r="M21" s="1">
        <v>80423.773000000001</v>
      </c>
      <c r="N21" s="1">
        <f>14104.726+25365.486+46537.338+315.458</f>
        <v>86323.008000000002</v>
      </c>
      <c r="O21" s="1">
        <v>83740.038</v>
      </c>
      <c r="R21" s="18">
        <v>93142.576000000001</v>
      </c>
      <c r="S21" s="1">
        <v>112304.81600000001</v>
      </c>
      <c r="T21" s="44">
        <v>154525.00599999999</v>
      </c>
      <c r="U21" s="1">
        <v>106482.474</v>
      </c>
      <c r="V21" s="1">
        <v>129357.455</v>
      </c>
      <c r="W21" s="126">
        <v>133248.35</v>
      </c>
      <c r="X21" s="126">
        <v>152995.95000000001</v>
      </c>
      <c r="Y21" s="126">
        <v>157870.23699999999</v>
      </c>
      <c r="Z21" s="126">
        <v>153720.302</v>
      </c>
      <c r="AA21" s="126">
        <v>156453.323</v>
      </c>
      <c r="AB21" s="126">
        <v>223212.25599999999</v>
      </c>
      <c r="AC21" s="126">
        <v>365273</v>
      </c>
      <c r="AD21" s="1">
        <v>279450.31300000002</v>
      </c>
      <c r="AE21" s="1">
        <v>239081.81099999999</v>
      </c>
      <c r="AF21" s="1">
        <v>197215.54399999999</v>
      </c>
      <c r="AG21" s="1">
        <v>324787.95799999998</v>
      </c>
      <c r="AH21" s="1">
        <v>302199.19699999999</v>
      </c>
      <c r="AI21" s="1">
        <v>340606.97600000002</v>
      </c>
      <c r="AK21" s="1">
        <v>287380.65899999999</v>
      </c>
      <c r="AL21" s="1">
        <v>337346.16800000001</v>
      </c>
    </row>
    <row r="22" spans="1:38" ht="12.75" customHeight="1">
      <c r="A22" s="27" t="s">
        <v>37</v>
      </c>
      <c r="B22" s="27">
        <f>8396+4059+10666+330+3199</f>
        <v>26650</v>
      </c>
      <c r="C22" s="27">
        <f>7252+3794+6618+0+0+327+2932+0</f>
        <v>20923</v>
      </c>
      <c r="D22" s="27">
        <f>7491+2946+7961+0+0+357+4686+0</f>
        <v>23441</v>
      </c>
      <c r="E22" s="27"/>
      <c r="F22" s="27"/>
      <c r="G22" s="27"/>
      <c r="H22" s="27"/>
      <c r="I22" s="27">
        <f>6926.945+1750.399+22762.474+0</f>
        <v>31439.817999999999</v>
      </c>
      <c r="J22" s="127">
        <v>31461.955999999998</v>
      </c>
      <c r="K22" s="27">
        <f>8263.597+4720.093+15144.195</f>
        <v>28127.884999999998</v>
      </c>
      <c r="L22" s="27">
        <f>5546.107+6578.867+13202.712</f>
        <v>25327.686000000002</v>
      </c>
      <c r="M22" s="27">
        <v>25135.268</v>
      </c>
      <c r="N22" s="27">
        <f>7832.077+5610.366+18128.709+0</f>
        <v>31571.151999999998</v>
      </c>
      <c r="O22" s="27">
        <v>32251.190600000002</v>
      </c>
      <c r="P22" s="27"/>
      <c r="Q22" s="27"/>
      <c r="R22" s="27">
        <v>36908.97</v>
      </c>
      <c r="S22" s="27">
        <v>50803.533000000003</v>
      </c>
      <c r="T22" s="61">
        <v>77968.758000000002</v>
      </c>
      <c r="U22" s="27">
        <v>39021.544000000002</v>
      </c>
      <c r="V22" s="27">
        <v>32707.05</v>
      </c>
      <c r="W22" s="127">
        <v>57080.531999999999</v>
      </c>
      <c r="X22" s="127">
        <v>83585.509999999995</v>
      </c>
      <c r="Y22" s="127">
        <v>86324.686000000002</v>
      </c>
      <c r="Z22" s="127">
        <v>89164.335000000006</v>
      </c>
      <c r="AA22" s="127">
        <v>54707.675000000003</v>
      </c>
      <c r="AB22" s="127">
        <v>168554.84899999999</v>
      </c>
      <c r="AC22" s="127">
        <v>102417</v>
      </c>
      <c r="AD22" s="27">
        <v>86604.626999999993</v>
      </c>
      <c r="AE22" s="27">
        <v>88107.955000000002</v>
      </c>
      <c r="AF22" s="27">
        <v>58763.644999999997</v>
      </c>
      <c r="AG22" s="27">
        <v>55962.464999999997</v>
      </c>
      <c r="AH22" s="27">
        <v>55973.163999999997</v>
      </c>
      <c r="AI22" s="27">
        <v>64244.807999999997</v>
      </c>
      <c r="AJ22" s="27"/>
      <c r="AK22" s="1">
        <v>73910.070000000007</v>
      </c>
      <c r="AL22" s="1">
        <v>59562.998</v>
      </c>
    </row>
    <row r="23" spans="1:38" ht="12.75" customHeight="1">
      <c r="A23" s="6" t="s">
        <v>38</v>
      </c>
      <c r="J23" s="51">
        <f>SUM(J25:J37)</f>
        <v>1429590.6980000003</v>
      </c>
      <c r="M23" s="51">
        <f>SUM(M25:M37)</f>
        <v>1683633.1169999999</v>
      </c>
      <c r="O23" s="51">
        <f>SUM(O25:O37)</f>
        <v>2224210.6589999995</v>
      </c>
      <c r="R23" s="51">
        <f t="shared" ref="R23:AC23" si="15">SUM(R25:R37)</f>
        <v>2793337.7059999998</v>
      </c>
      <c r="S23" s="51">
        <f t="shared" si="15"/>
        <v>2537761.0860000001</v>
      </c>
      <c r="T23" s="60">
        <f t="shared" si="15"/>
        <v>2214529.42</v>
      </c>
      <c r="U23" s="51">
        <f t="shared" si="15"/>
        <v>2555421.3529999997</v>
      </c>
      <c r="V23" s="51">
        <f t="shared" si="15"/>
        <v>2256770.7650000001</v>
      </c>
      <c r="W23" s="51">
        <f t="shared" si="15"/>
        <v>3241126.9009999996</v>
      </c>
      <c r="X23" s="51">
        <f t="shared" si="15"/>
        <v>3088044.32</v>
      </c>
      <c r="Y23" s="51">
        <f t="shared" si="15"/>
        <v>3814624.0270000002</v>
      </c>
      <c r="Z23" s="51">
        <f t="shared" si="15"/>
        <v>4492463.8470000001</v>
      </c>
      <c r="AA23" s="51">
        <f t="shared" si="15"/>
        <v>4380477.7619999992</v>
      </c>
      <c r="AB23" s="51">
        <f t="shared" si="15"/>
        <v>5335531.2320000008</v>
      </c>
      <c r="AC23" s="51">
        <f t="shared" si="15"/>
        <v>5893743</v>
      </c>
      <c r="AD23" s="51">
        <f>SUM(AD25:AD37)</f>
        <v>6477423.7420000015</v>
      </c>
      <c r="AE23" s="51">
        <f t="shared" ref="AE23:AK23" si="16">SUM(AE25:AE37)</f>
        <v>6361458.5440000016</v>
      </c>
      <c r="AF23" s="51">
        <f>SUM(AF25:AF37)</f>
        <v>3705063.2259999998</v>
      </c>
      <c r="AG23" s="51">
        <f t="shared" si="16"/>
        <v>8114718.0549999997</v>
      </c>
      <c r="AH23" s="51">
        <f t="shared" si="16"/>
        <v>7488610.7409999995</v>
      </c>
      <c r="AI23" s="51">
        <f t="shared" si="16"/>
        <v>7779368.7110000001</v>
      </c>
      <c r="AJ23" s="51">
        <f t="shared" si="16"/>
        <v>0</v>
      </c>
      <c r="AK23" s="131">
        <f t="shared" si="16"/>
        <v>9016503.7530000005</v>
      </c>
      <c r="AL23" s="131">
        <f t="shared" ref="AL23" si="17">SUM(AL25:AL37)</f>
        <v>10412627.063999999</v>
      </c>
    </row>
    <row r="24" spans="1:38" ht="12.75" customHeight="1">
      <c r="A24" s="6" t="s">
        <v>94</v>
      </c>
      <c r="T24" s="44"/>
      <c r="AA24" s="10">
        <v>0</v>
      </c>
      <c r="AD24" s="1">
        <v>0</v>
      </c>
      <c r="AE24" s="1">
        <v>0</v>
      </c>
      <c r="AF24" s="1">
        <v>0</v>
      </c>
      <c r="AH24" s="1">
        <v>0</v>
      </c>
      <c r="AI24" s="1">
        <v>0</v>
      </c>
    </row>
    <row r="25" spans="1:38" ht="12.75" customHeight="1">
      <c r="A25" s="1" t="s">
        <v>39</v>
      </c>
      <c r="J25" s="126">
        <v>19339.157999999999</v>
      </c>
      <c r="M25" s="1">
        <v>25793.86</v>
      </c>
      <c r="O25" s="1">
        <v>22218.552</v>
      </c>
      <c r="R25" s="18">
        <v>16854.612000000001</v>
      </c>
      <c r="S25" s="1">
        <v>16644.822</v>
      </c>
      <c r="T25" s="44">
        <v>15542.366</v>
      </c>
      <c r="U25" s="1">
        <v>14336.376</v>
      </c>
      <c r="V25" s="1">
        <v>14564.873</v>
      </c>
      <c r="W25" s="126">
        <v>14101.079</v>
      </c>
      <c r="X25" s="126">
        <v>14653.002</v>
      </c>
      <c r="Y25" s="126">
        <v>19580.257000000001</v>
      </c>
      <c r="Z25" s="126">
        <v>20135.217000000001</v>
      </c>
      <c r="AA25" s="126">
        <v>46228.624000000003</v>
      </c>
      <c r="AB25" s="126">
        <v>41909.703999999998</v>
      </c>
      <c r="AC25" s="126">
        <v>73324</v>
      </c>
      <c r="AD25" s="1">
        <v>100142.255</v>
      </c>
      <c r="AE25" s="1">
        <v>68413.216</v>
      </c>
      <c r="AF25" s="1">
        <v>35350.864000000001</v>
      </c>
      <c r="AG25" s="1">
        <v>41609.785000000003</v>
      </c>
      <c r="AH25" s="1">
        <v>36021.673000000003</v>
      </c>
      <c r="AI25" s="1">
        <v>26162.739000000001</v>
      </c>
      <c r="AK25" s="1">
        <v>37710.491000000002</v>
      </c>
      <c r="AL25" s="1">
        <v>22976.179</v>
      </c>
    </row>
    <row r="26" spans="1:38" ht="12.75" customHeight="1">
      <c r="A26" s="1" t="s">
        <v>40</v>
      </c>
      <c r="J26" s="126">
        <v>43403.489000000001</v>
      </c>
      <c r="M26" s="1">
        <v>60894.154999999999</v>
      </c>
      <c r="O26" s="1">
        <v>72744.448999999993</v>
      </c>
      <c r="R26" s="18">
        <v>84844.7</v>
      </c>
      <c r="S26" s="1">
        <v>94004.065000000002</v>
      </c>
      <c r="T26" s="44">
        <v>96039.407000000007</v>
      </c>
      <c r="U26" s="1">
        <v>70124.453999999998</v>
      </c>
      <c r="V26" s="1">
        <v>88617.163</v>
      </c>
      <c r="W26" s="126">
        <v>78460.664999999994</v>
      </c>
      <c r="X26" s="126">
        <v>120629.70299999999</v>
      </c>
      <c r="Y26" s="126">
        <v>164578.24400000001</v>
      </c>
      <c r="Z26" s="126">
        <v>161447.359</v>
      </c>
      <c r="AA26" s="126">
        <v>285041.48499999999</v>
      </c>
      <c r="AB26" s="126">
        <v>213508.598</v>
      </c>
      <c r="AC26" s="126">
        <v>160066</v>
      </c>
      <c r="AD26" s="1">
        <v>201606.22899999999</v>
      </c>
      <c r="AE26" s="1">
        <v>279392.31400000001</v>
      </c>
      <c r="AF26" s="1">
        <v>204921.033</v>
      </c>
      <c r="AG26" s="1">
        <v>409786.43800000002</v>
      </c>
      <c r="AH26" s="1">
        <v>372948.63099999999</v>
      </c>
      <c r="AI26" s="1">
        <v>392599.23300000001</v>
      </c>
      <c r="AK26" s="1">
        <v>367430.23100000003</v>
      </c>
      <c r="AL26" s="1">
        <v>384164.81300000002</v>
      </c>
    </row>
    <row r="27" spans="1:38" ht="12.75" customHeight="1">
      <c r="A27" s="1" t="s">
        <v>41</v>
      </c>
      <c r="J27" s="126">
        <v>706770.16399999999</v>
      </c>
      <c r="M27" s="1">
        <v>908410.48899999994</v>
      </c>
      <c r="O27" s="1">
        <v>1220901.0249999999</v>
      </c>
      <c r="R27" s="18">
        <v>1490613.8149999999</v>
      </c>
      <c r="S27" s="1">
        <v>1232984.733</v>
      </c>
      <c r="T27" s="44">
        <v>770201.21</v>
      </c>
      <c r="U27" s="1">
        <v>1058750.0179999999</v>
      </c>
      <c r="V27" s="1">
        <v>1119253.7239999999</v>
      </c>
      <c r="W27" s="126">
        <v>1306029.6869999999</v>
      </c>
      <c r="X27" s="126">
        <v>1372060.108</v>
      </c>
      <c r="Y27" s="126">
        <v>1939186.6</v>
      </c>
      <c r="Z27" s="126">
        <v>3027204.8709999998</v>
      </c>
      <c r="AA27" s="126">
        <v>2758338.7319999998</v>
      </c>
      <c r="AB27" s="126">
        <v>3148958.469</v>
      </c>
      <c r="AC27" s="126">
        <v>3786250</v>
      </c>
      <c r="AD27" s="1">
        <v>4348342.57</v>
      </c>
      <c r="AE27" s="1">
        <v>4087936.5150000001</v>
      </c>
      <c r="AF27" s="1">
        <v>2400173.1889999998</v>
      </c>
      <c r="AG27" s="1">
        <v>5169486.3269999996</v>
      </c>
      <c r="AH27" s="1">
        <v>4767475.1169999996</v>
      </c>
      <c r="AI27" s="1">
        <v>5141860.625</v>
      </c>
      <c r="AK27" s="1">
        <v>6178826.6770000001</v>
      </c>
      <c r="AL27" s="1">
        <v>7188162.7819999997</v>
      </c>
    </row>
    <row r="28" spans="1:38" ht="12.75" customHeight="1">
      <c r="A28" s="1" t="s">
        <v>42</v>
      </c>
      <c r="J28" s="126">
        <v>103949.499</v>
      </c>
      <c r="M28" s="1">
        <v>117683.32399999999</v>
      </c>
      <c r="O28" s="1">
        <v>160938.02460000003</v>
      </c>
      <c r="R28" s="18">
        <v>184631.777</v>
      </c>
      <c r="S28" s="1">
        <v>217395.74799999999</v>
      </c>
      <c r="T28" s="44">
        <v>152858.73699999999</v>
      </c>
      <c r="U28" s="1">
        <v>150676.54199999999</v>
      </c>
      <c r="V28" s="1">
        <v>92827.380999999994</v>
      </c>
      <c r="W28" s="126">
        <v>607090.96299999999</v>
      </c>
      <c r="X28" s="126">
        <v>220701.58799999999</v>
      </c>
      <c r="Y28" s="126">
        <v>243174.46</v>
      </c>
      <c r="Z28" s="126">
        <v>270243.924</v>
      </c>
      <c r="AA28" s="126">
        <v>374824.73100000003</v>
      </c>
      <c r="AB28" s="126">
        <v>540451.87699999998</v>
      </c>
      <c r="AC28" s="126">
        <v>343437</v>
      </c>
      <c r="AD28" s="1">
        <v>358118.05300000001</v>
      </c>
      <c r="AE28" s="1">
        <v>355690.03100000002</v>
      </c>
      <c r="AF28" s="1">
        <v>161597.13800000001</v>
      </c>
      <c r="AG28" s="1">
        <v>395332.44099999999</v>
      </c>
      <c r="AH28" s="1">
        <v>448818.99400000001</v>
      </c>
      <c r="AI28" s="1">
        <v>487795.15500000003</v>
      </c>
      <c r="AK28" s="1">
        <v>630848.46299999999</v>
      </c>
      <c r="AL28" s="1">
        <v>663000.98499999999</v>
      </c>
    </row>
    <row r="29" spans="1:38" ht="12.75" customHeight="1">
      <c r="A29" s="1" t="s">
        <v>43</v>
      </c>
      <c r="J29" s="126">
        <v>10201.326999999999</v>
      </c>
      <c r="M29" s="1">
        <v>8886.8909999999996</v>
      </c>
      <c r="O29" s="1">
        <v>11967.293</v>
      </c>
      <c r="R29" s="18">
        <v>13488.161</v>
      </c>
      <c r="S29" s="1">
        <v>11722.233</v>
      </c>
      <c r="T29" s="44">
        <v>14220.357</v>
      </c>
      <c r="U29" s="1">
        <v>41918.775999999998</v>
      </c>
      <c r="V29" s="1">
        <v>1519.0840000000001</v>
      </c>
      <c r="W29" s="126">
        <v>67359.611999999994</v>
      </c>
      <c r="X29" s="126">
        <v>21708.972000000002</v>
      </c>
      <c r="Y29" s="126">
        <v>12198.987999999999</v>
      </c>
      <c r="Z29" s="126">
        <v>34720.673999999999</v>
      </c>
      <c r="AA29" s="126">
        <v>15297.079</v>
      </c>
      <c r="AB29" s="126">
        <v>22197.662</v>
      </c>
      <c r="AC29" s="126">
        <v>21788</v>
      </c>
      <c r="AD29" s="1">
        <v>23786.395</v>
      </c>
      <c r="AE29" s="1">
        <v>21753.483</v>
      </c>
      <c r="AF29" s="1">
        <v>18478.081999999999</v>
      </c>
      <c r="AG29" s="1">
        <v>19276.342000000001</v>
      </c>
      <c r="AH29" s="1">
        <v>22006.078000000001</v>
      </c>
      <c r="AI29" s="1">
        <v>20178.263999999999</v>
      </c>
      <c r="AK29" s="1">
        <v>18132.621999999999</v>
      </c>
      <c r="AL29" s="1">
        <v>23693.530999999999</v>
      </c>
    </row>
    <row r="30" spans="1:38" ht="12.75" customHeight="1">
      <c r="A30" s="1" t="s">
        <v>44</v>
      </c>
      <c r="J30" s="126">
        <v>27306.521000000001</v>
      </c>
      <c r="M30" s="1">
        <v>33347.209000000003</v>
      </c>
      <c r="O30" s="1">
        <v>29099.826000000001</v>
      </c>
      <c r="R30" s="18">
        <v>36090.786999999997</v>
      </c>
      <c r="S30" s="1">
        <v>42229.161999999997</v>
      </c>
      <c r="T30" s="44">
        <v>29205.957999999999</v>
      </c>
      <c r="U30" s="1">
        <v>30116.881000000001</v>
      </c>
      <c r="V30" s="1">
        <v>21293.047999999999</v>
      </c>
      <c r="W30" s="126">
        <v>29655.348000000002</v>
      </c>
      <c r="X30" s="126">
        <v>34799.730000000003</v>
      </c>
      <c r="Y30" s="126">
        <v>25819.916000000001</v>
      </c>
      <c r="Z30" s="126">
        <v>49280.959000000003</v>
      </c>
      <c r="AA30" s="126">
        <v>22510.187999999998</v>
      </c>
      <c r="AB30" s="126">
        <v>42463.093000000001</v>
      </c>
      <c r="AC30" s="126">
        <v>46104</v>
      </c>
      <c r="AD30" s="1">
        <v>41987.775000000001</v>
      </c>
      <c r="AE30" s="1">
        <v>40214.383999999998</v>
      </c>
      <c r="AF30" s="1">
        <v>30739.935000000001</v>
      </c>
      <c r="AG30" s="1">
        <v>42972.201000000001</v>
      </c>
      <c r="AH30" s="1">
        <v>46418.548999999999</v>
      </c>
      <c r="AI30" s="1">
        <v>47176.141000000003</v>
      </c>
      <c r="AK30" s="1">
        <v>47986.504999999997</v>
      </c>
      <c r="AL30" s="1">
        <v>48977.228999999999</v>
      </c>
    </row>
    <row r="31" spans="1:38" ht="12.75" customHeight="1">
      <c r="A31" s="1" t="s">
        <v>45</v>
      </c>
      <c r="J31" s="126">
        <v>28356.501</v>
      </c>
      <c r="M31" s="1">
        <v>35314.591</v>
      </c>
      <c r="O31" s="1">
        <v>43700.383999999998</v>
      </c>
      <c r="R31" s="24">
        <v>47805.633999999998</v>
      </c>
      <c r="S31" s="1">
        <v>48653.033000000003</v>
      </c>
      <c r="T31" s="44">
        <v>50263.404999999999</v>
      </c>
      <c r="U31" s="1">
        <v>58993.356</v>
      </c>
      <c r="V31" s="1">
        <v>46883.735000000001</v>
      </c>
      <c r="W31" s="126">
        <v>56618.667000000001</v>
      </c>
      <c r="X31" s="126">
        <v>57563.587</v>
      </c>
      <c r="Y31" s="126">
        <v>61873.868999999999</v>
      </c>
      <c r="Z31" s="126">
        <v>52592.074000000001</v>
      </c>
      <c r="AA31" s="126">
        <v>52564.326000000001</v>
      </c>
      <c r="AB31" s="126">
        <v>83058.702999999994</v>
      </c>
      <c r="AC31" s="126">
        <v>81370</v>
      </c>
      <c r="AD31" s="1">
        <v>74013.487999999998</v>
      </c>
      <c r="AE31" s="1">
        <v>85995.9</v>
      </c>
      <c r="AF31" s="1">
        <v>42420.690999999999</v>
      </c>
      <c r="AG31" s="1">
        <v>88618.834000000003</v>
      </c>
      <c r="AH31" s="1">
        <v>86815.288</v>
      </c>
      <c r="AI31" s="1">
        <v>96075.213000000003</v>
      </c>
      <c r="AK31" s="1">
        <v>93029.570999999996</v>
      </c>
      <c r="AL31" s="1">
        <v>97247.434999999998</v>
      </c>
    </row>
    <row r="32" spans="1:38" ht="12.75" customHeight="1">
      <c r="A32" s="1" t="s">
        <v>46</v>
      </c>
      <c r="J32" s="126">
        <v>24996.542000000001</v>
      </c>
      <c r="M32" s="1">
        <v>23863.106</v>
      </c>
      <c r="O32" s="1">
        <v>33178.106</v>
      </c>
      <c r="R32" s="24">
        <v>38206.587</v>
      </c>
      <c r="S32" s="1">
        <v>45188.021999999997</v>
      </c>
      <c r="T32" s="44">
        <v>62672.481</v>
      </c>
      <c r="U32" s="1">
        <v>67217.576000000001</v>
      </c>
      <c r="V32" s="1">
        <v>60005.290999999997</v>
      </c>
      <c r="W32" s="126">
        <v>67005.680999999997</v>
      </c>
      <c r="X32" s="126">
        <v>88748.217000000004</v>
      </c>
      <c r="Y32" s="126">
        <v>67086.995999999999</v>
      </c>
      <c r="Z32" s="126">
        <v>118549.132</v>
      </c>
      <c r="AA32" s="126">
        <v>120815.618</v>
      </c>
      <c r="AB32" s="126">
        <v>115326.556</v>
      </c>
      <c r="AC32" s="126">
        <v>54636</v>
      </c>
      <c r="AD32" s="1">
        <v>50661.127</v>
      </c>
      <c r="AE32" s="1">
        <v>96107.956999999995</v>
      </c>
      <c r="AF32" s="1">
        <v>21821.859</v>
      </c>
      <c r="AG32" s="1">
        <v>113640.48299999999</v>
      </c>
      <c r="AH32" s="1">
        <v>123362.939</v>
      </c>
      <c r="AI32" s="1">
        <v>117474.766</v>
      </c>
      <c r="AK32" s="1">
        <v>177257.986</v>
      </c>
      <c r="AL32" s="1">
        <v>231165.16500000001</v>
      </c>
    </row>
    <row r="33" spans="1:38" ht="12.75" customHeight="1">
      <c r="A33" s="1" t="s">
        <v>47</v>
      </c>
      <c r="J33" s="126">
        <v>132668.193</v>
      </c>
      <c r="M33" s="1">
        <v>77391.226999999999</v>
      </c>
      <c r="O33" s="1">
        <v>144006.9614</v>
      </c>
      <c r="R33" s="24">
        <v>215553.63500000001</v>
      </c>
      <c r="S33" s="1">
        <v>143704.56299999999</v>
      </c>
      <c r="T33" s="44">
        <v>147723.467</v>
      </c>
      <c r="U33" s="1">
        <v>187655.75899999999</v>
      </c>
      <c r="V33" s="1">
        <v>184718.65299999999</v>
      </c>
      <c r="W33" s="126">
        <v>190101.24</v>
      </c>
      <c r="X33" s="126">
        <v>242491.43799999999</v>
      </c>
      <c r="Y33" s="126">
        <v>212121.94500000001</v>
      </c>
      <c r="Z33" s="126">
        <v>278423.92099999997</v>
      </c>
      <c r="AA33" s="126">
        <v>235043.50200000001</v>
      </c>
      <c r="AB33" s="126">
        <v>281462.11499999999</v>
      </c>
      <c r="AC33" s="126">
        <v>383091</v>
      </c>
      <c r="AD33" s="1">
        <v>388037.13199999998</v>
      </c>
      <c r="AE33" s="1">
        <v>386049.20699999999</v>
      </c>
      <c r="AF33" s="1">
        <v>398392.96</v>
      </c>
      <c r="AG33" s="1">
        <v>396854.658</v>
      </c>
      <c r="AH33" s="1">
        <v>424166.53</v>
      </c>
      <c r="AI33" s="1">
        <v>214213.89</v>
      </c>
      <c r="AK33" s="1">
        <v>230049.73199999999</v>
      </c>
      <c r="AL33" s="1">
        <v>256844.87400000001</v>
      </c>
    </row>
    <row r="34" spans="1:38" ht="12.75" customHeight="1">
      <c r="A34" s="1" t="s">
        <v>48</v>
      </c>
      <c r="J34" s="126">
        <v>41231.404000000002</v>
      </c>
      <c r="M34" s="1">
        <v>67857.510999999999</v>
      </c>
      <c r="O34" s="1">
        <v>89554.294999999998</v>
      </c>
      <c r="R34" s="18">
        <v>145418.99900000001</v>
      </c>
      <c r="S34" s="1">
        <v>122052.591</v>
      </c>
      <c r="T34" s="44">
        <v>243775.144</v>
      </c>
      <c r="U34" s="1">
        <v>207276.46400000001</v>
      </c>
      <c r="V34" s="1">
        <v>114606.8</v>
      </c>
      <c r="W34" s="126">
        <v>157570.85999999999</v>
      </c>
      <c r="X34" s="126">
        <v>180725.37700000001</v>
      </c>
      <c r="Y34" s="126">
        <v>225653</v>
      </c>
      <c r="Z34" s="126">
        <v>114380.58500000001</v>
      </c>
      <c r="AA34" s="126">
        <v>136126.698</v>
      </c>
      <c r="AB34" s="126">
        <v>248813.72200000001</v>
      </c>
      <c r="AC34" s="126">
        <v>357700</v>
      </c>
      <c r="AD34" s="1">
        <v>218254.59700000001</v>
      </c>
      <c r="AE34" s="1">
        <v>217058.122</v>
      </c>
      <c r="AF34" s="1">
        <v>145507.00399999999</v>
      </c>
      <c r="AG34" s="1">
        <v>608261.02599999995</v>
      </c>
      <c r="AH34" s="1">
        <v>245945.35800000001</v>
      </c>
      <c r="AI34" s="1">
        <v>202517.44500000001</v>
      </c>
      <c r="AK34" s="1">
        <v>195859.815</v>
      </c>
      <c r="AL34" s="1">
        <v>189367.402</v>
      </c>
    </row>
    <row r="35" spans="1:38" ht="12.75" customHeight="1">
      <c r="A35" s="1" t="s">
        <v>49</v>
      </c>
      <c r="J35" s="126">
        <v>154101.32699999999</v>
      </c>
      <c r="M35" s="1">
        <v>179826.13699999999</v>
      </c>
      <c r="O35" s="1">
        <v>213804.00399999999</v>
      </c>
      <c r="R35" s="18">
        <v>291504.46299999999</v>
      </c>
      <c r="S35" s="1">
        <v>328072.23300000001</v>
      </c>
      <c r="T35" s="44">
        <v>385554.62300000002</v>
      </c>
      <c r="U35" s="1">
        <v>425822.97</v>
      </c>
      <c r="V35" s="1">
        <v>308062.50400000002</v>
      </c>
      <c r="W35" s="126">
        <v>433348.391</v>
      </c>
      <c r="X35" s="126">
        <v>499752.12099999998</v>
      </c>
      <c r="Y35" s="126">
        <v>538128.93200000003</v>
      </c>
      <c r="Z35" s="126">
        <v>48520.294999999998</v>
      </c>
      <c r="AA35" s="126">
        <v>46536.334000000003</v>
      </c>
      <c r="AB35" s="126">
        <v>268954.663</v>
      </c>
      <c r="AC35" s="126">
        <v>232227</v>
      </c>
      <c r="AD35" s="1">
        <v>262875.92599999998</v>
      </c>
      <c r="AE35" s="1">
        <v>310474.81300000002</v>
      </c>
      <c r="AF35" s="1">
        <v>33117.862999999998</v>
      </c>
      <c r="AG35" s="1">
        <v>383047.94900000002</v>
      </c>
      <c r="AH35" s="1">
        <v>427914.53899999999</v>
      </c>
      <c r="AI35" s="1">
        <v>519516.66399999999</v>
      </c>
      <c r="AK35" s="1">
        <v>514073.33899999998</v>
      </c>
      <c r="AL35" s="1">
        <v>584223.78300000005</v>
      </c>
    </row>
    <row r="36" spans="1:38" ht="12.75" customHeight="1">
      <c r="A36" s="1" t="s">
        <v>50</v>
      </c>
      <c r="J36" s="126">
        <v>115174.323</v>
      </c>
      <c r="M36" s="1">
        <v>120268.765</v>
      </c>
      <c r="O36" s="1">
        <v>158335.459</v>
      </c>
      <c r="R36" s="18">
        <v>197853.73199999999</v>
      </c>
      <c r="S36" s="1">
        <v>198457.77499999999</v>
      </c>
      <c r="T36" s="44">
        <v>224865.01</v>
      </c>
      <c r="U36" s="1">
        <v>219278.408</v>
      </c>
      <c r="V36" s="1">
        <v>180212.65700000001</v>
      </c>
      <c r="W36" s="126">
        <v>206611</v>
      </c>
      <c r="X36" s="126">
        <v>209059.973</v>
      </c>
      <c r="Y36" s="126">
        <v>279655.45500000002</v>
      </c>
      <c r="Z36" s="126">
        <v>285202.92099999997</v>
      </c>
      <c r="AA36" s="126">
        <v>263988.46399999998</v>
      </c>
      <c r="AB36" s="126">
        <v>302184.90500000003</v>
      </c>
      <c r="AC36" s="126">
        <v>323121</v>
      </c>
      <c r="AD36" s="1">
        <v>342183.97899999999</v>
      </c>
      <c r="AE36" s="1">
        <v>375945.57900000003</v>
      </c>
      <c r="AF36" s="1">
        <v>192309.77299999999</v>
      </c>
      <c r="AG36" s="1">
        <v>413915.42700000003</v>
      </c>
      <c r="AH36" s="1">
        <v>407814.386</v>
      </c>
      <c r="AI36" s="1">
        <v>443347.73700000002</v>
      </c>
      <c r="AK36" s="1">
        <v>492391.321</v>
      </c>
      <c r="AL36" s="1">
        <v>669580.88600000006</v>
      </c>
    </row>
    <row r="37" spans="1:38" ht="12.75" customHeight="1">
      <c r="A37" s="27" t="s">
        <v>51</v>
      </c>
      <c r="B37" s="27"/>
      <c r="C37" s="27"/>
      <c r="D37" s="27"/>
      <c r="E37" s="27"/>
      <c r="F37" s="27"/>
      <c r="G37" s="27"/>
      <c r="H37" s="27"/>
      <c r="I37" s="27"/>
      <c r="J37" s="127">
        <v>22092.25</v>
      </c>
      <c r="K37" s="27"/>
      <c r="L37" s="27"/>
      <c r="M37" s="27">
        <v>24095.851999999999</v>
      </c>
      <c r="N37" s="27"/>
      <c r="O37" s="27">
        <v>23762.28</v>
      </c>
      <c r="P37" s="27"/>
      <c r="Q37" s="27"/>
      <c r="R37" s="37">
        <v>30470.804</v>
      </c>
      <c r="S37" s="27">
        <v>36652.106</v>
      </c>
      <c r="T37" s="61">
        <v>21607.255000000001</v>
      </c>
      <c r="U37" s="27">
        <v>23253.773000000001</v>
      </c>
      <c r="V37" s="27">
        <v>24205.851999999999</v>
      </c>
      <c r="W37" s="127">
        <v>27173.707999999999</v>
      </c>
      <c r="X37" s="127">
        <v>25150.504000000001</v>
      </c>
      <c r="Y37" s="127">
        <v>25565.365000000002</v>
      </c>
      <c r="Z37" s="127">
        <v>31761.915000000001</v>
      </c>
      <c r="AA37" s="127">
        <v>23161.981</v>
      </c>
      <c r="AB37" s="127">
        <v>26241.165000000001</v>
      </c>
      <c r="AC37" s="127">
        <v>30629</v>
      </c>
      <c r="AD37" s="27">
        <v>67414.216</v>
      </c>
      <c r="AE37" s="27">
        <v>36427.023000000001</v>
      </c>
      <c r="AF37" s="27">
        <v>20232.834999999999</v>
      </c>
      <c r="AG37" s="27">
        <v>31916.144</v>
      </c>
      <c r="AH37" s="27">
        <v>78902.659</v>
      </c>
      <c r="AI37" s="27">
        <v>70450.839000000007</v>
      </c>
      <c r="AJ37" s="27"/>
      <c r="AK37" s="1">
        <v>32907</v>
      </c>
      <c r="AL37" s="1">
        <v>53222</v>
      </c>
    </row>
    <row r="38" spans="1:38" ht="12.75" customHeight="1">
      <c r="A38" s="6" t="s">
        <v>52</v>
      </c>
      <c r="J38" s="51">
        <f>SUM(J40:J51)</f>
        <v>1573840.219</v>
      </c>
      <c r="M38" s="51">
        <f>SUM(M40:M51)</f>
        <v>1843205.0630000001</v>
      </c>
      <c r="O38" s="51">
        <f>SUM(O40:O51)</f>
        <v>2231547.2122899997</v>
      </c>
      <c r="R38" s="51">
        <f t="shared" ref="R38:AK38" si="18">SUM(R40:R51)</f>
        <v>2578477.7349999999</v>
      </c>
      <c r="S38" s="51">
        <f t="shared" si="18"/>
        <v>2645444.89</v>
      </c>
      <c r="T38" s="60">
        <f t="shared" si="18"/>
        <v>2883536.8790000007</v>
      </c>
      <c r="U38" s="51">
        <f t="shared" si="18"/>
        <v>3085749.7230000002</v>
      </c>
      <c r="V38" s="51">
        <f t="shared" si="18"/>
        <v>4097911.8540000007</v>
      </c>
      <c r="W38" s="51">
        <f t="shared" si="18"/>
        <v>3364970.1520000002</v>
      </c>
      <c r="X38" s="51">
        <f t="shared" si="18"/>
        <v>3786536.5279999995</v>
      </c>
      <c r="Y38" s="51">
        <f t="shared" si="18"/>
        <v>3736642.3269999996</v>
      </c>
      <c r="Z38" s="51">
        <f t="shared" si="18"/>
        <v>3406861.6710000001</v>
      </c>
      <c r="AA38" s="51">
        <f t="shared" si="18"/>
        <v>3618156.5869999998</v>
      </c>
      <c r="AB38" s="51">
        <f t="shared" si="18"/>
        <v>4766216.915</v>
      </c>
      <c r="AC38" s="51">
        <f t="shared" si="18"/>
        <v>5153166</v>
      </c>
      <c r="AD38" s="51">
        <f t="shared" si="18"/>
        <v>5145852.08</v>
      </c>
      <c r="AE38" s="51">
        <f t="shared" si="18"/>
        <v>5554100.4469999988</v>
      </c>
      <c r="AF38" s="51">
        <f>SUM(AF40:AF51)</f>
        <v>3723673.4670000002</v>
      </c>
      <c r="AG38" s="51">
        <f t="shared" si="18"/>
        <v>6191205.6560000004</v>
      </c>
      <c r="AH38" s="51">
        <f t="shared" si="18"/>
        <v>6717870.0099999988</v>
      </c>
      <c r="AI38" s="51">
        <f t="shared" si="18"/>
        <v>7110965.584999999</v>
      </c>
      <c r="AJ38" s="51">
        <f t="shared" si="18"/>
        <v>0</v>
      </c>
      <c r="AK38" s="131">
        <f t="shared" si="18"/>
        <v>6498359.8739999998</v>
      </c>
      <c r="AL38" s="131">
        <f t="shared" ref="AL38" si="19">SUM(AL40:AL51)</f>
        <v>7366670.0020000003</v>
      </c>
    </row>
    <row r="39" spans="1:38" ht="12.75" customHeight="1">
      <c r="A39" s="6" t="s">
        <v>94</v>
      </c>
      <c r="T39" s="44"/>
      <c r="AA39" s="10">
        <v>0</v>
      </c>
      <c r="AD39" s="1">
        <v>0</v>
      </c>
      <c r="AE39" s="1">
        <v>0</v>
      </c>
      <c r="AF39" s="1">
        <v>0</v>
      </c>
      <c r="AH39" s="1">
        <v>0</v>
      </c>
      <c r="AI39" s="1">
        <v>0</v>
      </c>
    </row>
    <row r="40" spans="1:38" ht="12.75" customHeight="1">
      <c r="A40" s="1" t="s">
        <v>53</v>
      </c>
      <c r="J40" s="126">
        <v>227578.019</v>
      </c>
      <c r="M40" s="1">
        <v>304399.71100000001</v>
      </c>
      <c r="O40" s="1">
        <v>392582.821</v>
      </c>
      <c r="R40" s="18">
        <v>419961.51299999998</v>
      </c>
      <c r="S40" s="1">
        <v>416010.75</v>
      </c>
      <c r="T40" s="44">
        <v>794351.96200000006</v>
      </c>
      <c r="U40" s="1">
        <v>917260.56400000001</v>
      </c>
      <c r="V40" s="1">
        <v>1858214.5349999999</v>
      </c>
      <c r="W40" s="126">
        <v>986805.53599999996</v>
      </c>
      <c r="X40" s="126">
        <v>1213680.3929999999</v>
      </c>
      <c r="Y40" s="126">
        <v>1180747.496</v>
      </c>
      <c r="Z40" s="126">
        <v>1326343.0009999999</v>
      </c>
      <c r="AA40" s="126">
        <v>1422637.4709999999</v>
      </c>
      <c r="AB40" s="126">
        <v>1570633.4010000001</v>
      </c>
      <c r="AC40" s="126">
        <v>1698051</v>
      </c>
      <c r="AD40" s="1">
        <v>1896029.098</v>
      </c>
      <c r="AE40" s="1">
        <v>2318608.7429999998</v>
      </c>
      <c r="AF40" s="1">
        <v>1960802.7660000001</v>
      </c>
      <c r="AG40" s="1">
        <v>2550120.2779999999</v>
      </c>
      <c r="AH40" s="1">
        <v>2998276.0819999999</v>
      </c>
      <c r="AI40" s="1">
        <v>3459849.4479999999</v>
      </c>
      <c r="AK40" s="1">
        <v>2364319.5430000001</v>
      </c>
      <c r="AL40" s="1">
        <v>2615520.6329999999</v>
      </c>
    </row>
    <row r="41" spans="1:38" ht="12.75" customHeight="1">
      <c r="A41" s="1" t="s">
        <v>54</v>
      </c>
      <c r="J41" s="126">
        <v>176714.30799999999</v>
      </c>
      <c r="M41" s="1">
        <v>224821.78700000001</v>
      </c>
      <c r="O41" s="1">
        <v>263614.32799999998</v>
      </c>
      <c r="R41" s="18">
        <v>330259.65399999998</v>
      </c>
      <c r="S41" s="1">
        <v>368467.04200000002</v>
      </c>
      <c r="T41" s="44">
        <v>300838.57</v>
      </c>
      <c r="U41" s="1">
        <v>292234.13699999999</v>
      </c>
      <c r="V41" s="1">
        <v>301801.09700000001</v>
      </c>
      <c r="W41" s="126">
        <v>331399.45500000002</v>
      </c>
      <c r="X41" s="126">
        <v>373706.348</v>
      </c>
      <c r="Y41" s="126">
        <v>360443.45199999999</v>
      </c>
      <c r="Z41" s="126">
        <v>417992.973</v>
      </c>
      <c r="AA41" s="126">
        <v>326219.125</v>
      </c>
      <c r="AB41" s="126">
        <v>389886.25900000002</v>
      </c>
      <c r="AC41" s="126">
        <v>428431</v>
      </c>
      <c r="AD41" s="1">
        <v>458425.63699999999</v>
      </c>
      <c r="AE41" s="1">
        <v>464895.63799999998</v>
      </c>
      <c r="AF41" s="1">
        <v>296862.33799999999</v>
      </c>
      <c r="AG41" s="1">
        <v>497419.61599999998</v>
      </c>
      <c r="AH41" s="1">
        <v>482969.73499999999</v>
      </c>
      <c r="AI41" s="1">
        <v>492974.59399999998</v>
      </c>
      <c r="AK41" s="1">
        <v>631689.82200000004</v>
      </c>
      <c r="AL41" s="1">
        <v>603024.99300000002</v>
      </c>
    </row>
    <row r="42" spans="1:38" ht="12.75" customHeight="1">
      <c r="A42" s="1" t="s">
        <v>55</v>
      </c>
      <c r="J42" s="126">
        <v>136339.337</v>
      </c>
      <c r="M42" s="1">
        <v>125837.151</v>
      </c>
      <c r="O42" s="1">
        <v>164273.85800000001</v>
      </c>
      <c r="R42" s="18">
        <v>180583.95699999999</v>
      </c>
      <c r="S42" s="1">
        <v>193541.514</v>
      </c>
      <c r="T42" s="44">
        <v>252537.32</v>
      </c>
      <c r="U42" s="1">
        <v>148348.83300000001</v>
      </c>
      <c r="V42" s="1">
        <v>178679.95300000001</v>
      </c>
      <c r="W42" s="126">
        <v>174527.226</v>
      </c>
      <c r="X42" s="126">
        <v>254198.00200000001</v>
      </c>
      <c r="Y42" s="126">
        <v>179688.9</v>
      </c>
      <c r="Z42" s="126">
        <v>244071.823</v>
      </c>
      <c r="AA42" s="126">
        <v>254965.70800000001</v>
      </c>
      <c r="AB42" s="126">
        <v>218294.7</v>
      </c>
      <c r="AC42" s="126">
        <v>229674</v>
      </c>
      <c r="AD42" s="1">
        <v>258781.758</v>
      </c>
      <c r="AE42" s="1">
        <v>245154.334</v>
      </c>
      <c r="AF42" s="1">
        <v>234958.32699999999</v>
      </c>
      <c r="AG42" s="1">
        <v>366202.70199999999</v>
      </c>
      <c r="AH42" s="1">
        <v>338457.35600000003</v>
      </c>
      <c r="AI42" s="1">
        <v>244152.95199999999</v>
      </c>
      <c r="AK42" s="1">
        <v>258160.49600000001</v>
      </c>
      <c r="AL42" s="1">
        <v>258557.514</v>
      </c>
    </row>
    <row r="43" spans="1:38" ht="12.75" customHeight="1">
      <c r="A43" s="1" t="s">
        <v>56</v>
      </c>
      <c r="J43" s="126">
        <v>67922.342999999993</v>
      </c>
      <c r="M43" s="1">
        <v>91910.877999999997</v>
      </c>
      <c r="O43" s="1">
        <v>110039.75864</v>
      </c>
      <c r="R43" s="18">
        <v>149706.08799999999</v>
      </c>
      <c r="S43" s="1">
        <v>154765.492</v>
      </c>
      <c r="T43" s="44">
        <v>115042.181</v>
      </c>
      <c r="U43" s="1">
        <v>174880.927</v>
      </c>
      <c r="V43" s="1">
        <v>246423.58499999999</v>
      </c>
      <c r="W43" s="126">
        <v>238654.26300000001</v>
      </c>
      <c r="X43" s="126">
        <v>253990.16399999999</v>
      </c>
      <c r="Y43" s="126">
        <v>282601.30099999998</v>
      </c>
      <c r="Z43" s="126">
        <v>163691.06</v>
      </c>
      <c r="AA43" s="126">
        <v>194203.60399999999</v>
      </c>
      <c r="AB43" s="126">
        <v>246286.538</v>
      </c>
      <c r="AC43" s="126">
        <v>284829</v>
      </c>
      <c r="AD43" s="1">
        <v>321856.54700000002</v>
      </c>
      <c r="AE43" s="1">
        <v>241616.58499999999</v>
      </c>
      <c r="AF43" s="1">
        <v>104794.034</v>
      </c>
      <c r="AG43" s="1">
        <v>277798.19699999999</v>
      </c>
      <c r="AH43" s="1">
        <v>259919.52799999999</v>
      </c>
      <c r="AI43" s="1">
        <v>314529.57199999999</v>
      </c>
      <c r="AK43" s="1">
        <v>385888.05200000003</v>
      </c>
      <c r="AL43" s="1">
        <v>377998.35200000001</v>
      </c>
    </row>
    <row r="44" spans="1:38" ht="12.75" customHeight="1">
      <c r="A44" s="1" t="s">
        <v>57</v>
      </c>
      <c r="J44" s="126">
        <v>202346.81299999999</v>
      </c>
      <c r="M44" s="1">
        <v>249555.47700000001</v>
      </c>
      <c r="O44" s="1">
        <v>314191.03999999998</v>
      </c>
      <c r="R44" s="18">
        <v>464122.57400000002</v>
      </c>
      <c r="S44" s="1">
        <v>398971.76699999999</v>
      </c>
      <c r="T44" s="44">
        <v>306773.99800000002</v>
      </c>
      <c r="U44" s="1">
        <v>305710.76500000001</v>
      </c>
      <c r="V44" s="1">
        <v>335608.33199999999</v>
      </c>
      <c r="W44" s="126">
        <v>362472.35600000003</v>
      </c>
      <c r="X44" s="126">
        <v>382108.34899999999</v>
      </c>
      <c r="Y44" s="126">
        <v>455788.32</v>
      </c>
      <c r="Z44" s="126">
        <v>75954.903000000006</v>
      </c>
      <c r="AA44" s="126">
        <v>107220.057</v>
      </c>
      <c r="AB44" s="126">
        <v>525156.64</v>
      </c>
      <c r="AC44" s="126">
        <v>646420</v>
      </c>
      <c r="AD44" s="1">
        <v>583992.44900000002</v>
      </c>
      <c r="AE44" s="1">
        <v>568154.19999999995</v>
      </c>
      <c r="AF44" s="1">
        <v>172121.58300000001</v>
      </c>
      <c r="AG44" s="1">
        <v>651604.55900000001</v>
      </c>
      <c r="AH44" s="1">
        <v>623554.495</v>
      </c>
      <c r="AI44" s="1">
        <v>693192.43900000001</v>
      </c>
      <c r="AK44" s="1">
        <v>741053.24300000002</v>
      </c>
      <c r="AL44" s="1">
        <v>782359.60100000002</v>
      </c>
    </row>
    <row r="45" spans="1:38" ht="12.75" customHeight="1">
      <c r="A45" s="1" t="s">
        <v>58</v>
      </c>
      <c r="J45" s="126">
        <v>136962.60200000001</v>
      </c>
      <c r="M45" s="1">
        <v>160856.755</v>
      </c>
      <c r="O45" s="1">
        <v>170211.533</v>
      </c>
      <c r="R45" s="18">
        <v>161513.63200000001</v>
      </c>
      <c r="S45" s="1">
        <v>169715.04300000001</v>
      </c>
      <c r="T45" s="44">
        <v>181144.75599999999</v>
      </c>
      <c r="U45" s="1">
        <v>190331.83100000001</v>
      </c>
      <c r="V45" s="1">
        <v>273898.342</v>
      </c>
      <c r="W45" s="126">
        <v>349422.114</v>
      </c>
      <c r="X45" s="126">
        <v>286316.34399999998</v>
      </c>
      <c r="Y45" s="126">
        <v>225060.09</v>
      </c>
      <c r="Z45" s="126">
        <v>49331.444000000003</v>
      </c>
      <c r="AA45" s="126">
        <v>74589.391000000003</v>
      </c>
      <c r="AB45" s="126">
        <v>362836.44400000002</v>
      </c>
      <c r="AC45" s="126">
        <v>252383</v>
      </c>
      <c r="AD45" s="1">
        <v>224977.83</v>
      </c>
      <c r="AE45" s="1">
        <v>251656.88500000001</v>
      </c>
      <c r="AF45" s="1">
        <v>91638.591</v>
      </c>
      <c r="AG45" s="1">
        <v>235411.81899999999</v>
      </c>
      <c r="AH45" s="1">
        <v>286403.516</v>
      </c>
      <c r="AI45" s="1">
        <v>232499.53700000001</v>
      </c>
      <c r="AK45" s="1">
        <v>360564.79100000003</v>
      </c>
      <c r="AL45" s="1">
        <v>235050.372</v>
      </c>
    </row>
    <row r="46" spans="1:38" ht="12.75" customHeight="1">
      <c r="A46" s="1" t="s">
        <v>59</v>
      </c>
      <c r="J46" s="126">
        <v>114040.38499999999</v>
      </c>
      <c r="M46" s="1">
        <v>147774.856</v>
      </c>
      <c r="O46" s="1">
        <v>181030.54399999999</v>
      </c>
      <c r="R46" s="18">
        <v>181809.08300000001</v>
      </c>
      <c r="S46" s="1">
        <v>188751.42499999999</v>
      </c>
      <c r="T46" s="44">
        <v>82654.668999999994</v>
      </c>
      <c r="U46" s="1">
        <v>150398.117</v>
      </c>
      <c r="V46" s="1">
        <v>151577.37899999999</v>
      </c>
      <c r="W46" s="126">
        <v>149694.24400000001</v>
      </c>
      <c r="X46" s="126">
        <v>172225.97899999999</v>
      </c>
      <c r="Y46" s="126">
        <v>137040.90700000001</v>
      </c>
      <c r="Z46" s="126">
        <v>105484.65399999999</v>
      </c>
      <c r="AA46" s="126">
        <v>114671.803</v>
      </c>
      <c r="AB46" s="126">
        <v>111341.11900000001</v>
      </c>
      <c r="AC46" s="126">
        <v>119584</v>
      </c>
      <c r="AD46" s="1">
        <v>186134.61900000001</v>
      </c>
      <c r="AE46" s="1">
        <v>145212.095</v>
      </c>
      <c r="AF46" s="1">
        <v>108640.576</v>
      </c>
      <c r="AG46" s="1">
        <v>175812.98199999999</v>
      </c>
      <c r="AH46" s="1">
        <v>181679.179</v>
      </c>
      <c r="AI46" s="1">
        <v>173331.139</v>
      </c>
      <c r="AK46" s="1">
        <v>173972.69099999999</v>
      </c>
      <c r="AL46" s="1">
        <v>230616.45499999999</v>
      </c>
    </row>
    <row r="47" spans="1:38" ht="12.75" customHeight="1">
      <c r="A47" s="1" t="s">
        <v>60</v>
      </c>
      <c r="J47" s="126">
        <v>36056.173000000003</v>
      </c>
      <c r="M47" s="1">
        <v>43478.277000000002</v>
      </c>
      <c r="O47" s="1">
        <v>96672.191999999995</v>
      </c>
      <c r="R47" s="24">
        <v>54593.514000000003</v>
      </c>
      <c r="S47" s="1">
        <v>63316.925000000003</v>
      </c>
      <c r="T47" s="44">
        <v>143513.02799999999</v>
      </c>
      <c r="U47" s="1">
        <v>132051.489</v>
      </c>
      <c r="V47" s="1">
        <v>68676.585999999996</v>
      </c>
      <c r="W47" s="126">
        <v>69550.414999999994</v>
      </c>
      <c r="X47" s="126">
        <v>68787.986000000004</v>
      </c>
      <c r="Y47" s="126">
        <v>82433.02</v>
      </c>
      <c r="Z47" s="126">
        <v>148928.12400000001</v>
      </c>
      <c r="AA47" s="126">
        <v>108262.251</v>
      </c>
      <c r="AB47" s="126">
        <v>146546.027</v>
      </c>
      <c r="AC47" s="126">
        <v>137536</v>
      </c>
      <c r="AD47" s="1">
        <v>92533.766000000003</v>
      </c>
      <c r="AE47" s="1">
        <v>125100.452</v>
      </c>
      <c r="AF47" s="1">
        <v>91322.455000000002</v>
      </c>
      <c r="AG47" s="1">
        <v>220061.86</v>
      </c>
      <c r="AH47" s="1">
        <v>147460.348</v>
      </c>
      <c r="AI47" s="1">
        <v>127299.413</v>
      </c>
      <c r="AK47" s="1">
        <v>189948.72500000001</v>
      </c>
      <c r="AL47" s="1">
        <v>114923.814</v>
      </c>
    </row>
    <row r="48" spans="1:38" ht="12.75" customHeight="1">
      <c r="A48" s="1" t="s">
        <v>61</v>
      </c>
      <c r="J48" s="126">
        <v>37658.525999999998</v>
      </c>
      <c r="M48" s="1">
        <v>38521.478999999999</v>
      </c>
      <c r="O48" s="1">
        <v>43466.504999999997</v>
      </c>
      <c r="R48" s="18">
        <v>47243.135000000002</v>
      </c>
      <c r="S48" s="1">
        <v>56758.105000000003</v>
      </c>
      <c r="T48" s="44">
        <v>59938.292000000001</v>
      </c>
      <c r="U48" s="1">
        <v>57273.836000000003</v>
      </c>
      <c r="V48" s="1">
        <v>62101.364999999998</v>
      </c>
      <c r="W48" s="126">
        <v>48285.764000000003</v>
      </c>
      <c r="X48" s="126">
        <v>49354.510999999999</v>
      </c>
      <c r="Y48" s="126">
        <v>51558.951000000001</v>
      </c>
      <c r="Z48" s="126">
        <v>67075.691999999995</v>
      </c>
      <c r="AA48" s="126">
        <v>61651.1</v>
      </c>
      <c r="AB48" s="126">
        <v>63590.277999999998</v>
      </c>
      <c r="AC48" s="126">
        <v>65617</v>
      </c>
      <c r="AD48" s="1">
        <v>74239.395999999993</v>
      </c>
      <c r="AE48" s="1">
        <v>80244.667000000001</v>
      </c>
      <c r="AF48" s="1">
        <v>14250.209000000001</v>
      </c>
      <c r="AG48" s="1">
        <v>106467.58900000001</v>
      </c>
      <c r="AH48" s="1">
        <v>107737.34600000001</v>
      </c>
      <c r="AI48" s="1">
        <v>106760.969</v>
      </c>
      <c r="AK48" s="1">
        <v>99369.407999999996</v>
      </c>
      <c r="AL48" s="1">
        <v>88416.555999999997</v>
      </c>
    </row>
    <row r="49" spans="1:38" ht="12.75" customHeight="1">
      <c r="A49" s="1" t="s">
        <v>62</v>
      </c>
      <c r="J49" s="126">
        <v>226687.35800000001</v>
      </c>
      <c r="M49" s="1">
        <v>218894.18</v>
      </c>
      <c r="O49" s="1">
        <v>251666.35500000001</v>
      </c>
      <c r="R49" s="18">
        <v>275007.61700000003</v>
      </c>
      <c r="S49" s="1">
        <v>315874.413</v>
      </c>
      <c r="T49" s="44">
        <v>286631.78600000002</v>
      </c>
      <c r="U49" s="1">
        <v>301025.65999999997</v>
      </c>
      <c r="V49" s="1">
        <v>201386.6</v>
      </c>
      <c r="W49" s="126">
        <v>224974.84099999999</v>
      </c>
      <c r="X49" s="126">
        <v>248053.31400000001</v>
      </c>
      <c r="Y49" s="126">
        <v>264342.91700000002</v>
      </c>
      <c r="Z49" s="126">
        <v>265248.74</v>
      </c>
      <c r="AA49" s="126">
        <v>265309.886</v>
      </c>
      <c r="AB49" s="126">
        <v>492453.353</v>
      </c>
      <c r="AC49" s="126">
        <v>565602</v>
      </c>
      <c r="AD49" s="1">
        <v>279753.09600000002</v>
      </c>
      <c r="AE49" s="1">
        <v>289467.522</v>
      </c>
      <c r="AF49" s="1">
        <v>203762.875</v>
      </c>
      <c r="AG49" s="1">
        <v>301230.80300000001</v>
      </c>
      <c r="AH49" s="1">
        <v>384802.261</v>
      </c>
      <c r="AI49" s="1">
        <v>411912.11900000001</v>
      </c>
      <c r="AK49" s="1">
        <v>400501.76199999999</v>
      </c>
      <c r="AL49" s="1">
        <v>1192332.1089999999</v>
      </c>
    </row>
    <row r="50" spans="1:38" ht="12.75" customHeight="1">
      <c r="A50" s="1" t="s">
        <v>63</v>
      </c>
      <c r="J50" s="126">
        <v>23708.166000000001</v>
      </c>
      <c r="M50" s="1">
        <v>29007.431</v>
      </c>
      <c r="O50" s="1">
        <v>33107.982650000005</v>
      </c>
      <c r="R50" s="18">
        <v>40307.014000000003</v>
      </c>
      <c r="S50" s="1">
        <v>36864.760999999999</v>
      </c>
      <c r="T50" s="44">
        <v>14171.49</v>
      </c>
      <c r="U50" s="1">
        <v>28893.219000000001</v>
      </c>
      <c r="V50" s="1">
        <v>35263.722000000002</v>
      </c>
      <c r="W50" s="126">
        <v>32222.493999999999</v>
      </c>
      <c r="X50" s="126">
        <v>37856.603999999999</v>
      </c>
      <c r="Y50" s="126">
        <v>39109.955999999998</v>
      </c>
      <c r="Z50" s="126">
        <v>47630.199000000001</v>
      </c>
      <c r="AA50" s="126">
        <v>87650.263999999996</v>
      </c>
      <c r="AB50" s="126">
        <v>81759.629000000001</v>
      </c>
      <c r="AC50" s="126">
        <v>84187</v>
      </c>
      <c r="AD50" s="1">
        <v>78024.976999999999</v>
      </c>
      <c r="AE50" s="1">
        <v>66973.016000000003</v>
      </c>
      <c r="AF50" s="1">
        <v>20638.21</v>
      </c>
      <c r="AG50" s="1">
        <v>64953.065000000002</v>
      </c>
      <c r="AH50" s="1">
        <v>79349.845000000001</v>
      </c>
      <c r="AI50" s="1">
        <v>75751.126999999993</v>
      </c>
      <c r="AK50" s="1">
        <v>68997.964000000007</v>
      </c>
      <c r="AL50" s="1">
        <v>76228.293000000005</v>
      </c>
    </row>
    <row r="51" spans="1:38" ht="12.75" customHeight="1">
      <c r="A51" s="27" t="s">
        <v>64</v>
      </c>
      <c r="B51" s="27"/>
      <c r="C51" s="27"/>
      <c r="D51" s="27"/>
      <c r="E51" s="27"/>
      <c r="F51" s="27"/>
      <c r="G51" s="27"/>
      <c r="H51" s="27"/>
      <c r="I51" s="27"/>
      <c r="J51" s="127">
        <v>187826.18900000001</v>
      </c>
      <c r="K51" s="27"/>
      <c r="L51" s="27"/>
      <c r="M51" s="27">
        <v>208147.08100000001</v>
      </c>
      <c r="N51" s="27"/>
      <c r="O51" s="27">
        <v>210690.29500000001</v>
      </c>
      <c r="P51" s="27"/>
      <c r="Q51" s="27"/>
      <c r="R51" s="37">
        <v>273369.95400000003</v>
      </c>
      <c r="S51" s="27">
        <v>282407.65299999999</v>
      </c>
      <c r="T51" s="61">
        <v>345938.82699999999</v>
      </c>
      <c r="U51" s="27">
        <v>387340.34499999997</v>
      </c>
      <c r="V51" s="27">
        <v>384280.35800000001</v>
      </c>
      <c r="W51" s="127">
        <v>396961.44400000002</v>
      </c>
      <c r="X51" s="127">
        <v>446258.53399999999</v>
      </c>
      <c r="Y51" s="127">
        <v>477827.01699999999</v>
      </c>
      <c r="Z51" s="127">
        <v>495109.05800000002</v>
      </c>
      <c r="AA51" s="127">
        <v>600775.92700000003</v>
      </c>
      <c r="AB51" s="127">
        <v>557432.527</v>
      </c>
      <c r="AC51" s="127">
        <v>640852</v>
      </c>
      <c r="AD51" s="27">
        <v>691102.90700000001</v>
      </c>
      <c r="AE51" s="27">
        <v>757016.31</v>
      </c>
      <c r="AF51" s="27">
        <v>423881.50300000003</v>
      </c>
      <c r="AG51" s="27">
        <v>744122.18599999999</v>
      </c>
      <c r="AH51" s="27">
        <v>827260.31900000002</v>
      </c>
      <c r="AI51" s="27">
        <v>778712.27599999995</v>
      </c>
      <c r="AJ51" s="27"/>
      <c r="AK51" s="27">
        <v>823893.37699999998</v>
      </c>
      <c r="AL51" s="1">
        <v>791641.31</v>
      </c>
    </row>
    <row r="52" spans="1:38" ht="12.75" customHeight="1">
      <c r="A52" s="6" t="s">
        <v>65</v>
      </c>
      <c r="J52" s="51">
        <f>SUM(J54:J62)</f>
        <v>538146.4659999999</v>
      </c>
      <c r="M52" s="51">
        <f>SUM(M54:M62)</f>
        <v>621328.58199999994</v>
      </c>
      <c r="O52" s="51">
        <f>SUM(O54:O62)</f>
        <v>823649.42599999998</v>
      </c>
      <c r="R52" s="51">
        <f t="shared" ref="R52:AK52" si="20">SUM(R54:R62)</f>
        <v>1045214.3609999999</v>
      </c>
      <c r="S52" s="51">
        <f t="shared" si="20"/>
        <v>1028640.706</v>
      </c>
      <c r="T52" s="60">
        <f t="shared" si="20"/>
        <v>1187525.4749999999</v>
      </c>
      <c r="U52" s="51">
        <f t="shared" si="20"/>
        <v>940071.3330000001</v>
      </c>
      <c r="V52" s="51">
        <f t="shared" si="20"/>
        <v>1170155.7600000002</v>
      </c>
      <c r="W52" s="51">
        <f t="shared" si="20"/>
        <v>2141501.4870000002</v>
      </c>
      <c r="X52" s="51">
        <f t="shared" si="20"/>
        <v>1290432.0920000002</v>
      </c>
      <c r="Y52" s="51">
        <f t="shared" si="20"/>
        <v>1380666.48</v>
      </c>
      <c r="Z52" s="51">
        <f t="shared" si="20"/>
        <v>1219246.1000000001</v>
      </c>
      <c r="AA52" s="51">
        <f t="shared" si="20"/>
        <v>663858.53500000003</v>
      </c>
      <c r="AB52" s="51">
        <f t="shared" si="20"/>
        <v>1399419.348</v>
      </c>
      <c r="AC52" s="51">
        <f t="shared" si="20"/>
        <v>1565959</v>
      </c>
      <c r="AD52" s="51">
        <f t="shared" si="20"/>
        <v>1322242.7949999999</v>
      </c>
      <c r="AE52" s="51">
        <f>SUM(AE54:AE62)</f>
        <v>1242925.8370000003</v>
      </c>
      <c r="AF52" s="51">
        <f>SUM(AF54:AF62)</f>
        <v>1405457.8809999998</v>
      </c>
      <c r="AG52" s="51">
        <f t="shared" si="20"/>
        <v>1488716.0560000001</v>
      </c>
      <c r="AH52" s="51">
        <f t="shared" si="20"/>
        <v>1761593.2820000001</v>
      </c>
      <c r="AI52" s="51">
        <f t="shared" si="20"/>
        <v>1831916.3060000001</v>
      </c>
      <c r="AJ52" s="51">
        <f t="shared" si="20"/>
        <v>0</v>
      </c>
      <c r="AK52" s="51">
        <f t="shared" si="20"/>
        <v>1789399.4800000002</v>
      </c>
      <c r="AL52" s="131">
        <f t="shared" ref="AL52" si="21">SUM(AL54:AL62)</f>
        <v>1860039.6459999999</v>
      </c>
    </row>
    <row r="53" spans="1:38" ht="12.75" customHeight="1">
      <c r="A53" s="6" t="s">
        <v>94</v>
      </c>
      <c r="T53" s="44"/>
      <c r="AA53" s="10">
        <v>0</v>
      </c>
      <c r="AD53" s="1">
        <v>0</v>
      </c>
      <c r="AE53" s="1">
        <v>0</v>
      </c>
      <c r="AF53" s="1">
        <v>0</v>
      </c>
      <c r="AH53" s="1">
        <v>0</v>
      </c>
      <c r="AI53" s="1">
        <v>0</v>
      </c>
    </row>
    <row r="54" spans="1:38" ht="12.75" customHeight="1">
      <c r="A54" s="1" t="s">
        <v>66</v>
      </c>
      <c r="J54" s="126">
        <v>25929.901999999998</v>
      </c>
      <c r="M54" s="1">
        <v>41477.453999999998</v>
      </c>
      <c r="O54" s="1">
        <v>55157.106</v>
      </c>
      <c r="R54" s="18">
        <v>53925.103999999999</v>
      </c>
      <c r="S54" s="1">
        <v>56765.701999999997</v>
      </c>
      <c r="T54" s="44">
        <v>376650.07199999999</v>
      </c>
      <c r="U54" s="1">
        <v>263810.74900000001</v>
      </c>
      <c r="V54" s="1">
        <v>419570.728</v>
      </c>
      <c r="W54" s="126">
        <v>625223.652</v>
      </c>
      <c r="X54" s="126">
        <v>440266.924</v>
      </c>
      <c r="Y54" s="126">
        <v>343057.34600000002</v>
      </c>
      <c r="Z54" s="126">
        <v>346912.46299999999</v>
      </c>
      <c r="AA54" s="126">
        <v>164709.948</v>
      </c>
      <c r="AB54" s="126">
        <v>113114.16099999999</v>
      </c>
      <c r="AC54" s="126">
        <v>148411</v>
      </c>
      <c r="AD54" s="1">
        <v>148643.53099999999</v>
      </c>
      <c r="AE54" s="1">
        <v>137724.24600000001</v>
      </c>
      <c r="AF54" s="1">
        <v>148389.11199999999</v>
      </c>
      <c r="AG54" s="1">
        <v>198771.72399999999</v>
      </c>
      <c r="AH54" s="1">
        <v>203453.23699999999</v>
      </c>
      <c r="AI54" s="1">
        <v>196872.579</v>
      </c>
      <c r="AK54" s="1">
        <v>263857.96799999999</v>
      </c>
      <c r="AL54" s="1">
        <v>240149.51699999999</v>
      </c>
    </row>
    <row r="55" spans="1:38" ht="12.75" customHeight="1">
      <c r="A55" s="1" t="s">
        <v>67</v>
      </c>
      <c r="J55" s="126">
        <v>21155.172999999999</v>
      </c>
      <c r="M55" s="1">
        <v>29839.569</v>
      </c>
      <c r="O55" s="1">
        <v>33690.326999999997</v>
      </c>
      <c r="R55" s="18">
        <v>37808.033000000003</v>
      </c>
      <c r="S55" s="1">
        <v>39615.317000000003</v>
      </c>
      <c r="T55" s="44">
        <v>42799.148000000001</v>
      </c>
      <c r="U55" s="1">
        <v>49759.144999999997</v>
      </c>
      <c r="V55" s="1">
        <v>49531.743999999999</v>
      </c>
      <c r="W55" s="126">
        <v>47849.752999999997</v>
      </c>
      <c r="X55" s="126">
        <v>43804.690999999999</v>
      </c>
      <c r="Y55" s="126">
        <v>49626.124000000003</v>
      </c>
      <c r="Z55" s="126">
        <v>48078.936000000002</v>
      </c>
      <c r="AA55" s="126">
        <v>52806.067000000003</v>
      </c>
      <c r="AB55" s="126">
        <v>49239.285000000003</v>
      </c>
      <c r="AC55" s="126">
        <v>50743</v>
      </c>
      <c r="AD55" s="1">
        <v>54675.343000000001</v>
      </c>
      <c r="AE55" s="1">
        <v>52488.656000000003</v>
      </c>
      <c r="AF55" s="1">
        <v>19998.885999999999</v>
      </c>
      <c r="AG55" s="1">
        <v>54741.741000000002</v>
      </c>
      <c r="AH55" s="1">
        <v>55609.315000000002</v>
      </c>
      <c r="AI55" s="1">
        <v>54817.624000000003</v>
      </c>
      <c r="AK55" s="1">
        <v>56513.946000000004</v>
      </c>
      <c r="AL55" s="1">
        <v>58324.601999999999</v>
      </c>
    </row>
    <row r="56" spans="1:38" ht="12.75" customHeight="1">
      <c r="A56" s="1" t="s">
        <v>68</v>
      </c>
      <c r="J56" s="126">
        <v>120941.758</v>
      </c>
      <c r="M56" s="1">
        <v>47098.673999999999</v>
      </c>
      <c r="O56" s="1">
        <v>89182.119000000006</v>
      </c>
      <c r="R56" s="18">
        <v>180038.05900000001</v>
      </c>
      <c r="S56" s="1">
        <v>155006.87899999999</v>
      </c>
      <c r="T56" s="44">
        <v>191728.696</v>
      </c>
      <c r="U56" s="1">
        <v>216905.698</v>
      </c>
      <c r="V56" s="1">
        <v>270574.33799999999</v>
      </c>
      <c r="W56" s="126">
        <v>486178.86200000002</v>
      </c>
      <c r="X56" s="126">
        <v>426867.94500000001</v>
      </c>
      <c r="Y56" s="126">
        <v>479337.00799999997</v>
      </c>
      <c r="Z56" s="126">
        <v>427488.72200000001</v>
      </c>
      <c r="AA56" s="126">
        <v>71838.563999999998</v>
      </c>
      <c r="AB56" s="126">
        <v>667734.50100000005</v>
      </c>
      <c r="AC56" s="126">
        <v>621273</v>
      </c>
      <c r="AD56" s="1">
        <v>507705.30099999998</v>
      </c>
      <c r="AE56" s="1">
        <v>584285.97600000002</v>
      </c>
      <c r="AF56" s="1">
        <v>553990.55000000005</v>
      </c>
      <c r="AG56" s="1">
        <v>495583.61300000001</v>
      </c>
      <c r="AH56" s="1">
        <v>628251.16200000001</v>
      </c>
      <c r="AI56" s="1">
        <v>579356.951</v>
      </c>
      <c r="AK56" s="1">
        <v>466301.70799999998</v>
      </c>
      <c r="AL56" s="1">
        <v>492669.65299999999</v>
      </c>
    </row>
    <row r="57" spans="1:38" ht="12.75" customHeight="1">
      <c r="A57" s="1" t="s">
        <v>69</v>
      </c>
      <c r="J57" s="126">
        <v>15233.832</v>
      </c>
      <c r="M57" s="1">
        <v>16084.019</v>
      </c>
      <c r="O57" s="1">
        <v>21070.358</v>
      </c>
      <c r="R57" s="24">
        <v>19901.75</v>
      </c>
      <c r="S57" s="1">
        <v>20036.218000000001</v>
      </c>
      <c r="T57" s="44">
        <v>31669.530999999999</v>
      </c>
      <c r="U57" s="1">
        <v>27604.998</v>
      </c>
      <c r="V57" s="1">
        <v>29201.11</v>
      </c>
      <c r="W57" s="126">
        <v>33712.652999999998</v>
      </c>
      <c r="X57" s="126">
        <v>35042.012000000002</v>
      </c>
      <c r="Y57" s="126">
        <v>34467.603000000003</v>
      </c>
      <c r="Z57" s="126">
        <v>29283.522000000001</v>
      </c>
      <c r="AA57" s="126">
        <v>26385.210999999999</v>
      </c>
      <c r="AB57" s="126">
        <v>32047.334999999999</v>
      </c>
      <c r="AC57" s="126">
        <v>42997</v>
      </c>
      <c r="AD57" s="1">
        <v>58343.767999999996</v>
      </c>
      <c r="AE57" s="1">
        <v>53805.989000000001</v>
      </c>
      <c r="AF57" s="1">
        <v>54179.017</v>
      </c>
      <c r="AG57" s="1">
        <v>53066.637999999999</v>
      </c>
      <c r="AH57" s="1">
        <v>53045.247000000003</v>
      </c>
      <c r="AI57" s="1">
        <v>49044.078999999998</v>
      </c>
      <c r="AK57" s="1">
        <v>27171.764999999999</v>
      </c>
      <c r="AL57" s="1">
        <v>24875.167000000001</v>
      </c>
    </row>
    <row r="58" spans="1:38" ht="12.75" customHeight="1">
      <c r="A58" s="1" t="s">
        <v>70</v>
      </c>
      <c r="J58" s="126">
        <v>79717.114000000001</v>
      </c>
      <c r="M58" s="1">
        <v>127241.323</v>
      </c>
      <c r="O58" s="1">
        <v>208013.32800000001</v>
      </c>
      <c r="R58" s="24">
        <v>191773.63200000001</v>
      </c>
      <c r="S58" s="1">
        <v>207928.587</v>
      </c>
      <c r="T58" s="44">
        <v>184900.89499999999</v>
      </c>
      <c r="U58" s="1">
        <v>246744.69500000001</v>
      </c>
      <c r="V58" s="1">
        <v>202424.92600000001</v>
      </c>
      <c r="W58" s="126">
        <v>216237.258</v>
      </c>
      <c r="X58" s="126">
        <v>153728.81899999999</v>
      </c>
      <c r="Y58" s="126">
        <v>214336.11199999999</v>
      </c>
      <c r="Z58" s="126">
        <v>190916.98199999999</v>
      </c>
      <c r="AA58" s="126">
        <v>154480.58499999999</v>
      </c>
      <c r="AB58" s="126">
        <v>261593.587</v>
      </c>
      <c r="AC58" s="126">
        <v>291467</v>
      </c>
      <c r="AD58" s="1">
        <v>193308.592</v>
      </c>
      <c r="AE58" s="1">
        <v>157624.78400000001</v>
      </c>
      <c r="AF58" s="1">
        <v>266542.19199999998</v>
      </c>
      <c r="AG58" s="1">
        <v>266585.98200000002</v>
      </c>
      <c r="AH58" s="1">
        <v>300250.25400000002</v>
      </c>
      <c r="AI58" s="1">
        <v>271785.049</v>
      </c>
      <c r="AK58" s="1">
        <v>509123.12900000002</v>
      </c>
      <c r="AL58" s="1">
        <v>328035.049</v>
      </c>
    </row>
    <row r="59" spans="1:38" ht="12.75" customHeight="1">
      <c r="A59" s="1" t="s">
        <v>71</v>
      </c>
      <c r="J59" s="126">
        <v>73418.434999999998</v>
      </c>
      <c r="M59" s="1">
        <v>112438.3</v>
      </c>
      <c r="O59" s="1">
        <v>145999.08300000001</v>
      </c>
      <c r="R59" s="24">
        <v>147286.73300000001</v>
      </c>
      <c r="S59" s="1">
        <v>164604.91800000001</v>
      </c>
      <c r="T59" s="44">
        <v>152281.486</v>
      </c>
      <c r="U59" s="1">
        <v>80128.748000000007</v>
      </c>
      <c r="V59" s="1">
        <v>143570.41399999999</v>
      </c>
      <c r="W59" s="126">
        <v>670713.13500000001</v>
      </c>
      <c r="X59" s="126">
        <v>121677.22100000001</v>
      </c>
      <c r="Y59" s="126">
        <v>189626.36</v>
      </c>
      <c r="Z59" s="126">
        <v>110454.245</v>
      </c>
      <c r="AA59" s="126">
        <v>129680.133</v>
      </c>
      <c r="AB59" s="126">
        <v>143982.42499999999</v>
      </c>
      <c r="AC59" s="126">
        <v>304310</v>
      </c>
      <c r="AD59" s="1">
        <v>271548.72700000001</v>
      </c>
      <c r="AE59" s="1">
        <v>180571.87</v>
      </c>
      <c r="AF59" s="1">
        <v>323362.56199999998</v>
      </c>
      <c r="AG59" s="1">
        <v>334871.67499999999</v>
      </c>
      <c r="AH59" s="1">
        <v>415603.58199999999</v>
      </c>
      <c r="AI59" s="1">
        <v>562423.28799999994</v>
      </c>
      <c r="AK59" s="1">
        <v>356061.18</v>
      </c>
      <c r="AL59" s="1">
        <v>578912.08900000004</v>
      </c>
    </row>
    <row r="60" spans="1:38" ht="12.75" customHeight="1">
      <c r="A60" s="1" t="s">
        <v>72</v>
      </c>
      <c r="J60" s="126">
        <v>161557.851</v>
      </c>
      <c r="M60" s="1">
        <v>198602.81</v>
      </c>
      <c r="O60" s="1">
        <v>219230.03200000001</v>
      </c>
      <c r="R60" s="18">
        <v>352843.18699999998</v>
      </c>
      <c r="S60" s="1">
        <v>317448.36300000001</v>
      </c>
      <c r="T60" s="44">
        <v>168444.43599999999</v>
      </c>
      <c r="U60" s="1">
        <v>29896.543000000001</v>
      </c>
      <c r="V60" s="1">
        <v>31087.536</v>
      </c>
      <c r="W60" s="126">
        <v>35695.627</v>
      </c>
      <c r="X60" s="126">
        <v>38025.519</v>
      </c>
      <c r="Y60" s="126">
        <v>45612.654000000002</v>
      </c>
      <c r="Z60" s="126">
        <v>41728.326999999997</v>
      </c>
      <c r="AA60" s="126">
        <v>45812.315999999999</v>
      </c>
      <c r="AB60" s="126">
        <v>105392.71799999999</v>
      </c>
      <c r="AC60" s="126">
        <v>80223</v>
      </c>
      <c r="AD60" s="1">
        <v>57559.972000000002</v>
      </c>
      <c r="AE60" s="1">
        <v>45917.631000000001</v>
      </c>
      <c r="AF60" s="1">
        <v>20558.628000000001</v>
      </c>
      <c r="AG60" s="1">
        <v>53639.76</v>
      </c>
      <c r="AH60" s="1">
        <v>57573.843999999997</v>
      </c>
      <c r="AI60" s="1">
        <v>71311.993000000002</v>
      </c>
      <c r="AK60" s="1">
        <v>69038.354000000007</v>
      </c>
      <c r="AL60" s="1">
        <v>102857.606</v>
      </c>
    </row>
    <row r="61" spans="1:38" ht="12.75" customHeight="1">
      <c r="A61" s="1" t="s">
        <v>73</v>
      </c>
      <c r="J61" s="126">
        <v>10358.891</v>
      </c>
      <c r="M61" s="1">
        <v>12377.331</v>
      </c>
      <c r="O61" s="1">
        <v>13184.357</v>
      </c>
      <c r="R61" s="18">
        <v>18717.376</v>
      </c>
      <c r="S61" s="1">
        <v>19332.071</v>
      </c>
      <c r="T61" s="44">
        <v>15251.892</v>
      </c>
      <c r="U61" s="1">
        <v>2757.9169999999999</v>
      </c>
      <c r="V61" s="1">
        <v>2768.759</v>
      </c>
      <c r="W61" s="126">
        <v>3992.549</v>
      </c>
      <c r="X61" s="126">
        <v>3178.29</v>
      </c>
      <c r="Y61" s="126">
        <v>3046.038</v>
      </c>
      <c r="Z61" s="126">
        <v>0</v>
      </c>
      <c r="AA61" s="126">
        <v>0</v>
      </c>
      <c r="AB61" s="126">
        <v>3626.2840000000001</v>
      </c>
      <c r="AC61" s="126">
        <v>3642</v>
      </c>
      <c r="AD61" s="1">
        <v>6850.0709999999999</v>
      </c>
      <c r="AE61" s="1">
        <v>7222.433</v>
      </c>
      <c r="AF61" s="1">
        <v>780.85599999999999</v>
      </c>
      <c r="AG61" s="1">
        <v>3621.7849999999999</v>
      </c>
      <c r="AH61" s="1">
        <v>3673.6779999999999</v>
      </c>
      <c r="AI61" s="1">
        <v>4404.3029999999999</v>
      </c>
      <c r="AK61" s="1">
        <v>3732.1849999999999</v>
      </c>
      <c r="AL61" s="1">
        <v>3447.3310000000001</v>
      </c>
    </row>
    <row r="62" spans="1:38" ht="12.75" customHeight="1">
      <c r="A62" s="27" t="s">
        <v>74</v>
      </c>
      <c r="B62" s="27"/>
      <c r="C62" s="27"/>
      <c r="D62" s="27"/>
      <c r="E62" s="27"/>
      <c r="F62" s="27"/>
      <c r="G62" s="27"/>
      <c r="H62" s="27"/>
      <c r="I62" s="27"/>
      <c r="J62" s="127">
        <v>29833.51</v>
      </c>
      <c r="K62" s="27"/>
      <c r="L62" s="27"/>
      <c r="M62" s="27">
        <v>36169.101999999999</v>
      </c>
      <c r="N62" s="27"/>
      <c r="O62" s="27">
        <v>38122.716</v>
      </c>
      <c r="P62" s="27"/>
      <c r="Q62" s="27"/>
      <c r="R62" s="37">
        <v>42920.487000000001</v>
      </c>
      <c r="S62" s="27">
        <v>47902.650999999998</v>
      </c>
      <c r="T62" s="61">
        <v>23799.319</v>
      </c>
      <c r="U62" s="27">
        <v>22462.84</v>
      </c>
      <c r="V62" s="27">
        <v>21426.205000000002</v>
      </c>
      <c r="W62" s="127">
        <v>21897.998</v>
      </c>
      <c r="X62" s="127">
        <v>27840.670999999998</v>
      </c>
      <c r="Y62" s="127">
        <v>21557.235000000001</v>
      </c>
      <c r="Z62" s="127">
        <v>24382.902999999998</v>
      </c>
      <c r="AA62" s="127">
        <v>18145.710999999999</v>
      </c>
      <c r="AB62" s="127">
        <v>22689.052</v>
      </c>
      <c r="AC62" s="127">
        <v>22893</v>
      </c>
      <c r="AD62" s="27">
        <v>23607.49</v>
      </c>
      <c r="AE62" s="27">
        <v>23284.252</v>
      </c>
      <c r="AF62" s="27">
        <v>17656.078000000001</v>
      </c>
      <c r="AG62" s="27">
        <v>27833.137999999999</v>
      </c>
      <c r="AH62" s="27">
        <v>44132.963000000003</v>
      </c>
      <c r="AI62" s="27">
        <v>41900.44</v>
      </c>
      <c r="AJ62" s="27"/>
      <c r="AK62" s="27">
        <v>37599.245000000003</v>
      </c>
      <c r="AL62" s="1">
        <v>30768.632000000001</v>
      </c>
    </row>
    <row r="63" spans="1:38">
      <c r="A63" s="49" t="s">
        <v>75</v>
      </c>
      <c r="B63" s="46"/>
      <c r="C63" s="46"/>
      <c r="D63" s="46"/>
      <c r="E63" s="46"/>
      <c r="F63" s="46"/>
      <c r="G63" s="46"/>
      <c r="H63" s="46"/>
      <c r="I63" s="46"/>
      <c r="J63" s="128">
        <v>25316.806</v>
      </c>
      <c r="K63" s="46"/>
      <c r="L63" s="46"/>
      <c r="M63" s="46">
        <v>6976.08</v>
      </c>
      <c r="N63" s="46"/>
      <c r="O63" s="46">
        <v>8241.0909599999995</v>
      </c>
      <c r="P63" s="46"/>
      <c r="Q63" s="46"/>
      <c r="R63" s="47">
        <v>1784.354</v>
      </c>
      <c r="S63" s="46">
        <v>0</v>
      </c>
      <c r="T63" s="48">
        <v>2474.4140000000002</v>
      </c>
      <c r="U63" s="46">
        <v>3073.3449999999998</v>
      </c>
      <c r="V63" s="46">
        <v>1568.9480000000001</v>
      </c>
      <c r="W63" s="128">
        <v>3444.2269999999999</v>
      </c>
      <c r="X63" s="128">
        <v>3182.3870000000002</v>
      </c>
      <c r="Y63" s="128">
        <v>2492.0639999999999</v>
      </c>
      <c r="Z63" s="128">
        <v>1655.241</v>
      </c>
      <c r="AA63" s="128">
        <v>2366.15</v>
      </c>
      <c r="AB63" s="128">
        <v>4696.259</v>
      </c>
      <c r="AC63" s="128">
        <v>26068</v>
      </c>
      <c r="AD63" s="27">
        <v>3260.48</v>
      </c>
      <c r="AE63" s="27">
        <v>3089.54</v>
      </c>
      <c r="AF63" s="27">
        <v>3901.2489999999998</v>
      </c>
      <c r="AG63" s="27">
        <v>3653.41</v>
      </c>
      <c r="AH63" s="27">
        <v>2487.4560000000001</v>
      </c>
      <c r="AI63" s="27">
        <v>3013.9250000000002</v>
      </c>
      <c r="AJ63" s="27"/>
      <c r="AK63" s="27">
        <v>2342.3679999999999</v>
      </c>
      <c r="AL63" s="130">
        <v>4568.1040000000003</v>
      </c>
    </row>
    <row r="64" spans="1:38" ht="12.75" customHeight="1"/>
    <row r="65" spans="2:29" ht="12.75" customHeight="1"/>
    <row r="66" spans="2:29" ht="12.75" customHeight="1">
      <c r="B66" s="1" t="s">
        <v>95</v>
      </c>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B68" s="1" t="s">
        <v>158</v>
      </c>
      <c r="W68" s="1"/>
      <c r="X68" s="1"/>
      <c r="Y68" s="1"/>
      <c r="Z68" s="1"/>
      <c r="AA68" s="1"/>
      <c r="AB68" s="1"/>
      <c r="AC68" s="1"/>
    </row>
    <row r="69" spans="2:29" ht="12.75" customHeight="1">
      <c r="B69" s="1" t="s">
        <v>159</v>
      </c>
      <c r="M69" s="38"/>
      <c r="N69" s="38"/>
    </row>
    <row r="70" spans="2:29" ht="12.75" customHeight="1">
      <c r="B70" s="1" t="s">
        <v>160</v>
      </c>
    </row>
    <row r="71" spans="2:29" ht="12.75" customHeight="1">
      <c r="B71" s="1" t="s">
        <v>140</v>
      </c>
    </row>
    <row r="72" spans="2:29" ht="12.75" customHeight="1"/>
    <row r="73" spans="2:29" ht="12.75" customHeight="1">
      <c r="B73" s="1" t="s">
        <v>161</v>
      </c>
    </row>
    <row r="74" spans="2:29" ht="12.75" customHeight="1">
      <c r="B74" s="1" t="s">
        <v>162</v>
      </c>
    </row>
    <row r="75" spans="2:29" ht="12.75" customHeight="1"/>
    <row r="76" spans="2:29" ht="12.75" customHeight="1"/>
    <row r="77" spans="2:29" ht="12.75" customHeight="1"/>
    <row r="78" spans="2:29" ht="12.75" customHeight="1"/>
    <row r="79" spans="2:29" ht="12.75" customHeight="1"/>
    <row r="80" spans="2:29" ht="12.75" customHeight="1"/>
    <row r="81" spans="2:207" ht="9.9499999999999993" customHeight="1"/>
    <row r="82" spans="2:207" ht="9.9499999999999993" customHeight="1">
      <c r="GQ82" s="4"/>
      <c r="GR82" s="4"/>
      <c r="GS82" s="4"/>
      <c r="GT82" s="4"/>
      <c r="GU82" s="4"/>
      <c r="GV82" s="4"/>
      <c r="GW82" s="4"/>
      <c r="GX82" s="4"/>
      <c r="GY82" s="4"/>
    </row>
    <row r="83" spans="2:207">
      <c r="GO83" s="4"/>
      <c r="GP83" s="4"/>
      <c r="GQ83" s="4"/>
      <c r="GR83" s="4"/>
      <c r="GS83" s="4"/>
      <c r="GT83" s="4"/>
      <c r="GU83" s="4"/>
      <c r="GV83" s="4"/>
      <c r="GW83" s="4"/>
      <c r="GX83" s="4"/>
      <c r="GY83" s="4"/>
    </row>
    <row r="84" spans="2:207">
      <c r="GO84" s="4"/>
      <c r="GP84" s="4"/>
      <c r="GQ84" s="4"/>
      <c r="GR84" s="4"/>
      <c r="GS84" s="4"/>
      <c r="GT84" s="4"/>
      <c r="GU84" s="4"/>
      <c r="GV84" s="4"/>
      <c r="GW84" s="4"/>
      <c r="GX84" s="4"/>
      <c r="GY84" s="4"/>
    </row>
    <row r="85" spans="2:207">
      <c r="GQ85" s="4"/>
      <c r="GR85" s="4"/>
      <c r="GS85" s="4"/>
      <c r="GT85" s="4"/>
      <c r="GU85" s="4"/>
      <c r="GV85" s="4"/>
      <c r="GW85" s="4"/>
    </row>
    <row r="86" spans="2:207">
      <c r="GQ86" s="4"/>
      <c r="GR86" s="4"/>
      <c r="GS86" s="4"/>
      <c r="GT86" s="4"/>
      <c r="GU86" s="4"/>
      <c r="GV86" s="4"/>
      <c r="GW86" s="4"/>
    </row>
    <row r="87" spans="2:207">
      <c r="GQ87" s="4"/>
      <c r="GR87" s="4"/>
      <c r="GS87" s="4"/>
      <c r="GT87" s="4"/>
      <c r="GU87" s="4"/>
      <c r="GV87" s="4"/>
      <c r="GW87" s="4"/>
    </row>
    <row r="92" spans="2:207">
      <c r="B92" s="12"/>
      <c r="C92" s="12"/>
      <c r="D92" s="12"/>
      <c r="E92" s="12"/>
      <c r="F92" s="12"/>
      <c r="G92" s="12"/>
      <c r="H92" s="12"/>
      <c r="I92" s="12"/>
    </row>
  </sheetData>
  <phoneticPr fontId="8" type="noConversion"/>
  <pageMargins left="0.5" right="0.5" top="0.5" bottom="0.55000000000000004" header="0.5" footer="0.5"/>
  <pageSetup scale="88" orientation="landscape" verticalDpi="300" r:id="rId1"/>
  <headerFooter alignWithMargins="0">
    <oddFooter>&amp;LSREB Fact Book 1996/1997&amp;CUpdate&amp;R&amp;D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8"/>
  </sheetPr>
  <dimension ref="A1:HA92"/>
  <sheetViews>
    <sheetView zoomScaleNormal="100" workbookViewId="0">
      <pane xSplit="1" ySplit="3" topLeftCell="AB18" activePane="bottomRight" state="frozen"/>
      <selection pane="bottomRight" activeCell="AS19" sqref="AS19"/>
      <selection pane="bottomLeft" activeCell="O44" sqref="O44"/>
      <selection pane="topRight" activeCell="O44" sqref="O44"/>
    </sheetView>
  </sheetViews>
  <sheetFormatPr defaultColWidth="9.7109375" defaultRowHeight="12.75"/>
  <cols>
    <col min="1" max="1" width="19.5703125" style="1" bestFit="1" customWidth="1"/>
    <col min="2" max="22" width="9.42578125" style="1" customWidth="1"/>
    <col min="23" max="26" width="9.42578125" style="10" customWidth="1"/>
    <col min="27" max="29" width="11.140625" style="10" customWidth="1"/>
    <col min="30" max="30" width="10" style="1" customWidth="1"/>
    <col min="31" max="31" width="10.140625" style="1" bestFit="1" customWidth="1"/>
    <col min="32" max="38" width="10.140625" style="1" customWidth="1"/>
    <col min="39" max="173" width="9.7109375" style="1"/>
    <col min="174" max="174" width="11.7109375" style="1" customWidth="1"/>
    <col min="175" max="198" width="9.7109375" style="1"/>
    <col min="199" max="199" width="5.7109375" style="1" customWidth="1"/>
    <col min="200" max="200" width="6.7109375" style="1" customWidth="1"/>
    <col min="201" max="202" width="8.7109375" style="1" customWidth="1"/>
    <col min="203" max="204" width="6.7109375" style="1" customWidth="1"/>
    <col min="205" max="206" width="8.7109375" style="1" customWidth="1"/>
    <col min="207" max="208" width="6.7109375" style="1" customWidth="1"/>
    <col min="209" max="209" width="1.7109375" style="1" customWidth="1"/>
    <col min="210" max="16384" width="9.7109375" style="1"/>
  </cols>
  <sheetData>
    <row r="1" spans="1:38">
      <c r="A1" s="36" t="s">
        <v>92</v>
      </c>
      <c r="B1" s="11"/>
      <c r="C1" s="11"/>
      <c r="D1" s="11"/>
      <c r="E1" s="11"/>
      <c r="F1" s="11"/>
      <c r="G1" s="11"/>
      <c r="H1" s="11"/>
      <c r="I1" s="11"/>
      <c r="J1" s="11"/>
      <c r="K1" s="11"/>
      <c r="L1" s="11"/>
    </row>
    <row r="2" spans="1:38">
      <c r="A2" s="1" t="s">
        <v>8</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1">
        <v>1704279</v>
      </c>
      <c r="C4" s="1">
        <v>1798157</v>
      </c>
      <c r="D4" s="1">
        <f>1899460</f>
        <v>1899460</v>
      </c>
      <c r="I4" s="1">
        <v>3069172.551</v>
      </c>
      <c r="J4" s="52">
        <f>+J5+J23+J38+J52+J63</f>
        <v>3511605.7539999997</v>
      </c>
      <c r="K4" s="39">
        <f>(($M$4-$J$4)/3)+J4</f>
        <v>3785253.0166666661</v>
      </c>
      <c r="L4" s="39">
        <f>(($M$4-$J$4)/3)+K4</f>
        <v>4058900.2793333326</v>
      </c>
      <c r="M4" s="52">
        <f>+M5+M23+M38+M52+M63</f>
        <v>4332547.5419999994</v>
      </c>
      <c r="N4" s="39">
        <f>((O4-M4)/2)+M4</f>
        <v>5541654.4493049998</v>
      </c>
      <c r="O4" s="52">
        <f>+O5+O23+O38+O52+O63</f>
        <v>6750761.3566099992</v>
      </c>
      <c r="R4" s="52">
        <f t="shared" ref="R4:AA4" si="0">+R5+R23+R38+R52+R63</f>
        <v>5523118.6300000008</v>
      </c>
      <c r="S4" s="52">
        <f t="shared" si="0"/>
        <v>5999199.3580000009</v>
      </c>
      <c r="T4" s="52">
        <f t="shared" si="0"/>
        <v>6568888.8560000006</v>
      </c>
      <c r="U4" s="52">
        <f t="shared" si="0"/>
        <v>5605125.9580000006</v>
      </c>
      <c r="V4" s="52">
        <f t="shared" si="0"/>
        <v>6044889.8020000001</v>
      </c>
      <c r="W4" s="52">
        <f t="shared" si="0"/>
        <v>9318622.2700000014</v>
      </c>
      <c r="X4" s="52">
        <f t="shared" si="0"/>
        <v>7133964.4670000011</v>
      </c>
      <c r="Y4" s="52">
        <f t="shared" si="0"/>
        <v>7552877.9219999993</v>
      </c>
      <c r="Z4" s="52">
        <f t="shared" si="0"/>
        <v>7991584.0490000006</v>
      </c>
      <c r="AA4" s="52">
        <f t="shared" si="0"/>
        <v>12639865.216</v>
      </c>
      <c r="AB4" s="52">
        <f t="shared" ref="AB4:AC4" si="1">+AB5+AB23+AB38+AB52+AB63</f>
        <v>15243575.821999999</v>
      </c>
      <c r="AC4" s="52">
        <f t="shared" si="1"/>
        <v>16732550</v>
      </c>
      <c r="AD4" s="52">
        <f t="shared" ref="AD4:AE4" si="2">+AD5+AD23+AD38+AD52+AD63</f>
        <v>17462848.242000002</v>
      </c>
      <c r="AE4" s="52">
        <f t="shared" si="2"/>
        <v>17784639.445</v>
      </c>
      <c r="AF4" s="52">
        <f t="shared" ref="AF4" si="3">+AF5+AF23+AF38+AF52+AF63</f>
        <v>15543195.908</v>
      </c>
      <c r="AG4" s="52">
        <f t="shared" ref="AG4:AI4" si="4">+AG5+AG23+AG38+AG52+AG63</f>
        <v>15452138.969000001</v>
      </c>
      <c r="AH4" s="52">
        <f t="shared" si="4"/>
        <v>17441525.085000001</v>
      </c>
      <c r="AI4" s="52">
        <f t="shared" si="4"/>
        <v>17103148.068999998</v>
      </c>
      <c r="AJ4" s="52">
        <f t="shared" ref="AJ4:AK4" si="5">+AJ5+AJ23+AJ38+AJ52+AJ63</f>
        <v>0</v>
      </c>
      <c r="AK4" s="52">
        <f t="shared" si="5"/>
        <v>23590815.959999997</v>
      </c>
      <c r="AL4" s="52">
        <f t="shared" ref="AL4" si="6">+AL5+AL23+AL38+AL52+AL63</f>
        <v>17209565.947000001</v>
      </c>
    </row>
    <row r="5" spans="1:38" ht="12.75" customHeight="1">
      <c r="A5" s="1" t="s">
        <v>21</v>
      </c>
      <c r="B5" s="51">
        <f>SUM(B7:B22)</f>
        <v>451398</v>
      </c>
      <c r="C5" s="51">
        <f t="shared" ref="C5:AA5" si="7">SUM(C7:C22)</f>
        <v>465548</v>
      </c>
      <c r="D5" s="51">
        <f t="shared" si="7"/>
        <v>508482</v>
      </c>
      <c r="E5" s="51">
        <f t="shared" si="7"/>
        <v>0</v>
      </c>
      <c r="F5" s="51">
        <f t="shared" si="7"/>
        <v>0</v>
      </c>
      <c r="G5" s="51">
        <f t="shared" si="7"/>
        <v>0</v>
      </c>
      <c r="H5" s="51">
        <f t="shared" si="7"/>
        <v>0</v>
      </c>
      <c r="I5" s="51">
        <f t="shared" si="7"/>
        <v>926713.22600000002</v>
      </c>
      <c r="J5" s="51">
        <f t="shared" si="7"/>
        <v>1094832.1089999999</v>
      </c>
      <c r="K5" s="51">
        <f t="shared" si="7"/>
        <v>1243408.6599999999</v>
      </c>
      <c r="L5" s="51">
        <f t="shared" si="7"/>
        <v>1329142.3759999997</v>
      </c>
      <c r="M5" s="51">
        <f t="shared" si="7"/>
        <v>1360521.6410000001</v>
      </c>
      <c r="N5" s="51">
        <f t="shared" si="7"/>
        <v>1454655.3020000001</v>
      </c>
      <c r="O5" s="51">
        <f t="shared" si="7"/>
        <v>2202295.8439799999</v>
      </c>
      <c r="P5" s="51">
        <f t="shared" si="7"/>
        <v>0</v>
      </c>
      <c r="Q5" s="51">
        <f t="shared" si="7"/>
        <v>0</v>
      </c>
      <c r="R5" s="51">
        <f t="shared" si="7"/>
        <v>1912923.4569999999</v>
      </c>
      <c r="S5" s="51">
        <f t="shared" si="7"/>
        <v>2113599.3590000002</v>
      </c>
      <c r="T5" s="51">
        <f t="shared" si="7"/>
        <v>2298200.9539999999</v>
      </c>
      <c r="U5" s="51">
        <f t="shared" si="7"/>
        <v>1753370.2060000002</v>
      </c>
      <c r="V5" s="51">
        <f t="shared" si="7"/>
        <v>1951727.362</v>
      </c>
      <c r="W5" s="51">
        <f t="shared" si="7"/>
        <v>3131358.9560000002</v>
      </c>
      <c r="X5" s="51">
        <f t="shared" si="7"/>
        <v>2297973.3970000003</v>
      </c>
      <c r="Y5" s="51">
        <f t="shared" si="7"/>
        <v>2523626.2779999999</v>
      </c>
      <c r="Z5" s="51">
        <f t="shared" si="7"/>
        <v>2705549.1520000002</v>
      </c>
      <c r="AA5" s="51">
        <f t="shared" si="7"/>
        <v>4355332.7290000003</v>
      </c>
      <c r="AB5" s="51">
        <f t="shared" ref="AB5:AC5" si="8">SUM(AB7:AB22)</f>
        <v>5538285.7629999993</v>
      </c>
      <c r="AC5" s="51">
        <f t="shared" si="8"/>
        <v>6157572</v>
      </c>
      <c r="AD5" s="51">
        <f t="shared" ref="AD5:AE5" si="9">SUM(AD7:AD22)</f>
        <v>6475409.4020000016</v>
      </c>
      <c r="AE5" s="51">
        <f t="shared" si="9"/>
        <v>6407821.7170000011</v>
      </c>
      <c r="AF5" s="51">
        <f t="shared" ref="AF5" si="10">SUM(AF7:AF22)</f>
        <v>6132835.7460000003</v>
      </c>
      <c r="AG5" s="51">
        <f t="shared" ref="AG5:AI5" si="11">SUM(AG7:AG22)</f>
        <v>6105319.568</v>
      </c>
      <c r="AH5" s="51">
        <f t="shared" si="11"/>
        <v>6525161.0610000007</v>
      </c>
      <c r="AI5" s="51">
        <f t="shared" si="11"/>
        <v>6204960.6119999988</v>
      </c>
      <c r="AJ5" s="51">
        <f t="shared" ref="AJ5:AK5" si="12">SUM(AJ7:AJ22)</f>
        <v>0</v>
      </c>
      <c r="AK5" s="51">
        <f t="shared" si="12"/>
        <v>8711624.1599999983</v>
      </c>
      <c r="AL5" s="51">
        <f t="shared" ref="AL5" si="13">SUM(AL7:AL22)</f>
        <v>6300283.8300000001</v>
      </c>
    </row>
    <row r="6" spans="1:38" ht="12.75" customHeight="1">
      <c r="A6" s="6" t="s">
        <v>94</v>
      </c>
      <c r="J6" s="126"/>
      <c r="R6" s="18"/>
      <c r="T6" s="44"/>
    </row>
    <row r="7" spans="1:38" ht="12.75" customHeight="1">
      <c r="A7" s="1" t="s">
        <v>22</v>
      </c>
      <c r="B7" s="1">
        <v>19704</v>
      </c>
      <c r="C7" s="1">
        <v>23706</v>
      </c>
      <c r="D7" s="1">
        <v>24463</v>
      </c>
      <c r="I7" s="1">
        <v>53571.053</v>
      </c>
      <c r="J7" s="126">
        <v>69805.737999999998</v>
      </c>
      <c r="K7" s="1">
        <v>78521.048999999999</v>
      </c>
      <c r="L7" s="1">
        <v>81761.813999999998</v>
      </c>
      <c r="M7" s="1">
        <v>82493.269</v>
      </c>
      <c r="N7" s="1">
        <v>87259.194000000003</v>
      </c>
      <c r="O7" s="1">
        <v>139299.07366999998</v>
      </c>
      <c r="R7" s="24">
        <v>99186.142999999996</v>
      </c>
      <c r="S7" s="1">
        <v>105599.72100000001</v>
      </c>
      <c r="T7" s="44">
        <v>143759.905</v>
      </c>
      <c r="U7" s="1">
        <v>91630.985000000001</v>
      </c>
      <c r="V7" s="1">
        <v>99707.804000000004</v>
      </c>
      <c r="W7" s="126">
        <v>182575.87</v>
      </c>
      <c r="X7" s="126">
        <v>106270.55499999999</v>
      </c>
      <c r="Y7" s="126">
        <v>110400.649</v>
      </c>
      <c r="Z7" s="126">
        <v>112301.476</v>
      </c>
      <c r="AA7" s="126">
        <v>196351.326</v>
      </c>
      <c r="AB7" s="126">
        <v>264790.11</v>
      </c>
      <c r="AC7" s="126">
        <v>290151</v>
      </c>
      <c r="AD7" s="1">
        <v>301525.00599999999</v>
      </c>
      <c r="AE7" s="1">
        <v>289694.14199999999</v>
      </c>
      <c r="AF7" s="1">
        <v>272666.15700000001</v>
      </c>
      <c r="AG7" s="1">
        <v>267289.033</v>
      </c>
      <c r="AH7" s="1">
        <v>275599.239</v>
      </c>
      <c r="AI7" s="1">
        <v>257084.361</v>
      </c>
      <c r="AK7" s="1">
        <v>361185.60100000002</v>
      </c>
      <c r="AL7" s="1">
        <v>263769.924</v>
      </c>
    </row>
    <row r="8" spans="1:38" ht="12.75" customHeight="1">
      <c r="A8" s="1" t="s">
        <v>23</v>
      </c>
      <c r="B8" s="1">
        <v>6156</v>
      </c>
      <c r="C8" s="1">
        <v>6266</v>
      </c>
      <c r="D8" s="1">
        <v>6225</v>
      </c>
      <c r="I8" s="1">
        <v>11524.312</v>
      </c>
      <c r="J8" s="126">
        <v>14034.737999999999</v>
      </c>
      <c r="K8" s="1">
        <v>16573.150000000001</v>
      </c>
      <c r="L8" s="1">
        <v>17655.913</v>
      </c>
      <c r="M8" s="1">
        <v>18768.491000000002</v>
      </c>
      <c r="N8" s="1">
        <v>26759.842000000001</v>
      </c>
      <c r="O8" s="1">
        <v>38483.17</v>
      </c>
      <c r="R8" s="24">
        <v>34064.915999999997</v>
      </c>
      <c r="S8" s="1">
        <v>38542.07</v>
      </c>
      <c r="T8" s="44">
        <v>44094.317000000003</v>
      </c>
      <c r="U8" s="1">
        <v>33326.258000000002</v>
      </c>
      <c r="V8" s="1">
        <v>36620.749000000003</v>
      </c>
      <c r="W8" s="126">
        <v>68845.797999999995</v>
      </c>
      <c r="X8" s="126">
        <v>44811.025000000001</v>
      </c>
      <c r="Y8" s="126">
        <v>60215.108999999997</v>
      </c>
      <c r="Z8" s="126">
        <v>67001.739000000001</v>
      </c>
      <c r="AA8" s="126">
        <v>105372.364</v>
      </c>
      <c r="AB8" s="126">
        <v>123720.326</v>
      </c>
      <c r="AC8" s="126">
        <v>137821</v>
      </c>
      <c r="AD8" s="1">
        <v>140650.011</v>
      </c>
      <c r="AE8" s="1">
        <v>143222.91899999999</v>
      </c>
      <c r="AF8" s="1">
        <v>149769.93799999999</v>
      </c>
      <c r="AG8" s="1">
        <v>139651.24799999999</v>
      </c>
      <c r="AH8" s="1">
        <v>137164.019</v>
      </c>
      <c r="AI8" s="1">
        <v>136445.005</v>
      </c>
      <c r="AK8" s="1">
        <v>185422.587</v>
      </c>
      <c r="AL8" s="1">
        <v>138997.69</v>
      </c>
    </row>
    <row r="9" spans="1:38" ht="12.75" customHeight="1">
      <c r="A9" s="1" t="s">
        <v>24</v>
      </c>
      <c r="D9" s="1">
        <v>2181</v>
      </c>
      <c r="I9" s="1">
        <v>8086.2969999999996</v>
      </c>
      <c r="J9" s="126">
        <v>11169.09</v>
      </c>
      <c r="M9" s="1">
        <v>12644.134</v>
      </c>
      <c r="N9" s="1">
        <v>12592.562</v>
      </c>
      <c r="O9" s="1">
        <v>16491.178</v>
      </c>
      <c r="R9" s="24">
        <v>16375.53</v>
      </c>
      <c r="S9" s="35">
        <v>17572.510999999999</v>
      </c>
      <c r="T9" s="45">
        <v>19535.419999999998</v>
      </c>
      <c r="U9" s="35">
        <v>23371.187000000002</v>
      </c>
      <c r="V9" s="35">
        <v>23935.157999999999</v>
      </c>
      <c r="W9" s="126">
        <v>27031.728999999999</v>
      </c>
      <c r="X9" s="126">
        <v>28892.429</v>
      </c>
      <c r="Y9" s="126">
        <v>30021.281999999999</v>
      </c>
      <c r="Z9" s="126">
        <v>33738.457999999999</v>
      </c>
      <c r="AA9" s="126">
        <v>44746.040999999997</v>
      </c>
      <c r="AB9" s="126">
        <v>56222.739000000001</v>
      </c>
      <c r="AC9" s="126">
        <v>60509</v>
      </c>
      <c r="AD9" s="1">
        <v>62594.705000000002</v>
      </c>
      <c r="AE9" s="1">
        <v>62707.7</v>
      </c>
      <c r="AF9" s="1">
        <v>61783.991999999998</v>
      </c>
      <c r="AG9" s="1">
        <v>66182.835000000006</v>
      </c>
      <c r="AH9" s="1">
        <v>65117.749000000003</v>
      </c>
      <c r="AI9" s="1">
        <v>66891.365999999995</v>
      </c>
      <c r="AK9" s="1">
        <v>76158.006999999998</v>
      </c>
      <c r="AL9" s="1">
        <v>66364.328999999998</v>
      </c>
    </row>
    <row r="10" spans="1:38" ht="12.75" customHeight="1">
      <c r="A10" s="1" t="s">
        <v>25</v>
      </c>
      <c r="B10" s="1">
        <v>103425</v>
      </c>
      <c r="C10" s="1">
        <v>105098</v>
      </c>
      <c r="D10" s="1">
        <v>109949</v>
      </c>
      <c r="I10" s="1">
        <v>191992.65700000001</v>
      </c>
      <c r="J10" s="126">
        <v>236458.715</v>
      </c>
      <c r="K10" s="1">
        <v>259500.48300000001</v>
      </c>
      <c r="L10" s="1">
        <v>272330.11300000001</v>
      </c>
      <c r="M10" s="1">
        <v>280412.35100000002</v>
      </c>
      <c r="N10" s="1">
        <v>278638.65100000001</v>
      </c>
      <c r="O10" s="1">
        <v>413757.48200000002</v>
      </c>
      <c r="R10" s="24">
        <v>351197.52899999998</v>
      </c>
      <c r="S10" s="1">
        <v>428831.60600000003</v>
      </c>
      <c r="T10" s="44">
        <v>410739.386</v>
      </c>
      <c r="U10" s="1">
        <v>250656.66099999999</v>
      </c>
      <c r="V10" s="1">
        <v>273986.47499999998</v>
      </c>
      <c r="W10" s="126">
        <v>409296.61</v>
      </c>
      <c r="X10" s="126">
        <v>313119.10200000001</v>
      </c>
      <c r="Y10" s="126">
        <v>367760.00099999999</v>
      </c>
      <c r="Z10" s="126">
        <v>382702.92800000001</v>
      </c>
      <c r="AA10" s="126">
        <v>802451.86399999994</v>
      </c>
      <c r="AB10" s="126">
        <v>970812.66700000002</v>
      </c>
      <c r="AC10" s="126">
        <v>1062058</v>
      </c>
      <c r="AD10" s="1">
        <v>1116949.686</v>
      </c>
      <c r="AE10" s="1">
        <v>1090198.1869999999</v>
      </c>
      <c r="AF10" s="1">
        <v>1073761.8030000001</v>
      </c>
      <c r="AG10" s="1">
        <v>1067554.439</v>
      </c>
      <c r="AH10" s="1">
        <v>1164344.169</v>
      </c>
      <c r="AI10" s="1">
        <v>1039790.7830000001</v>
      </c>
      <c r="AK10" s="1">
        <v>1637175.297</v>
      </c>
      <c r="AL10" s="1">
        <v>1016044.9790000001</v>
      </c>
    </row>
    <row r="11" spans="1:38" ht="12.75" customHeight="1">
      <c r="A11" s="1" t="s">
        <v>26</v>
      </c>
      <c r="B11" s="1">
        <v>21081</v>
      </c>
      <c r="C11" s="1">
        <v>22007</v>
      </c>
      <c r="D11" s="1">
        <v>23080</v>
      </c>
      <c r="I11" s="1">
        <v>52361.245000000003</v>
      </c>
      <c r="J11" s="126">
        <v>60150.311999999998</v>
      </c>
      <c r="K11" s="1">
        <v>72466.706999999995</v>
      </c>
      <c r="L11" s="1">
        <v>79711.323999999993</v>
      </c>
      <c r="M11" s="1">
        <v>83785.682000000001</v>
      </c>
      <c r="N11" s="1">
        <v>76399.361999999994</v>
      </c>
      <c r="O11" s="1">
        <v>107175.03069</v>
      </c>
      <c r="R11" s="24">
        <v>123054.912</v>
      </c>
      <c r="S11" s="1">
        <v>142280.122</v>
      </c>
      <c r="T11" s="44">
        <v>182934.274</v>
      </c>
      <c r="U11" s="1">
        <v>150043.59700000001</v>
      </c>
      <c r="V11" s="1">
        <v>168743.72500000001</v>
      </c>
      <c r="W11" s="126">
        <v>211938.258</v>
      </c>
      <c r="X11" s="126">
        <v>198586.42499999999</v>
      </c>
      <c r="Y11" s="126">
        <v>190515.64</v>
      </c>
      <c r="Z11" s="126">
        <v>207724.538</v>
      </c>
      <c r="AA11" s="126">
        <v>181865.17199999999</v>
      </c>
      <c r="AB11" s="126">
        <v>444410.39799999999</v>
      </c>
      <c r="AC11" s="126">
        <v>496531</v>
      </c>
      <c r="AD11" s="1">
        <v>495200.565</v>
      </c>
      <c r="AE11" s="1">
        <v>429084.67700000003</v>
      </c>
      <c r="AF11" s="1">
        <v>214353.766</v>
      </c>
      <c r="AG11" s="1">
        <v>220976.90700000001</v>
      </c>
      <c r="AH11" s="1">
        <v>442975.88099999999</v>
      </c>
      <c r="AI11" s="1">
        <v>193593.40599999999</v>
      </c>
      <c r="AK11" s="1">
        <v>237326.37899999999</v>
      </c>
      <c r="AL11" s="1">
        <v>161971.231</v>
      </c>
    </row>
    <row r="12" spans="1:38" ht="12.75" customHeight="1">
      <c r="A12" s="1" t="s">
        <v>27</v>
      </c>
      <c r="B12" s="1">
        <v>9140</v>
      </c>
      <c r="C12" s="1">
        <v>9780</v>
      </c>
      <c r="D12" s="1">
        <v>10505</v>
      </c>
      <c r="I12" s="1">
        <v>23670.166000000001</v>
      </c>
      <c r="J12" s="126">
        <v>28581.531999999999</v>
      </c>
      <c r="K12" s="1">
        <v>30455.523000000001</v>
      </c>
      <c r="L12" s="1">
        <v>35254.294000000002</v>
      </c>
      <c r="M12" s="1">
        <v>37050.718999999997</v>
      </c>
      <c r="N12" s="1">
        <v>37145.711000000003</v>
      </c>
      <c r="O12" s="1">
        <v>65410.008000000002</v>
      </c>
      <c r="R12" s="18">
        <v>70350.354000000007</v>
      </c>
      <c r="S12" s="1">
        <v>66705.114000000001</v>
      </c>
      <c r="T12" s="44">
        <v>12939.459000000001</v>
      </c>
      <c r="U12" s="1">
        <v>8540.2739999999994</v>
      </c>
      <c r="V12" s="1">
        <v>9885.8670000000002</v>
      </c>
      <c r="W12" s="126">
        <v>133154.56200000001</v>
      </c>
      <c r="X12" s="126">
        <v>71764.188999999998</v>
      </c>
      <c r="Y12" s="126">
        <v>84972.577000000005</v>
      </c>
      <c r="Z12" s="126">
        <v>91628.093999999997</v>
      </c>
      <c r="AA12" s="126">
        <v>170802.851</v>
      </c>
      <c r="AB12" s="126">
        <v>222392.84400000001</v>
      </c>
      <c r="AC12" s="126">
        <v>244906</v>
      </c>
      <c r="AD12" s="1">
        <v>242384.068</v>
      </c>
      <c r="AE12" s="1">
        <v>238020.06400000001</v>
      </c>
      <c r="AF12" s="1">
        <v>213076.568</v>
      </c>
      <c r="AG12" s="1">
        <v>205168.177</v>
      </c>
      <c r="AH12" s="1">
        <v>216242.40700000001</v>
      </c>
      <c r="AI12" s="1">
        <v>197212.12899999999</v>
      </c>
      <c r="AK12" s="1">
        <v>272498.64899999998</v>
      </c>
      <c r="AL12" s="1">
        <v>217626.02100000001</v>
      </c>
    </row>
    <row r="13" spans="1:38" ht="12.75" customHeight="1">
      <c r="A13" s="1" t="s">
        <v>28</v>
      </c>
      <c r="B13" s="1">
        <v>5732</v>
      </c>
      <c r="C13" s="1">
        <v>6131</v>
      </c>
      <c r="D13" s="1">
        <v>7219</v>
      </c>
      <c r="I13" s="1">
        <v>18089.472000000002</v>
      </c>
      <c r="J13" s="126">
        <v>21397.758999999998</v>
      </c>
      <c r="K13" s="1">
        <v>23602.652999999998</v>
      </c>
      <c r="L13" s="1">
        <v>25962.043000000001</v>
      </c>
      <c r="M13" s="1">
        <v>26131.919999999998</v>
      </c>
      <c r="N13" s="1">
        <v>38548.442000000003</v>
      </c>
      <c r="O13" s="1">
        <v>56873.512980000007</v>
      </c>
      <c r="R13" s="18">
        <v>36009.243999999999</v>
      </c>
      <c r="S13" s="1">
        <v>41840.47</v>
      </c>
      <c r="T13" s="44">
        <v>52112.639999999999</v>
      </c>
      <c r="U13" s="1">
        <v>36602.913999999997</v>
      </c>
      <c r="V13" s="1">
        <v>45761.061999999998</v>
      </c>
      <c r="W13" s="126">
        <v>91900.097999999998</v>
      </c>
      <c r="X13" s="126">
        <v>38686.014000000003</v>
      </c>
      <c r="Y13" s="126">
        <v>57276.417000000001</v>
      </c>
      <c r="Z13" s="126">
        <v>65315.275000000001</v>
      </c>
      <c r="AA13" s="126">
        <v>89967.354000000007</v>
      </c>
      <c r="AB13" s="126">
        <v>125961.52</v>
      </c>
      <c r="AC13" s="126">
        <v>157606</v>
      </c>
      <c r="AD13" s="1">
        <v>176293.04199999999</v>
      </c>
      <c r="AE13" s="1">
        <v>179395.33600000001</v>
      </c>
      <c r="AF13" s="1">
        <v>164378.739</v>
      </c>
      <c r="AG13" s="1">
        <v>176613.68900000001</v>
      </c>
      <c r="AH13" s="1">
        <v>232986.18299999999</v>
      </c>
      <c r="AI13" s="1">
        <v>177637.04500000001</v>
      </c>
      <c r="AK13" s="1">
        <v>249279.022</v>
      </c>
      <c r="AL13" s="1">
        <v>185870.095</v>
      </c>
    </row>
    <row r="14" spans="1:38" ht="12.75" customHeight="1">
      <c r="A14" s="1" t="s">
        <v>29</v>
      </c>
      <c r="B14" s="1">
        <v>56467</v>
      </c>
      <c r="C14" s="1">
        <v>57299</v>
      </c>
      <c r="D14" s="1">
        <v>58413</v>
      </c>
      <c r="I14" s="1">
        <v>97111.354000000007</v>
      </c>
      <c r="J14" s="126">
        <v>93224.395000000004</v>
      </c>
      <c r="K14" s="1">
        <v>130734.895</v>
      </c>
      <c r="L14" s="1">
        <v>137112.01699999999</v>
      </c>
      <c r="M14" s="1">
        <v>113758.068</v>
      </c>
      <c r="N14" s="1">
        <v>147748.989</v>
      </c>
      <c r="O14" s="1">
        <v>186955.18799999999</v>
      </c>
      <c r="R14" s="18">
        <v>189505.63</v>
      </c>
      <c r="S14" s="1">
        <v>197619.71100000001</v>
      </c>
      <c r="T14" s="44">
        <v>208048.20199999999</v>
      </c>
      <c r="U14" s="1">
        <v>190191.701</v>
      </c>
      <c r="V14" s="1">
        <v>209462.823</v>
      </c>
      <c r="W14" s="126">
        <v>281788.26199999999</v>
      </c>
      <c r="X14" s="126">
        <v>241697.008</v>
      </c>
      <c r="Y14" s="126">
        <v>256871.106</v>
      </c>
      <c r="Z14" s="126">
        <v>265207.49800000002</v>
      </c>
      <c r="AA14" s="126">
        <v>353592.43800000002</v>
      </c>
      <c r="AB14" s="126">
        <v>406520.22600000002</v>
      </c>
      <c r="AC14" s="126">
        <v>442066</v>
      </c>
      <c r="AD14" s="1">
        <v>457011.05099999998</v>
      </c>
      <c r="AE14" s="1">
        <v>460106.49599999998</v>
      </c>
      <c r="AF14" s="1">
        <v>454832.72899999999</v>
      </c>
      <c r="AG14" s="1">
        <v>450728.462</v>
      </c>
      <c r="AH14" s="1">
        <v>441658.96600000001</v>
      </c>
      <c r="AI14" s="1">
        <v>439517.94900000002</v>
      </c>
      <c r="AK14" s="1">
        <v>498813.761</v>
      </c>
      <c r="AL14" s="1">
        <v>419627.73599999998</v>
      </c>
    </row>
    <row r="15" spans="1:38" ht="12.75" customHeight="1">
      <c r="A15" s="1" t="s">
        <v>30</v>
      </c>
      <c r="B15" s="1">
        <v>20394</v>
      </c>
      <c r="C15" s="1">
        <v>20780</v>
      </c>
      <c r="D15" s="1">
        <v>21383</v>
      </c>
      <c r="I15" s="1">
        <v>37873.696000000004</v>
      </c>
      <c r="J15" s="126">
        <v>43816.425999999999</v>
      </c>
      <c r="K15" s="1">
        <v>49338.101999999999</v>
      </c>
      <c r="L15" s="1">
        <v>49228.4</v>
      </c>
      <c r="M15" s="1">
        <v>49918.356</v>
      </c>
      <c r="N15" s="1">
        <v>50752.277000000002</v>
      </c>
      <c r="O15" s="1">
        <v>93253.566999999995</v>
      </c>
      <c r="R15" s="18">
        <v>60811.716999999997</v>
      </c>
      <c r="S15" s="1">
        <v>66455.98</v>
      </c>
      <c r="T15" s="44">
        <v>84066.65</v>
      </c>
      <c r="U15" s="1">
        <v>66662.357000000004</v>
      </c>
      <c r="V15" s="1">
        <v>49200.868000000002</v>
      </c>
      <c r="W15" s="126">
        <v>108361.227</v>
      </c>
      <c r="X15" s="126">
        <v>64556.24</v>
      </c>
      <c r="Y15" s="126">
        <v>70219.858999999997</v>
      </c>
      <c r="Z15" s="126">
        <v>72277.811000000002</v>
      </c>
      <c r="AA15" s="126">
        <v>132580.27600000001</v>
      </c>
      <c r="AB15" s="126">
        <v>155712.274</v>
      </c>
      <c r="AC15" s="126">
        <v>177256</v>
      </c>
      <c r="AD15" s="1">
        <v>174772.93799999999</v>
      </c>
      <c r="AE15" s="1">
        <v>165647.93</v>
      </c>
      <c r="AF15" s="1">
        <v>187113.84700000001</v>
      </c>
      <c r="AG15" s="1">
        <v>196147.32199999999</v>
      </c>
      <c r="AH15" s="1">
        <v>200760.79399999999</v>
      </c>
      <c r="AI15" s="1">
        <v>206871.215</v>
      </c>
      <c r="AK15" s="1">
        <v>351897.11800000002</v>
      </c>
      <c r="AL15" s="1">
        <v>237393.15</v>
      </c>
    </row>
    <row r="16" spans="1:38" ht="12.75" customHeight="1">
      <c r="A16" s="1" t="s">
        <v>31</v>
      </c>
      <c r="B16" s="1">
        <v>19213</v>
      </c>
      <c r="C16" s="1">
        <v>18525</v>
      </c>
      <c r="D16" s="1">
        <v>19693</v>
      </c>
      <c r="I16" s="1">
        <v>43577.216999999997</v>
      </c>
      <c r="J16" s="126">
        <v>64783.707999999999</v>
      </c>
      <c r="K16" s="1">
        <v>72909.763000000006</v>
      </c>
      <c r="L16" s="1">
        <v>73652.046000000002</v>
      </c>
      <c r="M16" s="1">
        <v>74470.138999999996</v>
      </c>
      <c r="N16" s="1">
        <v>75322.975000000006</v>
      </c>
      <c r="O16" s="1">
        <v>122266.75818999999</v>
      </c>
      <c r="R16" s="18">
        <v>134971.16099999999</v>
      </c>
      <c r="S16" s="1">
        <v>145758.76</v>
      </c>
      <c r="T16" s="1">
        <v>145574.144</v>
      </c>
      <c r="U16" s="1">
        <v>131610.44699999999</v>
      </c>
      <c r="V16" s="1">
        <v>133059.93900000001</v>
      </c>
      <c r="W16" s="126">
        <v>193991.09700000001</v>
      </c>
      <c r="X16" s="126">
        <v>144188.908</v>
      </c>
      <c r="Y16" s="126">
        <v>147709.08199999999</v>
      </c>
      <c r="Z16" s="126">
        <v>157515.69</v>
      </c>
      <c r="AA16" s="126">
        <v>242470.579</v>
      </c>
      <c r="AB16" s="126">
        <v>326681.245</v>
      </c>
      <c r="AC16" s="126">
        <v>376958</v>
      </c>
      <c r="AD16" s="1">
        <v>415350.14199999999</v>
      </c>
      <c r="AE16" s="1">
        <v>424545.88199999998</v>
      </c>
      <c r="AF16" s="1">
        <v>418610.342</v>
      </c>
      <c r="AG16" s="1">
        <v>405235.19500000001</v>
      </c>
      <c r="AH16" s="1">
        <v>395691.81400000001</v>
      </c>
      <c r="AI16" s="1">
        <v>394941.902</v>
      </c>
      <c r="AK16" s="1">
        <v>637549.06499999994</v>
      </c>
      <c r="AL16" s="1">
        <v>378587.69699999999</v>
      </c>
    </row>
    <row r="17" spans="1:38" ht="12.75" customHeight="1">
      <c r="A17" s="1" t="s">
        <v>32</v>
      </c>
      <c r="B17" s="1">
        <v>11245</v>
      </c>
      <c r="C17" s="1">
        <v>11921</v>
      </c>
      <c r="D17" s="1">
        <v>12169</v>
      </c>
      <c r="I17" s="1">
        <v>28226.473000000002</v>
      </c>
      <c r="J17" s="126">
        <v>33815.892</v>
      </c>
      <c r="K17" s="1">
        <v>33567.339</v>
      </c>
      <c r="L17" s="1">
        <v>36588.175999999999</v>
      </c>
      <c r="M17" s="1">
        <v>36848.103000000003</v>
      </c>
      <c r="N17" s="1">
        <v>38093.519999999997</v>
      </c>
      <c r="O17" s="1">
        <v>67964.548330000005</v>
      </c>
      <c r="R17" s="18">
        <v>46833.887999999999</v>
      </c>
      <c r="S17" s="1">
        <v>52051.356</v>
      </c>
      <c r="T17" s="1">
        <v>59832.747000000003</v>
      </c>
      <c r="U17" s="1">
        <v>43340.180999999997</v>
      </c>
      <c r="V17" s="1">
        <v>45502.302000000003</v>
      </c>
      <c r="W17" s="126">
        <v>84061.046000000002</v>
      </c>
      <c r="X17" s="126">
        <v>56835.86</v>
      </c>
      <c r="Y17" s="126">
        <v>56139.531000000003</v>
      </c>
      <c r="Z17" s="126">
        <v>67866.217000000004</v>
      </c>
      <c r="AA17" s="126">
        <v>127890.55100000001</v>
      </c>
      <c r="AB17" s="126">
        <v>143700.647</v>
      </c>
      <c r="AC17" s="126">
        <v>157802</v>
      </c>
      <c r="AD17" s="1">
        <v>162773.97</v>
      </c>
      <c r="AE17" s="1">
        <v>162558.01999999999</v>
      </c>
      <c r="AF17" s="1">
        <v>149351.34700000001</v>
      </c>
      <c r="AG17" s="1">
        <v>154361.63</v>
      </c>
      <c r="AH17" s="1">
        <v>166053.47899999999</v>
      </c>
      <c r="AI17" s="1">
        <v>176105.03899999999</v>
      </c>
      <c r="AK17" s="1">
        <v>257099.549</v>
      </c>
      <c r="AL17" s="1">
        <v>182559.598</v>
      </c>
    </row>
    <row r="18" spans="1:38" ht="12.75" customHeight="1">
      <c r="A18" s="1" t="s">
        <v>33</v>
      </c>
      <c r="B18" s="1">
        <v>22425</v>
      </c>
      <c r="C18" s="1">
        <v>22421</v>
      </c>
      <c r="D18" s="1">
        <v>23752</v>
      </c>
      <c r="I18" s="1">
        <v>42350.235999999997</v>
      </c>
      <c r="J18" s="126">
        <v>51431.567000000003</v>
      </c>
      <c r="K18" s="1">
        <v>55916.612000000001</v>
      </c>
      <c r="L18" s="1">
        <v>61267.714999999997</v>
      </c>
      <c r="M18" s="1">
        <v>63131.442000000003</v>
      </c>
      <c r="N18" s="1">
        <v>67209.994000000006</v>
      </c>
      <c r="O18" s="1">
        <v>100836.77899999999</v>
      </c>
      <c r="R18" s="18">
        <v>92108.251000000004</v>
      </c>
      <c r="S18" s="1">
        <v>100424.01700000001</v>
      </c>
      <c r="T18" s="1">
        <v>136387.76999999999</v>
      </c>
      <c r="U18" s="1">
        <v>93884.743000000002</v>
      </c>
      <c r="V18" s="1">
        <v>109974.001</v>
      </c>
      <c r="W18" s="126">
        <v>225398.59</v>
      </c>
      <c r="X18" s="126">
        <v>136195.68799999999</v>
      </c>
      <c r="Y18" s="126">
        <v>150282.894</v>
      </c>
      <c r="Z18" s="126">
        <v>173024.89199999999</v>
      </c>
      <c r="AA18" s="126">
        <v>309050.25400000002</v>
      </c>
      <c r="AB18" s="126">
        <v>361440.99599999998</v>
      </c>
      <c r="AC18" s="126">
        <v>383019</v>
      </c>
      <c r="AD18" s="1">
        <v>393094.80800000002</v>
      </c>
      <c r="AE18" s="1">
        <v>393077.55099999998</v>
      </c>
      <c r="AF18" s="1">
        <v>396261.69900000002</v>
      </c>
      <c r="AG18" s="1">
        <v>392238.761</v>
      </c>
      <c r="AH18" s="1">
        <v>386827.63</v>
      </c>
      <c r="AI18" s="1">
        <v>383622.77299999999</v>
      </c>
      <c r="AK18" s="1">
        <v>490718.68199999997</v>
      </c>
      <c r="AL18" s="1">
        <v>398408.93400000001</v>
      </c>
    </row>
    <row r="19" spans="1:38" ht="12.75" customHeight="1">
      <c r="A19" s="1" t="s">
        <v>34</v>
      </c>
      <c r="B19" s="1">
        <v>18163</v>
      </c>
      <c r="C19" s="1">
        <v>18217</v>
      </c>
      <c r="D19" s="1">
        <v>18774</v>
      </c>
      <c r="I19" s="1">
        <v>44029.284</v>
      </c>
      <c r="J19" s="126">
        <v>51734.252</v>
      </c>
      <c r="K19" s="1">
        <v>56575.27</v>
      </c>
      <c r="L19" s="1">
        <v>58425.457000000002</v>
      </c>
      <c r="M19" s="1">
        <v>60098.461000000003</v>
      </c>
      <c r="N19" s="1">
        <v>61943.849000000002</v>
      </c>
      <c r="O19" s="1">
        <v>96474.486999999994</v>
      </c>
      <c r="R19" s="24">
        <v>83441.400999999998</v>
      </c>
      <c r="S19" s="1">
        <v>90997.865999999995</v>
      </c>
      <c r="T19" s="1">
        <v>106093.11599999999</v>
      </c>
      <c r="U19" s="1">
        <v>78255.63</v>
      </c>
      <c r="V19" s="1">
        <v>94586.888999999996</v>
      </c>
      <c r="W19" s="126">
        <v>147615.37</v>
      </c>
      <c r="X19" s="126">
        <v>104225.554</v>
      </c>
      <c r="Y19" s="126">
        <v>109980.435</v>
      </c>
      <c r="Z19" s="126">
        <v>119155.243</v>
      </c>
      <c r="AA19" s="126">
        <v>205588.995</v>
      </c>
      <c r="AB19" s="126">
        <v>249058.851</v>
      </c>
      <c r="AC19" s="126">
        <v>275176</v>
      </c>
      <c r="AD19" s="1">
        <v>290441.35499999998</v>
      </c>
      <c r="AE19" s="1">
        <v>288952.03100000002</v>
      </c>
      <c r="AF19" s="1">
        <v>282002.75599999999</v>
      </c>
      <c r="AG19" s="1">
        <v>284827.59499999997</v>
      </c>
      <c r="AH19" s="1">
        <v>288643.48499999999</v>
      </c>
      <c r="AI19" s="1">
        <v>287835.826</v>
      </c>
      <c r="AK19" s="1">
        <v>416419.18900000001</v>
      </c>
      <c r="AL19" s="1">
        <v>316212.62300000002</v>
      </c>
    </row>
    <row r="20" spans="1:38" ht="12.75" customHeight="1">
      <c r="A20" s="1" t="s">
        <v>35</v>
      </c>
      <c r="B20" s="1">
        <v>92813</v>
      </c>
      <c r="C20" s="1">
        <v>97581</v>
      </c>
      <c r="D20" s="1">
        <v>119471</v>
      </c>
      <c r="I20" s="1">
        <v>192973.08199999999</v>
      </c>
      <c r="J20" s="126">
        <v>217640.95800000001</v>
      </c>
      <c r="K20" s="1">
        <v>251123.234</v>
      </c>
      <c r="L20" s="1">
        <v>278611.88299999997</v>
      </c>
      <c r="M20" s="1">
        <v>296249.77299999999</v>
      </c>
      <c r="N20" s="1">
        <v>327447.658</v>
      </c>
      <c r="O20" s="1">
        <v>526009.68500000006</v>
      </c>
      <c r="R20" s="18">
        <v>439194.57500000001</v>
      </c>
      <c r="S20" s="1">
        <v>480199.71299999999</v>
      </c>
      <c r="T20" s="1">
        <v>538757.73300000001</v>
      </c>
      <c r="U20" s="1">
        <v>411656.02899999998</v>
      </c>
      <c r="V20" s="1">
        <v>481885.766</v>
      </c>
      <c r="W20" s="126">
        <v>727626.96200000006</v>
      </c>
      <c r="X20" s="126">
        <v>543016.96200000006</v>
      </c>
      <c r="Y20" s="126">
        <v>600705.42799999996</v>
      </c>
      <c r="Z20" s="126">
        <v>634685.14800000004</v>
      </c>
      <c r="AA20" s="126">
        <v>1022248.243</v>
      </c>
      <c r="AB20" s="126">
        <v>1207452.9439999999</v>
      </c>
      <c r="AC20" s="126">
        <v>1346824</v>
      </c>
      <c r="AD20" s="1">
        <v>1441250.1710000001</v>
      </c>
      <c r="AE20" s="1">
        <v>1471969.0930000001</v>
      </c>
      <c r="AF20" s="1">
        <v>1477142.024</v>
      </c>
      <c r="AG20" s="1">
        <v>1476284.1170000001</v>
      </c>
      <c r="AH20" s="1">
        <v>1509544.487</v>
      </c>
      <c r="AI20" s="1">
        <v>1645696.1710000001</v>
      </c>
      <c r="AK20" s="1">
        <v>2349366.0729999999</v>
      </c>
      <c r="AL20" s="1">
        <v>1758544.2450000001</v>
      </c>
    </row>
    <row r="21" spans="1:38" ht="12.75" customHeight="1">
      <c r="A21" s="1" t="s">
        <v>36</v>
      </c>
      <c r="B21" s="1">
        <v>42021</v>
      </c>
      <c r="C21" s="1">
        <v>42607</v>
      </c>
      <c r="D21" s="1">
        <v>47569</v>
      </c>
      <c r="I21" s="1">
        <v>75533.274000000005</v>
      </c>
      <c r="J21" s="126">
        <v>90154.18</v>
      </c>
      <c r="K21" s="1">
        <v>105507.9</v>
      </c>
      <c r="L21" s="1">
        <v>114323.889</v>
      </c>
      <c r="M21" s="1">
        <v>116846.217</v>
      </c>
      <c r="N21" s="1">
        <v>120798.74</v>
      </c>
      <c r="O21" s="1">
        <v>159447.76199999999</v>
      </c>
      <c r="R21" s="18">
        <v>128626.018</v>
      </c>
      <c r="S21" s="1">
        <v>130544.666</v>
      </c>
      <c r="T21" s="1">
        <v>145303.04800000001</v>
      </c>
      <c r="U21" s="1">
        <v>138723.97200000001</v>
      </c>
      <c r="V21" s="1">
        <v>166097.492</v>
      </c>
      <c r="W21" s="126">
        <v>216897.606</v>
      </c>
      <c r="X21" s="126">
        <v>194376.21900000001</v>
      </c>
      <c r="Y21" s="126">
        <v>214418.62</v>
      </c>
      <c r="Z21" s="126">
        <v>237274.753</v>
      </c>
      <c r="AA21" s="126">
        <v>335565.549</v>
      </c>
      <c r="AB21" s="126">
        <v>424937.45500000002</v>
      </c>
      <c r="AC21" s="126">
        <v>488461</v>
      </c>
      <c r="AD21" s="1">
        <v>543038.81299999997</v>
      </c>
      <c r="AE21" s="1">
        <v>543917.353</v>
      </c>
      <c r="AF21" s="1">
        <v>552209.22900000005</v>
      </c>
      <c r="AG21" s="1">
        <v>543002.04599999997</v>
      </c>
      <c r="AH21" s="1">
        <v>542781.64300000004</v>
      </c>
      <c r="AI21" s="1">
        <v>543896.875</v>
      </c>
      <c r="AK21" s="1">
        <v>621942.32999999996</v>
      </c>
      <c r="AL21" s="1">
        <v>502801.58799999999</v>
      </c>
    </row>
    <row r="22" spans="1:38" ht="12.75" customHeight="1">
      <c r="A22" s="27" t="s">
        <v>37</v>
      </c>
      <c r="B22" s="27">
        <v>3419</v>
      </c>
      <c r="C22" s="27">
        <v>3209</v>
      </c>
      <c r="D22" s="27">
        <v>3636</v>
      </c>
      <c r="E22" s="27"/>
      <c r="F22" s="27"/>
      <c r="G22" s="27"/>
      <c r="H22" s="27"/>
      <c r="I22" s="27">
        <v>5743.4080000000004</v>
      </c>
      <c r="J22" s="127">
        <v>6632.8469999999998</v>
      </c>
      <c r="K22" s="27">
        <v>6615.98</v>
      </c>
      <c r="L22" s="27">
        <v>7257.2920000000004</v>
      </c>
      <c r="M22" s="27">
        <v>7914.5159999999996</v>
      </c>
      <c r="N22" s="27">
        <v>7993.5360000000001</v>
      </c>
      <c r="O22" s="27">
        <v>11597.61412</v>
      </c>
      <c r="P22" s="27"/>
      <c r="Q22" s="27"/>
      <c r="R22" s="27">
        <v>7192.1880000000001</v>
      </c>
      <c r="S22" s="27">
        <v>8175.6760000000004</v>
      </c>
      <c r="T22" s="27">
        <v>8022.143</v>
      </c>
      <c r="U22" s="27">
        <v>4873.2700000000004</v>
      </c>
      <c r="V22" s="27">
        <v>3316.442</v>
      </c>
      <c r="W22" s="127">
        <v>20875.870999999999</v>
      </c>
      <c r="X22" s="127">
        <v>10751.218999999999</v>
      </c>
      <c r="Y22" s="127">
        <v>16137.647999999999</v>
      </c>
      <c r="Z22" s="127">
        <v>18129.392</v>
      </c>
      <c r="AA22" s="127">
        <v>34788.872000000003</v>
      </c>
      <c r="AB22" s="127">
        <v>54470.521000000001</v>
      </c>
      <c r="AC22" s="127">
        <v>60428</v>
      </c>
      <c r="AD22" s="27">
        <v>62079.071000000004</v>
      </c>
      <c r="AE22" s="27">
        <v>64724.336000000003</v>
      </c>
      <c r="AF22" s="27">
        <v>65520.81</v>
      </c>
      <c r="AG22" s="27">
        <v>59058.112000000001</v>
      </c>
      <c r="AH22" s="27">
        <v>58769.116000000002</v>
      </c>
      <c r="AI22" s="27">
        <v>57818.767</v>
      </c>
      <c r="AJ22" s="27"/>
      <c r="AK22" s="1">
        <v>68772.850999999995</v>
      </c>
      <c r="AL22" s="1">
        <v>55503.99</v>
      </c>
    </row>
    <row r="23" spans="1:38" ht="12.75" customHeight="1">
      <c r="A23" s="6" t="s">
        <v>38</v>
      </c>
      <c r="B23" s="51">
        <f>SUM(B25:B37)</f>
        <v>0</v>
      </c>
      <c r="C23" s="51">
        <f t="shared" ref="C23:AL23" si="14">SUM(C25:C37)</f>
        <v>0</v>
      </c>
      <c r="D23" s="51">
        <f t="shared" si="14"/>
        <v>0</v>
      </c>
      <c r="E23" s="51">
        <f t="shared" si="14"/>
        <v>0</v>
      </c>
      <c r="F23" s="51">
        <f t="shared" si="14"/>
        <v>0</v>
      </c>
      <c r="G23" s="51">
        <f t="shared" si="14"/>
        <v>0</v>
      </c>
      <c r="H23" s="51">
        <f t="shared" si="14"/>
        <v>0</v>
      </c>
      <c r="I23" s="51">
        <f t="shared" si="14"/>
        <v>0</v>
      </c>
      <c r="J23" s="51">
        <f t="shared" si="14"/>
        <v>598262.91499999992</v>
      </c>
      <c r="K23" s="51">
        <f t="shared" si="14"/>
        <v>0</v>
      </c>
      <c r="L23" s="51">
        <f t="shared" si="14"/>
        <v>0</v>
      </c>
      <c r="M23" s="51">
        <f t="shared" si="14"/>
        <v>817923.21199999994</v>
      </c>
      <c r="N23" s="51">
        <f t="shared" si="14"/>
        <v>0</v>
      </c>
      <c r="O23" s="51">
        <f t="shared" si="14"/>
        <v>1455164.2268000001</v>
      </c>
      <c r="P23" s="51">
        <f t="shared" si="14"/>
        <v>0</v>
      </c>
      <c r="Q23" s="51">
        <f t="shared" si="14"/>
        <v>0</v>
      </c>
      <c r="R23" s="51">
        <f t="shared" si="14"/>
        <v>1010875.9000000001</v>
      </c>
      <c r="S23" s="51">
        <f t="shared" si="14"/>
        <v>1069496.3180000002</v>
      </c>
      <c r="T23" s="51">
        <f t="shared" si="14"/>
        <v>1183834.1769999999</v>
      </c>
      <c r="U23" s="51">
        <f t="shared" si="14"/>
        <v>1179963.3470000001</v>
      </c>
      <c r="V23" s="51">
        <f t="shared" si="14"/>
        <v>1191992.2509999999</v>
      </c>
      <c r="W23" s="51">
        <f t="shared" si="14"/>
        <v>2001934.2650000004</v>
      </c>
      <c r="X23" s="51">
        <f t="shared" si="14"/>
        <v>1504790.1439999996</v>
      </c>
      <c r="Y23" s="51">
        <f t="shared" si="14"/>
        <v>1516244.0989999997</v>
      </c>
      <c r="Z23" s="51">
        <f t="shared" si="14"/>
        <v>1564973.423</v>
      </c>
      <c r="AA23" s="51">
        <f t="shared" si="14"/>
        <v>2587338.3689999999</v>
      </c>
      <c r="AB23" s="51">
        <f t="shared" si="14"/>
        <v>3101073.2880000002</v>
      </c>
      <c r="AC23" s="51">
        <f t="shared" si="14"/>
        <v>3445475</v>
      </c>
      <c r="AD23" s="51">
        <f t="shared" si="14"/>
        <v>3712644.1660000002</v>
      </c>
      <c r="AE23" s="51">
        <f t="shared" si="14"/>
        <v>3925123.4220000003</v>
      </c>
      <c r="AF23" s="51">
        <f t="shared" si="14"/>
        <v>2796163.0049999999</v>
      </c>
      <c r="AG23" s="51">
        <f t="shared" si="14"/>
        <v>2775745.7089999998</v>
      </c>
      <c r="AH23" s="51">
        <f t="shared" si="14"/>
        <v>3762194.4550000001</v>
      </c>
      <c r="AI23" s="51">
        <f t="shared" si="14"/>
        <v>3800335.6870000004</v>
      </c>
      <c r="AJ23" s="51">
        <f t="shared" si="14"/>
        <v>0</v>
      </c>
      <c r="AK23" s="131">
        <f t="shared" si="14"/>
        <v>6437154.0829999996</v>
      </c>
      <c r="AL23" s="131">
        <f t="shared" si="14"/>
        <v>3900842.7220000001</v>
      </c>
    </row>
    <row r="24" spans="1:38" ht="12.75" customHeight="1">
      <c r="A24" s="6" t="s">
        <v>94</v>
      </c>
    </row>
    <row r="25" spans="1:38" ht="12.75" customHeight="1">
      <c r="A25" s="1" t="s">
        <v>39</v>
      </c>
      <c r="J25" s="126">
        <v>191.28800000000001</v>
      </c>
      <c r="M25" s="1">
        <v>500.79500000000002</v>
      </c>
      <c r="O25" s="1">
        <v>724.88599999999997</v>
      </c>
      <c r="R25" s="18">
        <v>576.41</v>
      </c>
      <c r="S25" s="1">
        <v>413.75900000000001</v>
      </c>
      <c r="T25" s="1">
        <v>531.30399999999997</v>
      </c>
      <c r="U25" s="1">
        <v>578.96900000000005</v>
      </c>
      <c r="V25" s="1">
        <v>572.40499999999997</v>
      </c>
      <c r="W25" s="126">
        <v>436.221</v>
      </c>
      <c r="X25" s="126">
        <v>931.25699999999995</v>
      </c>
      <c r="Y25" s="126">
        <v>945.62800000000004</v>
      </c>
      <c r="Z25" s="126">
        <v>993.64499999999998</v>
      </c>
      <c r="AA25" s="126">
        <v>1065.4770000000001</v>
      </c>
      <c r="AB25" s="126">
        <v>1275.749</v>
      </c>
      <c r="AC25" s="126">
        <v>950</v>
      </c>
      <c r="AD25" s="1">
        <v>1457.88</v>
      </c>
      <c r="AE25" s="1">
        <v>2992.8470000000002</v>
      </c>
      <c r="AH25" s="1">
        <v>336.25799999999998</v>
      </c>
      <c r="AI25" s="1">
        <v>431.78399999999999</v>
      </c>
      <c r="AK25" s="1">
        <v>868.95799999999997</v>
      </c>
      <c r="AL25" s="1">
        <v>644.65700000000004</v>
      </c>
    </row>
    <row r="26" spans="1:38" ht="12.75" customHeight="1">
      <c r="A26" s="1" t="s">
        <v>40</v>
      </c>
      <c r="J26" s="126">
        <v>72520.86</v>
      </c>
      <c r="M26" s="1">
        <v>96151.028999999995</v>
      </c>
      <c r="O26" s="1">
        <v>155576.69537</v>
      </c>
      <c r="R26" s="18">
        <v>132301.87</v>
      </c>
      <c r="S26" s="1">
        <v>141219.38500000001</v>
      </c>
      <c r="T26" s="1">
        <v>144776.53099999999</v>
      </c>
      <c r="U26" s="1">
        <v>124025.37</v>
      </c>
      <c r="V26" s="1">
        <v>142185.74299999999</v>
      </c>
      <c r="W26" s="126">
        <v>210786.432</v>
      </c>
      <c r="X26" s="126">
        <v>173791.23</v>
      </c>
      <c r="Y26" s="126">
        <v>190561.62899999999</v>
      </c>
      <c r="Z26" s="126">
        <v>193933.095</v>
      </c>
      <c r="AA26" s="126">
        <v>284878.56099999999</v>
      </c>
      <c r="AB26" s="126">
        <v>328401.16800000001</v>
      </c>
      <c r="AC26" s="126">
        <v>358035</v>
      </c>
      <c r="AD26" s="1">
        <v>384066.89500000002</v>
      </c>
      <c r="AE26" s="1">
        <v>371633.359</v>
      </c>
      <c r="AF26" s="1">
        <v>71820.216</v>
      </c>
      <c r="AG26" s="1">
        <v>72721.619000000006</v>
      </c>
      <c r="AH26" s="1">
        <v>355806.96500000003</v>
      </c>
      <c r="AI26" s="1">
        <v>349447.26699999999</v>
      </c>
      <c r="AK26" s="1">
        <v>475958.95899999997</v>
      </c>
      <c r="AL26" s="1">
        <v>340274.59499999997</v>
      </c>
    </row>
    <row r="27" spans="1:38" ht="12.75" customHeight="1">
      <c r="A27" s="1" t="s">
        <v>41</v>
      </c>
      <c r="J27" s="126">
        <v>209448.46799999999</v>
      </c>
      <c r="M27" s="1">
        <v>288573.63799999998</v>
      </c>
      <c r="O27" s="1">
        <v>638844.08979999996</v>
      </c>
      <c r="R27" s="18">
        <v>277764.78399999999</v>
      </c>
      <c r="S27" s="1">
        <v>273684.30300000001</v>
      </c>
      <c r="T27" s="1">
        <v>307652.06699999998</v>
      </c>
      <c r="U27" s="1">
        <v>320664.386</v>
      </c>
      <c r="V27" s="1">
        <v>354870.77</v>
      </c>
      <c r="W27" s="126">
        <v>823392.68700000003</v>
      </c>
      <c r="X27" s="126">
        <v>563726.86499999999</v>
      </c>
      <c r="Y27" s="126">
        <v>554853.60800000001</v>
      </c>
      <c r="Z27" s="126">
        <v>548891.91899999999</v>
      </c>
      <c r="AA27" s="126">
        <v>962101.38399999996</v>
      </c>
      <c r="AB27" s="126">
        <v>1168872.53</v>
      </c>
      <c r="AC27" s="126">
        <v>1263672</v>
      </c>
      <c r="AD27" s="1">
        <v>1402169.2120000001</v>
      </c>
      <c r="AE27" s="1">
        <v>1604570.753</v>
      </c>
      <c r="AF27" s="1">
        <v>1195440.0719999999</v>
      </c>
      <c r="AG27" s="1">
        <v>1198715.463</v>
      </c>
      <c r="AH27" s="1">
        <v>1642623.9839999999</v>
      </c>
      <c r="AI27" s="1">
        <v>1631973.186</v>
      </c>
      <c r="AK27" s="1">
        <v>3435687.4219999998</v>
      </c>
      <c r="AL27" s="1">
        <v>1621505.6170000001</v>
      </c>
    </row>
    <row r="28" spans="1:38" ht="12.75" customHeight="1">
      <c r="A28" s="1" t="s">
        <v>42</v>
      </c>
      <c r="J28" s="126">
        <v>60910.754999999997</v>
      </c>
      <c r="M28" s="1">
        <v>84767.127999999997</v>
      </c>
      <c r="O28" s="1">
        <v>116603.17600000001</v>
      </c>
      <c r="R28" s="18">
        <v>106645.242</v>
      </c>
      <c r="S28" s="1">
        <v>112619.484</v>
      </c>
      <c r="T28" s="1">
        <v>121835.62699999999</v>
      </c>
      <c r="U28" s="1">
        <v>96616.137000000002</v>
      </c>
      <c r="V28" s="1">
        <v>107151.17</v>
      </c>
      <c r="W28" s="126">
        <v>148934.10999999999</v>
      </c>
      <c r="X28" s="126">
        <v>178102.70699999999</v>
      </c>
      <c r="Y28" s="126">
        <v>205259.36199999999</v>
      </c>
      <c r="Z28" s="126">
        <v>213665.15900000001</v>
      </c>
      <c r="AA28" s="126">
        <v>284717.19500000001</v>
      </c>
      <c r="AB28" s="126">
        <v>312168.10800000001</v>
      </c>
      <c r="AC28" s="126">
        <v>397858</v>
      </c>
      <c r="AD28" s="1">
        <v>409558.60100000002</v>
      </c>
      <c r="AE28" s="1">
        <v>406409.19199999998</v>
      </c>
      <c r="AF28" s="1">
        <v>169198.576</v>
      </c>
      <c r="AG28" s="1">
        <v>177416.02900000001</v>
      </c>
      <c r="AH28" s="1">
        <v>391900.65100000001</v>
      </c>
      <c r="AI28" s="1">
        <v>400037.35800000001</v>
      </c>
      <c r="AK28" s="1">
        <v>461125.66600000003</v>
      </c>
      <c r="AL28" s="1">
        <v>451538.85499999998</v>
      </c>
    </row>
    <row r="29" spans="1:38" ht="12.75" customHeight="1">
      <c r="A29" s="1" t="s">
        <v>43</v>
      </c>
      <c r="J29" s="126">
        <v>11629.431</v>
      </c>
      <c r="M29" s="1">
        <v>13890.831</v>
      </c>
      <c r="O29" s="1">
        <v>27288.663</v>
      </c>
      <c r="R29" s="18">
        <v>32644.512999999999</v>
      </c>
      <c r="S29" s="1">
        <v>34664.580999999998</v>
      </c>
      <c r="T29" s="1">
        <v>34830.803999999996</v>
      </c>
      <c r="U29" s="1">
        <v>30356.476999999999</v>
      </c>
      <c r="V29" s="1">
        <v>28414.168000000001</v>
      </c>
      <c r="W29" s="126">
        <v>30551.517</v>
      </c>
      <c r="X29" s="126">
        <v>29034.822</v>
      </c>
      <c r="Y29" s="126">
        <v>32179.519</v>
      </c>
      <c r="Z29" s="126">
        <v>36130.572999999997</v>
      </c>
      <c r="AA29" s="126">
        <v>47176.959999999999</v>
      </c>
      <c r="AB29" s="126">
        <v>49081.108</v>
      </c>
      <c r="AC29" s="126">
        <v>71859</v>
      </c>
      <c r="AD29" s="1">
        <v>75927.274000000005</v>
      </c>
      <c r="AE29" s="1">
        <v>77122.777000000002</v>
      </c>
      <c r="AF29" s="1">
        <v>78857.998000000007</v>
      </c>
      <c r="AG29" s="1">
        <v>79855.591</v>
      </c>
      <c r="AH29" s="1">
        <v>79415.414999999994</v>
      </c>
      <c r="AI29" s="1">
        <v>78628.081000000006</v>
      </c>
      <c r="AK29" s="1">
        <v>86926.915999999997</v>
      </c>
      <c r="AL29" s="1">
        <v>72077.785999999993</v>
      </c>
    </row>
    <row r="30" spans="1:38" ht="12.75" customHeight="1">
      <c r="A30" s="1" t="s">
        <v>44</v>
      </c>
      <c r="J30" s="126">
        <v>5676.6580000000004</v>
      </c>
      <c r="M30" s="1">
        <v>8007.8469999999998</v>
      </c>
      <c r="O30" s="1">
        <v>15350.172</v>
      </c>
      <c r="R30" s="18">
        <v>14320.14</v>
      </c>
      <c r="S30" s="1">
        <v>15310.602000000001</v>
      </c>
      <c r="T30" s="1">
        <v>17164.633999999998</v>
      </c>
      <c r="U30" s="1">
        <v>14789.866</v>
      </c>
      <c r="V30" s="1">
        <v>16066.143</v>
      </c>
      <c r="W30" s="126">
        <v>35289.400999999998</v>
      </c>
      <c r="X30" s="126">
        <v>16852.834999999999</v>
      </c>
      <c r="Y30" s="126">
        <v>17662.254000000001</v>
      </c>
      <c r="Z30" s="126">
        <v>16424.307000000001</v>
      </c>
      <c r="AA30" s="126">
        <v>39020.658000000003</v>
      </c>
      <c r="AB30" s="126">
        <v>49278.226000000002</v>
      </c>
      <c r="AC30" s="126">
        <v>57989</v>
      </c>
      <c r="AD30" s="1">
        <v>92034.005000000005</v>
      </c>
      <c r="AE30" s="1">
        <v>66793.273000000001</v>
      </c>
      <c r="AF30" s="1">
        <v>65543.293999999994</v>
      </c>
      <c r="AG30" s="1">
        <v>55605.83</v>
      </c>
      <c r="AH30" s="1">
        <v>58052.857000000004</v>
      </c>
      <c r="AI30" s="1">
        <v>60742.127</v>
      </c>
      <c r="AK30" s="1">
        <v>78817.482000000004</v>
      </c>
      <c r="AL30" s="1">
        <v>69349.793000000005</v>
      </c>
    </row>
    <row r="31" spans="1:38" ht="12.75" customHeight="1">
      <c r="A31" s="1" t="s">
        <v>45</v>
      </c>
      <c r="J31" s="126">
        <v>3266.373</v>
      </c>
      <c r="M31" s="1">
        <v>8317.9789999999994</v>
      </c>
      <c r="O31" s="1">
        <v>12479.69267</v>
      </c>
      <c r="R31" s="24">
        <v>8206.3160000000007</v>
      </c>
      <c r="S31" s="1">
        <v>9252.1910000000007</v>
      </c>
      <c r="T31" s="1">
        <v>10813.7</v>
      </c>
      <c r="U31" s="1">
        <v>11064.992</v>
      </c>
      <c r="V31" s="1">
        <v>12689.601000000001</v>
      </c>
      <c r="W31" s="126">
        <v>16258.942999999999</v>
      </c>
      <c r="X31" s="126">
        <v>13603.833000000001</v>
      </c>
      <c r="Y31" s="126">
        <v>14379.306</v>
      </c>
      <c r="Z31" s="126">
        <v>15130.964</v>
      </c>
      <c r="AA31" s="126">
        <v>21397.841</v>
      </c>
      <c r="AB31" s="126">
        <v>25165.967000000001</v>
      </c>
      <c r="AC31" s="126">
        <v>25843</v>
      </c>
      <c r="AD31" s="1">
        <v>26688.959999999999</v>
      </c>
      <c r="AE31" s="1">
        <v>24463.431</v>
      </c>
      <c r="AF31" s="1">
        <v>24676.583999999999</v>
      </c>
      <c r="AG31" s="1">
        <v>21444.579000000002</v>
      </c>
      <c r="AH31" s="1">
        <v>21866.918000000001</v>
      </c>
      <c r="AI31" s="1">
        <v>22571.045999999998</v>
      </c>
      <c r="AK31" s="1">
        <v>34735.775999999998</v>
      </c>
      <c r="AL31" s="1">
        <v>21649.791000000001</v>
      </c>
    </row>
    <row r="32" spans="1:38" ht="12.75" customHeight="1">
      <c r="A32" s="1" t="s">
        <v>46</v>
      </c>
      <c r="J32" s="126">
        <v>11113.709000000001</v>
      </c>
      <c r="M32" s="1">
        <v>14587.578</v>
      </c>
      <c r="O32" s="1">
        <v>27516</v>
      </c>
      <c r="R32" s="24">
        <v>32983</v>
      </c>
      <c r="S32" s="1">
        <v>36524</v>
      </c>
      <c r="T32" s="1">
        <v>43798</v>
      </c>
      <c r="U32" s="1">
        <v>39234</v>
      </c>
      <c r="V32" s="1">
        <v>12828</v>
      </c>
      <c r="W32" s="126">
        <v>16738.003000000001</v>
      </c>
      <c r="X32" s="126">
        <v>14116</v>
      </c>
      <c r="Y32" s="126">
        <v>11750</v>
      </c>
      <c r="Z32" s="126">
        <v>12644</v>
      </c>
      <c r="AA32" s="126">
        <v>79374.172999999995</v>
      </c>
      <c r="AB32" s="126">
        <v>87485.558000000005</v>
      </c>
      <c r="AC32" s="126">
        <v>96137</v>
      </c>
      <c r="AD32" s="1">
        <v>96860.634999999995</v>
      </c>
      <c r="AE32" s="1">
        <v>97942</v>
      </c>
      <c r="AF32" s="1">
        <v>99332</v>
      </c>
      <c r="AG32" s="1">
        <v>103444</v>
      </c>
      <c r="AH32" s="1">
        <v>104441</v>
      </c>
      <c r="AI32" s="1">
        <v>106758</v>
      </c>
      <c r="AK32" s="1">
        <v>162580</v>
      </c>
      <c r="AL32" s="1">
        <v>123659</v>
      </c>
    </row>
    <row r="33" spans="1:38" ht="12.75" customHeight="1">
      <c r="A33" s="1" t="s">
        <v>47</v>
      </c>
      <c r="J33" s="126">
        <v>16701.455999999998</v>
      </c>
      <c r="M33" s="1">
        <v>23586.933000000001</v>
      </c>
      <c r="O33" s="1">
        <v>43661.825840000005</v>
      </c>
      <c r="R33" s="24">
        <v>31105.040000000001</v>
      </c>
      <c r="S33" s="1">
        <v>32927.720999999998</v>
      </c>
      <c r="T33" s="1">
        <v>36511.764000000003</v>
      </c>
      <c r="U33" s="1">
        <v>28720.334999999999</v>
      </c>
      <c r="V33" s="1">
        <v>31699.405999999999</v>
      </c>
      <c r="W33" s="126">
        <v>52147.347000000002</v>
      </c>
      <c r="X33" s="126">
        <v>38322.527000000002</v>
      </c>
      <c r="Y33" s="126">
        <v>39176.182999999997</v>
      </c>
      <c r="Z33" s="126">
        <v>41268.038</v>
      </c>
      <c r="AA33" s="126">
        <v>71266.913</v>
      </c>
      <c r="AB33" s="126">
        <v>78006.328999999998</v>
      </c>
      <c r="AC33" s="126">
        <v>87110</v>
      </c>
      <c r="AD33" s="1">
        <v>96117.428</v>
      </c>
      <c r="AE33" s="1">
        <v>95635.22</v>
      </c>
      <c r="AF33" s="1">
        <v>60282.406000000003</v>
      </c>
      <c r="AG33" s="1">
        <v>61050.646000000001</v>
      </c>
      <c r="AH33" s="1">
        <v>95348.187999999995</v>
      </c>
      <c r="AI33" s="1">
        <v>95574.687000000005</v>
      </c>
      <c r="AK33" s="1">
        <v>166372.315</v>
      </c>
      <c r="AL33" s="1">
        <v>98152.73</v>
      </c>
    </row>
    <row r="34" spans="1:38" ht="12.75" customHeight="1">
      <c r="A34" s="1" t="s">
        <v>48</v>
      </c>
      <c r="J34" s="126">
        <v>57457.64</v>
      </c>
      <c r="M34" s="1">
        <v>71612.27</v>
      </c>
      <c r="O34" s="1">
        <v>102557.32209999999</v>
      </c>
      <c r="R34" s="18">
        <v>91979.203999999998</v>
      </c>
      <c r="S34" s="1">
        <v>102478.433</v>
      </c>
      <c r="T34" s="1">
        <v>117170.114</v>
      </c>
      <c r="U34" s="1">
        <v>132270.052</v>
      </c>
      <c r="V34" s="1">
        <v>147454.45499999999</v>
      </c>
      <c r="W34" s="126">
        <v>187026.46900000001</v>
      </c>
      <c r="X34" s="126">
        <v>161977.147</v>
      </c>
      <c r="Y34" s="126">
        <v>169260.56099999999</v>
      </c>
      <c r="Z34" s="126">
        <v>183574.26500000001</v>
      </c>
      <c r="AA34" s="126">
        <v>250830.50399999999</v>
      </c>
      <c r="AB34" s="126">
        <v>327544.58199999999</v>
      </c>
      <c r="AC34" s="126">
        <v>361763</v>
      </c>
      <c r="AD34" s="1">
        <v>371783.86599999998</v>
      </c>
      <c r="AE34" s="1">
        <v>354225.50099999999</v>
      </c>
      <c r="AF34" s="1">
        <v>344017.19699999999</v>
      </c>
      <c r="AG34" s="1">
        <v>328037.95799999998</v>
      </c>
      <c r="AH34" s="1">
        <v>312401.96999999997</v>
      </c>
      <c r="AI34" s="1">
        <v>310327.87300000002</v>
      </c>
      <c r="AK34" s="1">
        <v>439640.18400000001</v>
      </c>
      <c r="AL34" s="1">
        <v>314073.52299999999</v>
      </c>
    </row>
    <row r="35" spans="1:38" ht="12.75" customHeight="1">
      <c r="A35" s="1" t="s">
        <v>49</v>
      </c>
      <c r="J35" s="126">
        <v>33118.817000000003</v>
      </c>
      <c r="M35" s="1">
        <v>31918.815999999999</v>
      </c>
      <c r="O35" s="1">
        <v>44466.332000000002</v>
      </c>
      <c r="R35" s="18">
        <v>34614.898000000001</v>
      </c>
      <c r="S35" s="1">
        <v>38367.995999999999</v>
      </c>
      <c r="T35" s="1">
        <v>48429.51</v>
      </c>
      <c r="U35" s="1">
        <v>42170.122000000003</v>
      </c>
      <c r="V35" s="1">
        <v>47992.722000000002</v>
      </c>
      <c r="W35" s="126">
        <v>66195.566000000006</v>
      </c>
      <c r="X35" s="126">
        <v>54756.413</v>
      </c>
      <c r="Y35" s="126">
        <v>59110.807999999997</v>
      </c>
      <c r="Z35" s="126">
        <v>60262.322999999997</v>
      </c>
      <c r="AA35" s="126">
        <v>76002.540999999997</v>
      </c>
      <c r="AB35" s="126">
        <v>116921.861</v>
      </c>
      <c r="AC35" s="126">
        <v>99304</v>
      </c>
      <c r="AD35" s="1">
        <v>90679.592999999993</v>
      </c>
      <c r="AE35" s="1">
        <v>134942.04999999999</v>
      </c>
      <c r="AF35" s="1">
        <v>135769.42199999999</v>
      </c>
      <c r="AG35" s="1">
        <v>135253.66500000001</v>
      </c>
      <c r="AH35" s="1">
        <v>94280.547999999995</v>
      </c>
      <c r="AI35" s="1">
        <v>95695.585999999996</v>
      </c>
      <c r="AK35" s="1">
        <v>113794.262</v>
      </c>
      <c r="AL35" s="1">
        <v>95692.464999999997</v>
      </c>
    </row>
    <row r="36" spans="1:38" ht="12.75" customHeight="1">
      <c r="A36" s="1" t="s">
        <v>50</v>
      </c>
      <c r="J36" s="126">
        <v>106493.291</v>
      </c>
      <c r="M36" s="1">
        <v>163990.443</v>
      </c>
      <c r="O36" s="1">
        <v>249838.11601999999</v>
      </c>
      <c r="R36" s="18">
        <v>230363.92199999999</v>
      </c>
      <c r="S36" s="1">
        <v>254213.736</v>
      </c>
      <c r="T36" s="1">
        <v>281200.152</v>
      </c>
      <c r="U36" s="1">
        <v>323575.7</v>
      </c>
      <c r="V36" s="1">
        <v>272747.11499999999</v>
      </c>
      <c r="W36" s="126">
        <v>389843.85200000001</v>
      </c>
      <c r="X36" s="126">
        <v>238691.11900000001</v>
      </c>
      <c r="Y36" s="126">
        <v>199902.05100000001</v>
      </c>
      <c r="Z36" s="126">
        <v>218296.49</v>
      </c>
      <c r="AA36" s="126">
        <v>435119.06900000002</v>
      </c>
      <c r="AB36" s="126">
        <v>516107.54800000001</v>
      </c>
      <c r="AC36" s="126">
        <v>582164</v>
      </c>
      <c r="AD36" s="1">
        <v>620292.16500000004</v>
      </c>
      <c r="AE36" s="1">
        <v>643648.29700000002</v>
      </c>
      <c r="AF36" s="1">
        <v>504021.33100000001</v>
      </c>
      <c r="AG36" s="1">
        <v>497138.53600000002</v>
      </c>
      <c r="AH36" s="1">
        <v>562123.74699999997</v>
      </c>
      <c r="AI36" s="1">
        <v>601330.478</v>
      </c>
      <c r="AK36" s="1">
        <v>908466.65700000001</v>
      </c>
      <c r="AL36" s="1">
        <v>639725.92000000004</v>
      </c>
    </row>
    <row r="37" spans="1:38" ht="12.75" customHeight="1">
      <c r="A37" s="27" t="s">
        <v>51</v>
      </c>
      <c r="B37" s="27"/>
      <c r="C37" s="27"/>
      <c r="D37" s="27"/>
      <c r="E37" s="27"/>
      <c r="F37" s="27"/>
      <c r="G37" s="27"/>
      <c r="H37" s="27"/>
      <c r="I37" s="27"/>
      <c r="J37" s="127">
        <v>9734.1689999999999</v>
      </c>
      <c r="K37" s="27"/>
      <c r="L37" s="27"/>
      <c r="M37" s="27">
        <v>12017.924999999999</v>
      </c>
      <c r="N37" s="27"/>
      <c r="O37" s="27">
        <v>20257.256000000001</v>
      </c>
      <c r="P37" s="27"/>
      <c r="Q37" s="27"/>
      <c r="R37" s="37">
        <v>17370.561000000002</v>
      </c>
      <c r="S37" s="27">
        <v>17820.127</v>
      </c>
      <c r="T37" s="27">
        <v>19119.97</v>
      </c>
      <c r="U37" s="27">
        <v>15896.941000000001</v>
      </c>
      <c r="V37" s="27">
        <v>17320.553</v>
      </c>
      <c r="W37" s="127">
        <v>24333.717000000001</v>
      </c>
      <c r="X37" s="127">
        <v>20883.388999999999</v>
      </c>
      <c r="Y37" s="127">
        <v>21203.19</v>
      </c>
      <c r="Z37" s="127">
        <v>23758.645</v>
      </c>
      <c r="AA37" s="127">
        <v>34387.093000000001</v>
      </c>
      <c r="AB37" s="127">
        <v>40764.553999999996</v>
      </c>
      <c r="AC37" s="127">
        <v>42791</v>
      </c>
      <c r="AD37" s="27">
        <v>45007.652000000002</v>
      </c>
      <c r="AE37" s="27">
        <v>44744.722000000002</v>
      </c>
      <c r="AF37" s="27">
        <v>47203.909</v>
      </c>
      <c r="AG37" s="27">
        <v>45061.792999999998</v>
      </c>
      <c r="AH37" s="27">
        <v>43595.953999999998</v>
      </c>
      <c r="AI37" s="27">
        <v>46818.214</v>
      </c>
      <c r="AJ37" s="27"/>
      <c r="AK37" s="1">
        <v>72179.486000000004</v>
      </c>
      <c r="AL37" s="1">
        <v>52497.99</v>
      </c>
    </row>
    <row r="38" spans="1:38" ht="12.75" customHeight="1">
      <c r="A38" s="6" t="s">
        <v>52</v>
      </c>
      <c r="B38" s="51">
        <f>SUM(B40:B51)</f>
        <v>0</v>
      </c>
      <c r="C38" s="51">
        <f t="shared" ref="C38:AK38" si="15">SUM(C40:C51)</f>
        <v>0</v>
      </c>
      <c r="D38" s="51">
        <f t="shared" si="15"/>
        <v>0</v>
      </c>
      <c r="E38" s="51">
        <f t="shared" si="15"/>
        <v>0</v>
      </c>
      <c r="F38" s="51">
        <f t="shared" si="15"/>
        <v>0</v>
      </c>
      <c r="G38" s="51">
        <f t="shared" si="15"/>
        <v>0</v>
      </c>
      <c r="H38" s="51">
        <f t="shared" si="15"/>
        <v>0</v>
      </c>
      <c r="I38" s="51">
        <f t="shared" si="15"/>
        <v>0</v>
      </c>
      <c r="J38" s="51">
        <f t="shared" si="15"/>
        <v>1024254.214</v>
      </c>
      <c r="K38" s="51">
        <f t="shared" si="15"/>
        <v>0</v>
      </c>
      <c r="L38" s="51">
        <f t="shared" si="15"/>
        <v>0</v>
      </c>
      <c r="M38" s="51">
        <f t="shared" si="15"/>
        <v>1191278.2059999998</v>
      </c>
      <c r="N38" s="51">
        <f t="shared" si="15"/>
        <v>0</v>
      </c>
      <c r="O38" s="51">
        <f t="shared" si="15"/>
        <v>1718124.2756899998</v>
      </c>
      <c r="P38" s="51">
        <f t="shared" si="15"/>
        <v>0</v>
      </c>
      <c r="Q38" s="51">
        <f t="shared" si="15"/>
        <v>0</v>
      </c>
      <c r="R38" s="51">
        <f t="shared" si="15"/>
        <v>1518220.702</v>
      </c>
      <c r="S38" s="51">
        <f t="shared" si="15"/>
        <v>1612731.9350000003</v>
      </c>
      <c r="T38" s="51">
        <f t="shared" si="15"/>
        <v>1758323.7340000004</v>
      </c>
      <c r="U38" s="51">
        <f t="shared" si="15"/>
        <v>1559462.7949999997</v>
      </c>
      <c r="V38" s="51">
        <f t="shared" si="15"/>
        <v>1683463.2549999999</v>
      </c>
      <c r="W38" s="51">
        <f t="shared" si="15"/>
        <v>2388954.6480000005</v>
      </c>
      <c r="X38" s="51">
        <f t="shared" si="15"/>
        <v>1946281.0890000002</v>
      </c>
      <c r="Y38" s="51">
        <f t="shared" si="15"/>
        <v>2038563.3239999998</v>
      </c>
      <c r="Z38" s="51">
        <f t="shared" si="15"/>
        <v>2149476.3849999998</v>
      </c>
      <c r="AA38" s="51">
        <f t="shared" si="15"/>
        <v>3296065.9860000005</v>
      </c>
      <c r="AB38" s="51">
        <f t="shared" si="15"/>
        <v>3840819.8659999995</v>
      </c>
      <c r="AC38" s="51">
        <f t="shared" si="15"/>
        <v>4215662</v>
      </c>
      <c r="AD38" s="51">
        <f t="shared" si="15"/>
        <v>4237159.5640000012</v>
      </c>
      <c r="AE38" s="51">
        <f t="shared" si="15"/>
        <v>4303909.9119999995</v>
      </c>
      <c r="AF38" s="51">
        <f t="shared" si="15"/>
        <v>3449166.2650000006</v>
      </c>
      <c r="AG38" s="51">
        <f t="shared" si="15"/>
        <v>3390262.4020000007</v>
      </c>
      <c r="AH38" s="51">
        <f t="shared" si="15"/>
        <v>4023313.9759999993</v>
      </c>
      <c r="AI38" s="51">
        <f t="shared" si="15"/>
        <v>3984422.611</v>
      </c>
      <c r="AJ38" s="51">
        <f t="shared" si="15"/>
        <v>0</v>
      </c>
      <c r="AK38" s="131">
        <f t="shared" si="15"/>
        <v>4808842.006000001</v>
      </c>
      <c r="AL38" s="131">
        <f t="shared" ref="AL38" si="16">SUM(AL40:AL51)</f>
        <v>4050660.0690000001</v>
      </c>
    </row>
    <row r="39" spans="1:38" ht="12.75" customHeight="1">
      <c r="A39" s="6" t="s">
        <v>94</v>
      </c>
    </row>
    <row r="40" spans="1:38" ht="12.75" customHeight="1">
      <c r="A40" s="1" t="s">
        <v>53</v>
      </c>
      <c r="J40" s="126">
        <v>198904.071</v>
      </c>
      <c r="M40" s="1">
        <v>242257.18900000001</v>
      </c>
      <c r="O40" s="1">
        <v>342657.40243999998</v>
      </c>
      <c r="R40" s="18">
        <v>312599.86300000001</v>
      </c>
      <c r="S40" s="1">
        <v>330336.11499999999</v>
      </c>
      <c r="T40" s="1">
        <v>369959.54300000001</v>
      </c>
      <c r="U40" s="1">
        <v>309800.29399999999</v>
      </c>
      <c r="V40" s="1">
        <v>329591.50300000003</v>
      </c>
      <c r="W40" s="126">
        <v>473295.67800000001</v>
      </c>
      <c r="X40" s="126">
        <v>385635.88</v>
      </c>
      <c r="Y40" s="126">
        <v>401600.71899999998</v>
      </c>
      <c r="Z40" s="126">
        <v>434223.12</v>
      </c>
      <c r="AA40" s="126">
        <v>641725.68599999999</v>
      </c>
      <c r="AB40" s="126">
        <v>748196.55799999996</v>
      </c>
      <c r="AC40" s="126">
        <v>841408</v>
      </c>
      <c r="AD40" s="1">
        <v>843699.74899999995</v>
      </c>
      <c r="AE40" s="1">
        <v>855486.78399999999</v>
      </c>
      <c r="AF40" s="1">
        <v>529430.22699999996</v>
      </c>
      <c r="AG40" s="1">
        <v>529424.73600000003</v>
      </c>
      <c r="AH40" s="1">
        <v>837263.50800000003</v>
      </c>
      <c r="AI40" s="1">
        <v>838170.91799999995</v>
      </c>
      <c r="AK40" s="1">
        <v>993134.83299999998</v>
      </c>
      <c r="AL40" s="1">
        <v>791702.94</v>
      </c>
    </row>
    <row r="41" spans="1:38" ht="12.75" customHeight="1">
      <c r="A41" s="1" t="s">
        <v>54</v>
      </c>
      <c r="J41" s="126">
        <v>42303.499000000003</v>
      </c>
      <c r="M41" s="1">
        <v>47439.290999999997</v>
      </c>
      <c r="O41" s="1">
        <v>74207.421000000002</v>
      </c>
      <c r="R41" s="18">
        <v>63579.591</v>
      </c>
      <c r="S41" s="1">
        <v>69510.115999999995</v>
      </c>
      <c r="T41" s="1">
        <v>93031.154999999999</v>
      </c>
      <c r="U41" s="1">
        <v>78996.366999999998</v>
      </c>
      <c r="V41" s="1">
        <v>72554.142999999996</v>
      </c>
      <c r="W41" s="126">
        <v>109482.501</v>
      </c>
      <c r="X41" s="126">
        <v>88925.7</v>
      </c>
      <c r="Y41" s="126">
        <v>91951.423999999999</v>
      </c>
      <c r="Z41" s="126">
        <v>114256.91899999999</v>
      </c>
      <c r="AA41" s="126">
        <v>175799.20699999999</v>
      </c>
      <c r="AB41" s="126">
        <v>224897.10800000001</v>
      </c>
      <c r="AC41" s="126">
        <v>248030</v>
      </c>
      <c r="AD41" s="1">
        <v>255033.04300000001</v>
      </c>
      <c r="AE41" s="1">
        <v>290030.01299999998</v>
      </c>
      <c r="AF41" s="1">
        <v>285906.94799999997</v>
      </c>
      <c r="AG41" s="1">
        <v>274674.03399999999</v>
      </c>
      <c r="AH41" s="1">
        <v>221184.59400000001</v>
      </c>
      <c r="AI41" s="1">
        <v>210876.978</v>
      </c>
      <c r="AK41" s="1">
        <v>333120.98499999999</v>
      </c>
      <c r="AL41" s="1">
        <v>253886.26800000001</v>
      </c>
    </row>
    <row r="42" spans="1:38" ht="12.75" customHeight="1">
      <c r="A42" s="1" t="s">
        <v>55</v>
      </c>
      <c r="J42" s="126">
        <v>81362.225000000006</v>
      </c>
      <c r="M42" s="1">
        <v>89959.093999999997</v>
      </c>
      <c r="O42" s="1">
        <v>133954.57800000001</v>
      </c>
      <c r="R42" s="18">
        <v>124030.064</v>
      </c>
      <c r="S42" s="1">
        <v>131031.823</v>
      </c>
      <c r="T42" s="1">
        <v>149058.63</v>
      </c>
      <c r="U42" s="1">
        <v>118348.79</v>
      </c>
      <c r="V42" s="1">
        <v>126739.41800000001</v>
      </c>
      <c r="W42" s="126">
        <v>188589.378</v>
      </c>
      <c r="X42" s="126">
        <v>148103.204</v>
      </c>
      <c r="Y42" s="126">
        <v>155626.46299999999</v>
      </c>
      <c r="Z42" s="126">
        <v>161815.61900000001</v>
      </c>
      <c r="AA42" s="126">
        <v>232758.66</v>
      </c>
      <c r="AB42" s="126">
        <v>272194.60200000001</v>
      </c>
      <c r="AC42" s="126">
        <v>299071</v>
      </c>
      <c r="AD42" s="1">
        <v>304193.95799999998</v>
      </c>
      <c r="AE42" s="1">
        <v>298406.69799999997</v>
      </c>
      <c r="AF42" s="1">
        <v>272644.98700000002</v>
      </c>
      <c r="AG42" s="1">
        <v>269275.13400000002</v>
      </c>
      <c r="AH42" s="1">
        <v>290559.21399999998</v>
      </c>
      <c r="AI42" s="1">
        <v>291341.71399999998</v>
      </c>
      <c r="AK42" s="1">
        <v>337159.212</v>
      </c>
      <c r="AL42" s="1">
        <v>294664.22200000001</v>
      </c>
    </row>
    <row r="43" spans="1:38" ht="12.75" customHeight="1">
      <c r="A43" s="1" t="s">
        <v>56</v>
      </c>
      <c r="J43" s="126">
        <v>34924.713000000003</v>
      </c>
      <c r="M43" s="1">
        <v>52687.898999999998</v>
      </c>
      <c r="O43" s="1">
        <v>73851.224340000001</v>
      </c>
      <c r="R43" s="18">
        <v>61972.932999999997</v>
      </c>
      <c r="S43" s="1">
        <v>65582.947</v>
      </c>
      <c r="T43" s="1">
        <v>72861.762000000002</v>
      </c>
      <c r="U43" s="1">
        <v>76679.042000000001</v>
      </c>
      <c r="V43" s="1">
        <v>83642.687000000005</v>
      </c>
      <c r="W43" s="126">
        <v>107201.363</v>
      </c>
      <c r="X43" s="126">
        <v>98704.766000000003</v>
      </c>
      <c r="Y43" s="126">
        <v>100220.63099999999</v>
      </c>
      <c r="Z43" s="126">
        <v>98638.062999999995</v>
      </c>
      <c r="AA43" s="126">
        <v>138346.41099999999</v>
      </c>
      <c r="AB43" s="126">
        <v>158537.38399999999</v>
      </c>
      <c r="AC43" s="126">
        <v>176688</v>
      </c>
      <c r="AD43" s="1">
        <v>170950.55300000001</v>
      </c>
      <c r="AE43" s="1">
        <v>187358.74799999999</v>
      </c>
      <c r="AF43" s="1">
        <v>135284.39799999999</v>
      </c>
      <c r="AG43" s="1">
        <v>140027.06700000001</v>
      </c>
      <c r="AH43" s="1">
        <v>187230.14600000001</v>
      </c>
      <c r="AI43" s="1">
        <v>189183.552</v>
      </c>
      <c r="AK43" s="1">
        <v>267421.22399999999</v>
      </c>
      <c r="AL43" s="1">
        <v>200613.15900000001</v>
      </c>
    </row>
    <row r="44" spans="1:38" ht="12.75" customHeight="1">
      <c r="A44" s="1" t="s">
        <v>57</v>
      </c>
      <c r="J44" s="126">
        <v>203136.60699999999</v>
      </c>
      <c r="M44" s="1">
        <v>234334.446</v>
      </c>
      <c r="O44" s="1">
        <v>290069.95679999999</v>
      </c>
      <c r="R44" s="18">
        <v>255923.649</v>
      </c>
      <c r="S44" s="1">
        <v>267496.16800000001</v>
      </c>
      <c r="T44" s="1">
        <v>288730.59100000001</v>
      </c>
      <c r="U44" s="1">
        <v>247429.65400000001</v>
      </c>
      <c r="V44" s="1">
        <v>269794.31199999998</v>
      </c>
      <c r="W44" s="126">
        <v>396312.43599999999</v>
      </c>
      <c r="X44" s="126">
        <v>316060.598</v>
      </c>
      <c r="Y44" s="126">
        <v>344692.85100000002</v>
      </c>
      <c r="Z44" s="126">
        <v>365794.37599999999</v>
      </c>
      <c r="AA44" s="126">
        <v>565580.06999999995</v>
      </c>
      <c r="AB44" s="126">
        <v>669069.93799999997</v>
      </c>
      <c r="AC44" s="126">
        <v>716304</v>
      </c>
      <c r="AD44" s="1">
        <v>699883.17599999998</v>
      </c>
      <c r="AE44" s="1">
        <v>687845.93299999996</v>
      </c>
      <c r="AF44" s="1">
        <v>630943.66700000002</v>
      </c>
      <c r="AG44" s="1">
        <v>621253.45200000005</v>
      </c>
      <c r="AH44" s="1">
        <v>644610.08700000006</v>
      </c>
      <c r="AI44" s="1">
        <v>644241.429</v>
      </c>
      <c r="AK44" s="1">
        <v>747891.07499999995</v>
      </c>
      <c r="AL44" s="1">
        <v>625913.47</v>
      </c>
    </row>
    <row r="45" spans="1:38" ht="12.75" customHeight="1">
      <c r="A45" s="1" t="s">
        <v>58</v>
      </c>
      <c r="J45" s="126">
        <v>105999.251</v>
      </c>
      <c r="M45" s="1">
        <v>142873.05799999999</v>
      </c>
      <c r="O45" s="1">
        <v>217293.36366</v>
      </c>
      <c r="R45" s="18">
        <v>183008.66399999999</v>
      </c>
      <c r="S45" s="1">
        <v>203108.965</v>
      </c>
      <c r="T45" s="1">
        <v>224781.717</v>
      </c>
      <c r="U45" s="1">
        <v>225232.981</v>
      </c>
      <c r="V45" s="1">
        <v>245357.8</v>
      </c>
      <c r="W45" s="126">
        <v>327031.348</v>
      </c>
      <c r="X45" s="126">
        <v>255180.071</v>
      </c>
      <c r="Y45" s="126">
        <v>276056.01799999998</v>
      </c>
      <c r="Z45" s="126">
        <v>296379.15899999999</v>
      </c>
      <c r="AA45" s="126">
        <v>434489.217</v>
      </c>
      <c r="AB45" s="126">
        <v>480664.75199999998</v>
      </c>
      <c r="AC45" s="126">
        <v>502288</v>
      </c>
      <c r="AD45" s="1">
        <v>507072.93900000001</v>
      </c>
      <c r="AE45" s="1">
        <v>510143.86300000001</v>
      </c>
      <c r="AF45" s="1">
        <v>378534.80499999999</v>
      </c>
      <c r="AG45" s="1">
        <v>365558.78100000002</v>
      </c>
      <c r="AH45" s="1">
        <v>445994.071</v>
      </c>
      <c r="AI45" s="1">
        <v>430615.34100000001</v>
      </c>
      <c r="AK45" s="1">
        <v>464170.25400000002</v>
      </c>
      <c r="AL45" s="1">
        <v>426357.79100000003</v>
      </c>
    </row>
    <row r="46" spans="1:38" ht="12.75" customHeight="1">
      <c r="A46" s="1" t="s">
        <v>59</v>
      </c>
      <c r="J46" s="126">
        <v>57403.680999999997</v>
      </c>
      <c r="M46" s="1">
        <v>27881.937999999998</v>
      </c>
      <c r="O46" s="1">
        <v>97777.119000000006</v>
      </c>
      <c r="R46" s="18">
        <v>42592.508000000002</v>
      </c>
      <c r="S46" s="1">
        <v>59466.773000000001</v>
      </c>
      <c r="T46" s="1">
        <v>56452.440999999999</v>
      </c>
      <c r="U46" s="1">
        <v>52388.606</v>
      </c>
      <c r="V46" s="1">
        <v>58155.898999999998</v>
      </c>
      <c r="W46" s="126">
        <v>90743.376999999993</v>
      </c>
      <c r="X46" s="126">
        <v>66370.316000000006</v>
      </c>
      <c r="Y46" s="126">
        <v>72591.290999999997</v>
      </c>
      <c r="Z46" s="126">
        <v>73273.14</v>
      </c>
      <c r="AA46" s="126">
        <v>120362.50199999999</v>
      </c>
      <c r="AB46" s="126">
        <v>144423.584</v>
      </c>
      <c r="AC46" s="126">
        <v>211082</v>
      </c>
      <c r="AD46" s="1">
        <v>227121.40900000001</v>
      </c>
      <c r="AE46" s="1">
        <v>213912.18400000001</v>
      </c>
      <c r="AF46" s="1">
        <v>261659.12</v>
      </c>
      <c r="AG46" s="1">
        <v>250707.29399999999</v>
      </c>
      <c r="AH46" s="1">
        <v>244494.201</v>
      </c>
      <c r="AI46" s="1">
        <v>250654.856</v>
      </c>
      <c r="AK46" s="1">
        <v>312035.32900000003</v>
      </c>
      <c r="AL46" s="1">
        <v>260795.08499999999</v>
      </c>
    </row>
    <row r="47" spans="1:38" ht="12.75" customHeight="1">
      <c r="A47" s="1" t="s">
        <v>60</v>
      </c>
      <c r="J47" s="126">
        <v>14150.387000000001</v>
      </c>
      <c r="M47" s="1">
        <v>15999.031000000001</v>
      </c>
      <c r="O47" s="1">
        <v>37994.608999999997</v>
      </c>
      <c r="R47" s="24">
        <v>33936.370999999999</v>
      </c>
      <c r="S47" s="1">
        <v>35768.533000000003</v>
      </c>
      <c r="T47" s="1">
        <v>38770.061000000002</v>
      </c>
      <c r="U47" s="1">
        <v>34310.754999999997</v>
      </c>
      <c r="V47" s="1">
        <v>37994.449000000001</v>
      </c>
      <c r="W47" s="126">
        <v>53049.838000000003</v>
      </c>
      <c r="X47" s="126">
        <v>45335.834000000003</v>
      </c>
      <c r="Y47" s="126">
        <v>47779.561999999998</v>
      </c>
      <c r="Z47" s="126">
        <v>51087.493999999999</v>
      </c>
      <c r="AA47" s="126">
        <v>70999.743000000002</v>
      </c>
      <c r="AB47" s="126">
        <v>81019.748999999996</v>
      </c>
      <c r="AC47" s="126">
        <v>88681</v>
      </c>
      <c r="AD47" s="1">
        <v>92535.952999999994</v>
      </c>
      <c r="AE47" s="1">
        <v>90317.239000000001</v>
      </c>
      <c r="AF47" s="1">
        <v>75993.429000000004</v>
      </c>
      <c r="AG47" s="1">
        <v>74606.256999999998</v>
      </c>
      <c r="AH47" s="1">
        <v>81058.760999999999</v>
      </c>
      <c r="AI47" s="1">
        <v>79949.990999999995</v>
      </c>
      <c r="AK47" s="1">
        <v>110505.79</v>
      </c>
      <c r="AL47" s="1">
        <v>77022.159</v>
      </c>
    </row>
    <row r="48" spans="1:38" ht="12.75" customHeight="1">
      <c r="A48" s="1" t="s">
        <v>61</v>
      </c>
      <c r="J48" s="126">
        <v>11321.928</v>
      </c>
      <c r="M48" s="1">
        <v>14100.536</v>
      </c>
      <c r="O48" s="1">
        <v>19984.119079999997</v>
      </c>
      <c r="R48" s="18">
        <v>17487.523000000001</v>
      </c>
      <c r="S48" s="1">
        <v>17246.274000000001</v>
      </c>
      <c r="T48" s="1">
        <v>19608.482</v>
      </c>
      <c r="U48" s="1">
        <v>16232.392</v>
      </c>
      <c r="V48" s="1">
        <v>18245.621999999999</v>
      </c>
      <c r="W48" s="126">
        <v>28231.494999999999</v>
      </c>
      <c r="X48" s="126">
        <v>22546.75</v>
      </c>
      <c r="Y48" s="126">
        <v>24702.935000000001</v>
      </c>
      <c r="Z48" s="126">
        <v>15615.126</v>
      </c>
      <c r="AA48" s="126">
        <v>37599.555</v>
      </c>
      <c r="AB48" s="126">
        <v>40924.419000000002</v>
      </c>
      <c r="AC48" s="126">
        <v>42941</v>
      </c>
      <c r="AD48" s="1">
        <v>42765.027000000002</v>
      </c>
      <c r="AE48" s="1">
        <v>42160.584999999999</v>
      </c>
      <c r="AF48" s="1">
        <v>42398.555</v>
      </c>
      <c r="AG48" s="1">
        <v>41215.254000000001</v>
      </c>
      <c r="AH48" s="1">
        <v>42389.34</v>
      </c>
      <c r="AI48" s="1">
        <v>43976.373</v>
      </c>
      <c r="AK48" s="1">
        <v>52163.392999999996</v>
      </c>
      <c r="AL48" s="1">
        <v>44173.131000000001</v>
      </c>
    </row>
    <row r="49" spans="1:38" ht="12.75" customHeight="1">
      <c r="A49" s="1" t="s">
        <v>62</v>
      </c>
      <c r="J49" s="126">
        <v>190928.228</v>
      </c>
      <c r="M49" s="1">
        <v>228718.05499999999</v>
      </c>
      <c r="O49" s="1">
        <v>290318.93599999999</v>
      </c>
      <c r="R49" s="18">
        <v>285085.34399999998</v>
      </c>
      <c r="S49" s="1">
        <v>288022.99900000001</v>
      </c>
      <c r="T49" s="1">
        <v>284523.587</v>
      </c>
      <c r="U49" s="1">
        <v>267480.141</v>
      </c>
      <c r="V49" s="1">
        <v>281715.26799999998</v>
      </c>
      <c r="W49" s="126">
        <v>398683.902</v>
      </c>
      <c r="X49" s="126">
        <v>333277.85499999998</v>
      </c>
      <c r="Y49" s="126">
        <v>345979.29200000002</v>
      </c>
      <c r="Z49" s="126">
        <v>349567.58299999998</v>
      </c>
      <c r="AA49" s="126">
        <v>628541.47900000005</v>
      </c>
      <c r="AB49" s="126">
        <v>691482.89099999995</v>
      </c>
      <c r="AC49" s="126">
        <v>739871</v>
      </c>
      <c r="AD49" s="1">
        <v>739110.23499999999</v>
      </c>
      <c r="AE49" s="1">
        <v>768096.30099999998</v>
      </c>
      <c r="AF49" s="1">
        <v>696322.1</v>
      </c>
      <c r="AG49" s="1">
        <v>683278.48199999996</v>
      </c>
      <c r="AH49" s="1">
        <v>680431.59600000002</v>
      </c>
      <c r="AI49" s="1">
        <v>668227.11499999999</v>
      </c>
      <c r="AK49" s="1">
        <v>794057.41799999995</v>
      </c>
      <c r="AL49" s="1">
        <v>770370.16</v>
      </c>
    </row>
    <row r="50" spans="1:38" ht="12.75" customHeight="1">
      <c r="A50" s="1" t="s">
        <v>63</v>
      </c>
      <c r="J50" s="126">
        <v>211.37299999999999</v>
      </c>
      <c r="M50" s="1">
        <v>443.47699999999998</v>
      </c>
      <c r="O50" s="1">
        <v>13583.98537</v>
      </c>
      <c r="R50" s="18">
        <v>12427.198</v>
      </c>
      <c r="S50" s="1">
        <v>12736.773999999999</v>
      </c>
      <c r="T50" s="1">
        <v>13764.857</v>
      </c>
      <c r="U50" s="1">
        <v>13942.050999999999</v>
      </c>
      <c r="V50" s="1">
        <v>16407.240000000002</v>
      </c>
      <c r="W50" s="126">
        <v>19076.746999999999</v>
      </c>
      <c r="X50" s="126">
        <v>16685.992999999999</v>
      </c>
      <c r="Y50" s="126">
        <v>18237.82</v>
      </c>
      <c r="Z50" s="126">
        <v>20124.116000000002</v>
      </c>
      <c r="AA50" s="126">
        <v>27859.094000000001</v>
      </c>
      <c r="AB50" s="126">
        <v>34362.006999999998</v>
      </c>
      <c r="AC50" s="126">
        <v>35388</v>
      </c>
      <c r="AD50" s="1">
        <v>35603.235000000001</v>
      </c>
      <c r="AE50" s="1">
        <v>38654.760999999999</v>
      </c>
      <c r="AF50" s="1">
        <v>40769.946000000004</v>
      </c>
      <c r="AG50" s="1">
        <v>45517.366000000002</v>
      </c>
      <c r="AH50" s="1">
        <v>47397.478000000003</v>
      </c>
      <c r="AI50" s="1">
        <v>46826.807999999997</v>
      </c>
      <c r="AK50" s="1">
        <v>68343.513000000006</v>
      </c>
      <c r="AL50" s="1">
        <v>53318.847000000002</v>
      </c>
    </row>
    <row r="51" spans="1:38" ht="12.75" customHeight="1">
      <c r="A51" s="27" t="s">
        <v>64</v>
      </c>
      <c r="B51" s="27"/>
      <c r="C51" s="27"/>
      <c r="D51" s="27"/>
      <c r="E51" s="27"/>
      <c r="F51" s="27"/>
      <c r="G51" s="27"/>
      <c r="H51" s="27"/>
      <c r="I51" s="27"/>
      <c r="J51" s="127">
        <v>83608.251000000004</v>
      </c>
      <c r="K51" s="27"/>
      <c r="L51" s="27"/>
      <c r="M51" s="27">
        <v>94584.191999999995</v>
      </c>
      <c r="N51" s="27"/>
      <c r="O51" s="27">
        <v>126431.561</v>
      </c>
      <c r="P51" s="27"/>
      <c r="Q51" s="27"/>
      <c r="R51" s="37">
        <v>125576.99400000001</v>
      </c>
      <c r="S51" s="27">
        <v>132424.448</v>
      </c>
      <c r="T51" s="27">
        <v>146780.908</v>
      </c>
      <c r="U51" s="27">
        <v>118621.72199999999</v>
      </c>
      <c r="V51" s="27">
        <v>143264.91399999999</v>
      </c>
      <c r="W51" s="127">
        <v>197256.58499999999</v>
      </c>
      <c r="X51" s="127">
        <v>169454.122</v>
      </c>
      <c r="Y51" s="127">
        <v>159124.318</v>
      </c>
      <c r="Z51" s="127">
        <v>168701.67</v>
      </c>
      <c r="AA51" s="127">
        <v>222004.36199999999</v>
      </c>
      <c r="AB51" s="127">
        <v>295046.87400000001</v>
      </c>
      <c r="AC51" s="127">
        <v>313910</v>
      </c>
      <c r="AD51" s="27">
        <v>319190.28700000001</v>
      </c>
      <c r="AE51" s="27">
        <v>321496.80300000001</v>
      </c>
      <c r="AF51" s="27">
        <v>99278.082999999999</v>
      </c>
      <c r="AG51" s="27">
        <v>94724.544999999998</v>
      </c>
      <c r="AH51" s="27">
        <v>300700.98</v>
      </c>
      <c r="AI51" s="27">
        <v>290357.53600000002</v>
      </c>
      <c r="AJ51" s="27"/>
      <c r="AK51" s="1">
        <v>328838.98</v>
      </c>
      <c r="AL51" s="1">
        <v>251842.837</v>
      </c>
    </row>
    <row r="52" spans="1:38" ht="12.75" customHeight="1">
      <c r="A52" s="6" t="s">
        <v>65</v>
      </c>
      <c r="B52" s="51">
        <f>SUM(B54:B62)</f>
        <v>0</v>
      </c>
      <c r="C52" s="51">
        <f t="shared" ref="C52:AK52" si="17">SUM(C54:C62)</f>
        <v>0</v>
      </c>
      <c r="D52" s="51">
        <f t="shared" si="17"/>
        <v>0</v>
      </c>
      <c r="E52" s="51">
        <f t="shared" si="17"/>
        <v>0</v>
      </c>
      <c r="F52" s="51">
        <f t="shared" si="17"/>
        <v>0</v>
      </c>
      <c r="G52" s="51">
        <f t="shared" si="17"/>
        <v>0</v>
      </c>
      <c r="H52" s="51">
        <f t="shared" si="17"/>
        <v>0</v>
      </c>
      <c r="I52" s="51">
        <f t="shared" si="17"/>
        <v>0</v>
      </c>
      <c r="J52" s="51">
        <f t="shared" si="17"/>
        <v>794256.51600000006</v>
      </c>
      <c r="K52" s="51">
        <f t="shared" si="17"/>
        <v>0</v>
      </c>
      <c r="L52" s="51">
        <f t="shared" si="17"/>
        <v>0</v>
      </c>
      <c r="M52" s="51">
        <f t="shared" si="17"/>
        <v>962824.48299999989</v>
      </c>
      <c r="N52" s="51">
        <f t="shared" si="17"/>
        <v>0</v>
      </c>
      <c r="O52" s="51">
        <f t="shared" si="17"/>
        <v>1375177.0101399999</v>
      </c>
      <c r="P52" s="51">
        <f t="shared" si="17"/>
        <v>0</v>
      </c>
      <c r="Q52" s="51">
        <f t="shared" si="17"/>
        <v>0</v>
      </c>
      <c r="R52" s="51">
        <f t="shared" si="17"/>
        <v>1081098.571</v>
      </c>
      <c r="S52" s="51">
        <f t="shared" si="17"/>
        <v>1203371.746</v>
      </c>
      <c r="T52" s="51">
        <f t="shared" si="17"/>
        <v>1328529.9909999999</v>
      </c>
      <c r="U52" s="51">
        <f t="shared" si="17"/>
        <v>1112329.6100000001</v>
      </c>
      <c r="V52" s="51">
        <f t="shared" si="17"/>
        <v>1217706.9340000001</v>
      </c>
      <c r="W52" s="51">
        <f t="shared" si="17"/>
        <v>1796374.4010000003</v>
      </c>
      <c r="X52" s="51">
        <f t="shared" si="17"/>
        <v>1384919.8370000001</v>
      </c>
      <c r="Y52" s="51">
        <f t="shared" si="17"/>
        <v>1474444.2210000001</v>
      </c>
      <c r="Z52" s="51">
        <f t="shared" si="17"/>
        <v>1571585.0890000002</v>
      </c>
      <c r="AA52" s="51">
        <f t="shared" si="17"/>
        <v>2401128.1319999998</v>
      </c>
      <c r="AB52" s="51">
        <f t="shared" si="17"/>
        <v>2763396.9049999993</v>
      </c>
      <c r="AC52" s="51">
        <f t="shared" si="17"/>
        <v>2913841</v>
      </c>
      <c r="AD52" s="51">
        <f t="shared" si="17"/>
        <v>3037635.11</v>
      </c>
      <c r="AE52" s="51">
        <f t="shared" si="17"/>
        <v>3147784.3939999994</v>
      </c>
      <c r="AF52" s="51">
        <f t="shared" si="17"/>
        <v>3165030.892</v>
      </c>
      <c r="AG52" s="51">
        <f t="shared" si="17"/>
        <v>3180811.2900000005</v>
      </c>
      <c r="AH52" s="51">
        <f t="shared" si="17"/>
        <v>3130855.5930000003</v>
      </c>
      <c r="AI52" s="51">
        <f t="shared" si="17"/>
        <v>3113429.1590000005</v>
      </c>
      <c r="AJ52" s="51">
        <f t="shared" si="17"/>
        <v>0</v>
      </c>
      <c r="AK52" s="131">
        <f t="shared" si="17"/>
        <v>3633195.7109999997</v>
      </c>
      <c r="AL52" s="131">
        <f t="shared" ref="AL52" si="18">SUM(AL54:AL62)</f>
        <v>2957779.3260000004</v>
      </c>
    </row>
    <row r="53" spans="1:38" ht="12.75" customHeight="1">
      <c r="A53" s="6" t="s">
        <v>94</v>
      </c>
    </row>
    <row r="54" spans="1:38" ht="12.75" customHeight="1">
      <c r="A54" s="1" t="s">
        <v>66</v>
      </c>
      <c r="J54" s="126">
        <v>37583.622000000003</v>
      </c>
      <c r="M54" s="1">
        <v>46910.906000000003</v>
      </c>
      <c r="O54" s="1">
        <v>62586.341140000004</v>
      </c>
      <c r="R54" s="18">
        <v>56036.267</v>
      </c>
      <c r="S54" s="1">
        <v>59916.417000000001</v>
      </c>
      <c r="T54" s="1">
        <v>64633.91</v>
      </c>
      <c r="U54" s="1">
        <v>57433.351000000002</v>
      </c>
      <c r="V54" s="1">
        <v>64726.106</v>
      </c>
      <c r="W54" s="126">
        <v>93202.024000000005</v>
      </c>
      <c r="X54" s="126">
        <v>72687.726999999999</v>
      </c>
      <c r="Y54" s="126">
        <v>77863.111000000004</v>
      </c>
      <c r="Z54" s="126">
        <v>82676.873999999996</v>
      </c>
      <c r="AA54" s="126">
        <v>131433.24299999999</v>
      </c>
      <c r="AB54" s="126">
        <v>154766.37299999999</v>
      </c>
      <c r="AC54" s="126">
        <v>167500</v>
      </c>
      <c r="AD54" s="1">
        <v>169860.55799999999</v>
      </c>
      <c r="AE54" s="1">
        <v>181504.54800000001</v>
      </c>
      <c r="AF54" s="1">
        <v>180320.62599999999</v>
      </c>
      <c r="AG54" s="1">
        <v>180002.11900000001</v>
      </c>
      <c r="AH54" s="1">
        <v>174044.16500000001</v>
      </c>
      <c r="AI54" s="1">
        <v>175771.66699999999</v>
      </c>
      <c r="AK54" s="1">
        <v>202694.217</v>
      </c>
      <c r="AL54" s="1">
        <v>161124.201</v>
      </c>
    </row>
    <row r="55" spans="1:38" ht="12.75" customHeight="1">
      <c r="A55" s="1" t="s">
        <v>67</v>
      </c>
      <c r="J55" s="126">
        <v>8218.5139999999992</v>
      </c>
      <c r="M55" s="1">
        <v>11565.53</v>
      </c>
      <c r="O55" s="1">
        <v>15427.539000000001</v>
      </c>
      <c r="R55" s="18">
        <v>14991.642</v>
      </c>
      <c r="S55" s="1">
        <v>15131.206</v>
      </c>
      <c r="T55" s="1">
        <v>17711.744999999999</v>
      </c>
      <c r="U55" s="1">
        <v>13685.972</v>
      </c>
      <c r="V55" s="1">
        <v>15884.816000000001</v>
      </c>
      <c r="W55" s="126">
        <v>25695.113000000001</v>
      </c>
      <c r="X55" s="126">
        <v>17510.377</v>
      </c>
      <c r="Y55" s="126">
        <v>18560.422999999999</v>
      </c>
      <c r="Z55" s="126">
        <v>19373.527999999998</v>
      </c>
      <c r="AA55" s="126">
        <v>37377.027000000002</v>
      </c>
      <c r="AB55" s="126">
        <v>40402.502999999997</v>
      </c>
      <c r="AC55" s="126">
        <v>41238</v>
      </c>
      <c r="AD55" s="1">
        <v>42862.887999999999</v>
      </c>
      <c r="AE55" s="1">
        <v>47975.962</v>
      </c>
      <c r="AF55" s="1">
        <v>48023.593000000001</v>
      </c>
      <c r="AG55" s="1">
        <v>47826.464</v>
      </c>
      <c r="AH55" s="1">
        <v>41831.985000000001</v>
      </c>
      <c r="AI55" s="1">
        <v>43009.201999999997</v>
      </c>
      <c r="AK55" s="1">
        <v>54825.474000000002</v>
      </c>
      <c r="AL55" s="1">
        <v>48892.059000000001</v>
      </c>
    </row>
    <row r="56" spans="1:38" ht="12.75" customHeight="1">
      <c r="A56" s="1" t="s">
        <v>68</v>
      </c>
      <c r="J56" s="126">
        <v>107033.21</v>
      </c>
      <c r="M56" s="1">
        <v>121573.179</v>
      </c>
      <c r="O56" s="1">
        <v>145645.84099999999</v>
      </c>
      <c r="R56" s="18">
        <v>122927.361</v>
      </c>
      <c r="S56" s="1">
        <v>128472.44100000001</v>
      </c>
      <c r="T56" s="1">
        <v>131027.671</v>
      </c>
      <c r="U56" s="1">
        <v>127520.40300000001</v>
      </c>
      <c r="V56" s="1">
        <v>146857.77100000001</v>
      </c>
      <c r="W56" s="126">
        <v>206650.405</v>
      </c>
      <c r="X56" s="126">
        <v>155102.943</v>
      </c>
      <c r="Y56" s="126">
        <v>164239.03700000001</v>
      </c>
      <c r="Z56" s="126">
        <v>174832.05499999999</v>
      </c>
      <c r="AA56" s="126">
        <v>262388.511</v>
      </c>
      <c r="AB56" s="126">
        <v>314541.19199999998</v>
      </c>
      <c r="AC56" s="126">
        <v>342858</v>
      </c>
      <c r="AD56" s="1">
        <v>364283.196</v>
      </c>
      <c r="AE56" s="1">
        <v>374838.04499999998</v>
      </c>
      <c r="AF56" s="1">
        <v>369340.18599999999</v>
      </c>
      <c r="AG56" s="1">
        <v>371358.201</v>
      </c>
      <c r="AH56" s="1">
        <v>378752.43099999998</v>
      </c>
      <c r="AI56" s="1">
        <v>383845.09299999999</v>
      </c>
      <c r="AK56" s="1">
        <v>423303.908</v>
      </c>
      <c r="AL56" s="1">
        <v>359612.02100000001</v>
      </c>
    </row>
    <row r="57" spans="1:38" ht="12.75" customHeight="1">
      <c r="A57" s="1" t="s">
        <v>69</v>
      </c>
      <c r="J57" s="126">
        <v>12732.897999999999</v>
      </c>
      <c r="M57" s="1">
        <v>19549.353999999999</v>
      </c>
      <c r="O57" s="1">
        <v>29810.279689999999</v>
      </c>
      <c r="R57" s="24">
        <v>21557.473999999998</v>
      </c>
      <c r="S57" s="1">
        <v>23274.726999999999</v>
      </c>
      <c r="T57" s="1">
        <v>25340.102999999999</v>
      </c>
      <c r="U57" s="1">
        <v>30915.546999999999</v>
      </c>
      <c r="V57" s="1">
        <v>32952.283000000003</v>
      </c>
      <c r="W57" s="126">
        <v>36701.947</v>
      </c>
      <c r="X57" s="126">
        <v>32773.582999999999</v>
      </c>
      <c r="Y57" s="126">
        <v>41556.993000000002</v>
      </c>
      <c r="Z57" s="126">
        <v>42825.951999999997</v>
      </c>
      <c r="AA57" s="126">
        <v>50503.618999999999</v>
      </c>
      <c r="AB57" s="126">
        <v>53396.303999999996</v>
      </c>
      <c r="AC57" s="126">
        <v>61131</v>
      </c>
      <c r="AD57" s="1">
        <v>65004.322</v>
      </c>
      <c r="AE57" s="1">
        <v>71470.462</v>
      </c>
      <c r="AF57" s="1">
        <v>66520.673999999999</v>
      </c>
      <c r="AG57" s="1">
        <v>63467.58</v>
      </c>
      <c r="AH57" s="1">
        <v>66465.578999999998</v>
      </c>
      <c r="AI57" s="1">
        <v>64396.991000000002</v>
      </c>
      <c r="AK57" s="1">
        <v>82579.877999999997</v>
      </c>
      <c r="AL57" s="1">
        <v>58651.955999999998</v>
      </c>
    </row>
    <row r="58" spans="1:38" ht="12.75" customHeight="1">
      <c r="A58" s="1" t="s">
        <v>70</v>
      </c>
      <c r="J58" s="126">
        <v>161440.514</v>
      </c>
      <c r="M58" s="1">
        <v>197263.23800000001</v>
      </c>
      <c r="O58" s="1">
        <v>255803.45800000001</v>
      </c>
      <c r="R58" s="24">
        <v>227335.33600000001</v>
      </c>
      <c r="S58" s="1">
        <v>238370.106</v>
      </c>
      <c r="T58" s="1">
        <v>276594.39899999998</v>
      </c>
      <c r="U58" s="1">
        <v>238741.198</v>
      </c>
      <c r="V58" s="1">
        <v>262876.78200000001</v>
      </c>
      <c r="W58" s="126">
        <v>372447.29700000002</v>
      </c>
      <c r="X58" s="126">
        <v>302247.50400000002</v>
      </c>
      <c r="Y58" s="126">
        <v>330007.53899999999</v>
      </c>
      <c r="Z58" s="126">
        <v>352725.88199999998</v>
      </c>
      <c r="AA58" s="126">
        <v>516359.08899999998</v>
      </c>
      <c r="AB58" s="126">
        <v>620877.29500000004</v>
      </c>
      <c r="AC58" s="126">
        <v>646914</v>
      </c>
      <c r="AD58" s="1">
        <v>657337.18599999999</v>
      </c>
      <c r="AE58" s="1">
        <v>653251.83600000001</v>
      </c>
      <c r="AF58" s="1">
        <v>652320.71699999995</v>
      </c>
      <c r="AG58" s="1">
        <v>650483.02</v>
      </c>
      <c r="AH58" s="1">
        <v>647894.22900000005</v>
      </c>
      <c r="AI58" s="1">
        <v>624820.39300000004</v>
      </c>
      <c r="AK58" s="1">
        <v>686799.20600000001</v>
      </c>
      <c r="AL58" s="1">
        <v>604670.89</v>
      </c>
    </row>
    <row r="59" spans="1:38" ht="12.75" customHeight="1">
      <c r="A59" s="1" t="s">
        <v>71</v>
      </c>
      <c r="J59" s="126">
        <v>308450.79800000001</v>
      </c>
      <c r="M59" s="1">
        <v>390431.85800000001</v>
      </c>
      <c r="O59" s="1">
        <v>629568.40099999995</v>
      </c>
      <c r="R59" s="24">
        <v>428535.15600000002</v>
      </c>
      <c r="S59" s="1">
        <v>514062.01299999998</v>
      </c>
      <c r="T59" s="1">
        <v>560830.46</v>
      </c>
      <c r="U59" s="1">
        <v>406480.24400000001</v>
      </c>
      <c r="V59" s="1">
        <v>431108.46299999999</v>
      </c>
      <c r="W59" s="126">
        <v>717297.17799999996</v>
      </c>
      <c r="X59" s="126">
        <v>499442.45400000003</v>
      </c>
      <c r="Y59" s="126">
        <v>517697.53</v>
      </c>
      <c r="Z59" s="126">
        <v>547656.70900000003</v>
      </c>
      <c r="AA59" s="126">
        <v>906861.63</v>
      </c>
      <c r="AB59" s="126">
        <v>1027639.107</v>
      </c>
      <c r="AC59" s="126">
        <v>1077493</v>
      </c>
      <c r="AD59" s="1">
        <v>1145802.0630000001</v>
      </c>
      <c r="AE59" s="1">
        <v>1200986.68</v>
      </c>
      <c r="AF59" s="1">
        <v>1230639.365</v>
      </c>
      <c r="AG59" s="1">
        <v>1251410.2990000001</v>
      </c>
      <c r="AH59" s="1">
        <v>1230145.6459999999</v>
      </c>
      <c r="AI59" s="1">
        <v>1221078.82</v>
      </c>
      <c r="AK59" s="1">
        <v>1470702.9469999999</v>
      </c>
      <c r="AL59" s="1">
        <v>1131870.023</v>
      </c>
    </row>
    <row r="60" spans="1:38" ht="12.75" customHeight="1">
      <c r="A60" s="1" t="s">
        <v>72</v>
      </c>
      <c r="J60" s="126">
        <v>134322.45199999999</v>
      </c>
      <c r="M60" s="1">
        <v>150106.29999999999</v>
      </c>
      <c r="O60" s="1">
        <v>203342.46831</v>
      </c>
      <c r="R60" s="18">
        <v>181753.04500000001</v>
      </c>
      <c r="S60" s="1">
        <v>193993.364</v>
      </c>
      <c r="T60" s="1">
        <v>220074.679</v>
      </c>
      <c r="U60" s="1">
        <v>208862.136</v>
      </c>
      <c r="V60" s="1">
        <v>232042.72</v>
      </c>
      <c r="W60" s="126">
        <v>301551.58199999999</v>
      </c>
      <c r="X60" s="126">
        <v>269247.196</v>
      </c>
      <c r="Y60" s="126">
        <v>284129.58</v>
      </c>
      <c r="Z60" s="126">
        <v>307474.462</v>
      </c>
      <c r="AA60" s="126">
        <v>416145.64199999999</v>
      </c>
      <c r="AB60" s="126">
        <v>481364.10399999999</v>
      </c>
      <c r="AC60" s="126">
        <v>500402</v>
      </c>
      <c r="AD60" s="1">
        <v>514505.99599999998</v>
      </c>
      <c r="AE60" s="1">
        <v>517074.23200000002</v>
      </c>
      <c r="AF60" s="1">
        <v>518941.21500000003</v>
      </c>
      <c r="AG60" s="1">
        <v>518037.67300000001</v>
      </c>
      <c r="AH60" s="1">
        <v>515072.89600000001</v>
      </c>
      <c r="AI60" s="1">
        <v>528129.71200000006</v>
      </c>
      <c r="AK60" s="1">
        <v>626861.61300000001</v>
      </c>
      <c r="AL60" s="1">
        <v>514863.45</v>
      </c>
    </row>
    <row r="61" spans="1:38" ht="12.75" customHeight="1">
      <c r="A61" s="1" t="s">
        <v>73</v>
      </c>
      <c r="J61" s="126">
        <v>17002.288</v>
      </c>
      <c r="M61" s="1">
        <v>18955.266</v>
      </c>
      <c r="O61" s="1">
        <v>23173.539000000001</v>
      </c>
      <c r="R61" s="18">
        <v>19170.609</v>
      </c>
      <c r="S61" s="1">
        <v>20274.240000000002</v>
      </c>
      <c r="T61" s="1">
        <v>21753.453000000001</v>
      </c>
      <c r="U61" s="1">
        <v>19274.587</v>
      </c>
      <c r="V61" s="1">
        <v>20756.797999999999</v>
      </c>
      <c r="W61" s="126">
        <v>28366.582999999999</v>
      </c>
      <c r="X61" s="126">
        <v>23019.379000000001</v>
      </c>
      <c r="Y61" s="126">
        <v>26169.082999999999</v>
      </c>
      <c r="Z61" s="126">
        <v>29262.144</v>
      </c>
      <c r="AA61" s="126">
        <v>42866.491000000002</v>
      </c>
      <c r="AB61" s="126">
        <v>46762.752</v>
      </c>
      <c r="AC61" s="126">
        <v>51019</v>
      </c>
      <c r="AD61" s="1">
        <v>52471.819000000003</v>
      </c>
      <c r="AE61" s="1">
        <v>54433.485000000001</v>
      </c>
      <c r="AF61" s="1">
        <v>53031.476000000002</v>
      </c>
      <c r="AG61" s="1">
        <v>51697.93</v>
      </c>
      <c r="AH61" s="1">
        <v>52100.123</v>
      </c>
      <c r="AI61" s="1">
        <v>50165.572999999997</v>
      </c>
      <c r="AK61" s="1">
        <v>61296.396999999997</v>
      </c>
      <c r="AL61" s="1">
        <v>56598.711000000003</v>
      </c>
    </row>
    <row r="62" spans="1:38" ht="12.75" customHeight="1">
      <c r="A62" s="27" t="s">
        <v>74</v>
      </c>
      <c r="B62" s="27"/>
      <c r="C62" s="27"/>
      <c r="D62" s="27"/>
      <c r="E62" s="27"/>
      <c r="F62" s="27"/>
      <c r="G62" s="27"/>
      <c r="H62" s="27"/>
      <c r="I62" s="27"/>
      <c r="J62" s="127">
        <v>7472.22</v>
      </c>
      <c r="K62" s="27"/>
      <c r="L62" s="27"/>
      <c r="M62" s="27">
        <v>6468.8519999999999</v>
      </c>
      <c r="N62" s="27"/>
      <c r="O62" s="27">
        <v>9819.143</v>
      </c>
      <c r="P62" s="27"/>
      <c r="Q62" s="27"/>
      <c r="R62" s="37">
        <v>8791.6810000000005</v>
      </c>
      <c r="S62" s="27">
        <v>9877.232</v>
      </c>
      <c r="T62" s="27">
        <v>10563.571</v>
      </c>
      <c r="U62" s="27">
        <v>9416.1720000000005</v>
      </c>
      <c r="V62" s="27">
        <v>10501.195</v>
      </c>
      <c r="W62" s="127">
        <v>14462.272000000001</v>
      </c>
      <c r="X62" s="127">
        <v>12888.674000000001</v>
      </c>
      <c r="Y62" s="127">
        <v>14220.924999999999</v>
      </c>
      <c r="Z62" s="127">
        <v>14757.483</v>
      </c>
      <c r="AA62" s="127">
        <v>37192.879999999997</v>
      </c>
      <c r="AB62" s="127">
        <v>23647.275000000001</v>
      </c>
      <c r="AC62" s="127">
        <v>25286</v>
      </c>
      <c r="AD62" s="27">
        <v>25507.081999999999</v>
      </c>
      <c r="AE62" s="27">
        <v>46249.144</v>
      </c>
      <c r="AF62" s="27">
        <v>45893.04</v>
      </c>
      <c r="AG62" s="27">
        <v>46528.004000000001</v>
      </c>
      <c r="AH62" s="27">
        <v>24548.539000000001</v>
      </c>
      <c r="AI62" s="27">
        <v>22211.707999999999</v>
      </c>
      <c r="AJ62" s="27"/>
      <c r="AK62" s="27">
        <v>24132.071</v>
      </c>
      <c r="AL62" s="1">
        <v>21496.014999999999</v>
      </c>
    </row>
    <row r="63" spans="1:38">
      <c r="A63" s="49" t="s">
        <v>75</v>
      </c>
      <c r="B63" s="46"/>
      <c r="C63" s="46"/>
      <c r="D63" s="46"/>
      <c r="E63" s="46"/>
      <c r="F63" s="46"/>
      <c r="G63" s="46"/>
      <c r="H63" s="46"/>
      <c r="I63" s="46"/>
      <c r="J63" s="128">
        <v>0</v>
      </c>
      <c r="K63" s="46"/>
      <c r="L63" s="46"/>
      <c r="M63" s="46">
        <v>0</v>
      </c>
      <c r="N63" s="46"/>
      <c r="O63" s="46">
        <v>0</v>
      </c>
      <c r="P63" s="46"/>
      <c r="Q63" s="46"/>
      <c r="R63" s="47">
        <v>0</v>
      </c>
      <c r="S63" s="46">
        <v>0</v>
      </c>
      <c r="T63" s="46">
        <v>0</v>
      </c>
      <c r="U63" s="46">
        <v>0</v>
      </c>
      <c r="V63" s="46">
        <v>0</v>
      </c>
      <c r="W63" s="128">
        <v>0</v>
      </c>
      <c r="X63" s="128">
        <v>0</v>
      </c>
      <c r="Y63" s="128">
        <v>0</v>
      </c>
      <c r="Z63" s="128">
        <v>0</v>
      </c>
      <c r="AA63" s="128">
        <v>0</v>
      </c>
      <c r="AB63" s="128">
        <v>0</v>
      </c>
      <c r="AC63" s="128">
        <v>0</v>
      </c>
      <c r="AD63" s="27"/>
      <c r="AE63" s="27"/>
      <c r="AF63" s="27"/>
      <c r="AG63" s="27"/>
      <c r="AH63" s="27"/>
      <c r="AI63" s="27"/>
      <c r="AJ63" s="27"/>
      <c r="AK63" s="27"/>
      <c r="AL63" s="130"/>
    </row>
    <row r="64" spans="1:38" ht="12.75" customHeight="1"/>
    <row r="65" spans="1:29" ht="12.75" customHeight="1"/>
    <row r="66" spans="1:29" ht="12.75" customHeight="1">
      <c r="A66" s="1" t="s">
        <v>96</v>
      </c>
      <c r="B66" s="1" t="s">
        <v>97</v>
      </c>
      <c r="I66" s="1" t="s">
        <v>98</v>
      </c>
      <c r="J66" s="1" t="s">
        <v>99</v>
      </c>
      <c r="M66" s="31" t="s">
        <v>100</v>
      </c>
      <c r="N66" s="19" t="s">
        <v>101</v>
      </c>
      <c r="O66" s="1" t="s">
        <v>102</v>
      </c>
      <c r="R66" s="1" t="s">
        <v>102</v>
      </c>
      <c r="U66" s="31" t="s">
        <v>100</v>
      </c>
      <c r="V66" s="31" t="s">
        <v>100</v>
      </c>
      <c r="W66" s="31" t="s">
        <v>100</v>
      </c>
      <c r="X66" s="31" t="s">
        <v>100</v>
      </c>
      <c r="Y66" s="31"/>
      <c r="Z66" s="31"/>
      <c r="AA66" s="31"/>
      <c r="AB66" s="31"/>
      <c r="AC66" s="31"/>
    </row>
    <row r="67" spans="1:29" ht="12.75" customHeight="1">
      <c r="A67" s="1" t="s">
        <v>103</v>
      </c>
      <c r="B67" s="1" t="s">
        <v>98</v>
      </c>
      <c r="I67" s="1" t="s">
        <v>104</v>
      </c>
      <c r="J67" s="1" t="s">
        <v>105</v>
      </c>
      <c r="M67" s="1" t="s">
        <v>106</v>
      </c>
      <c r="N67" s="1" t="s">
        <v>107</v>
      </c>
      <c r="O67" s="1" t="s">
        <v>108</v>
      </c>
      <c r="R67" s="1" t="s">
        <v>109</v>
      </c>
      <c r="U67" s="1" t="s">
        <v>106</v>
      </c>
      <c r="V67" s="1" t="s">
        <v>106</v>
      </c>
      <c r="W67" s="1" t="s">
        <v>106</v>
      </c>
      <c r="X67" s="1" t="s">
        <v>106</v>
      </c>
      <c r="Y67" s="1"/>
      <c r="Z67" s="1"/>
      <c r="AA67" s="1"/>
      <c r="AB67" s="1"/>
      <c r="AC67" s="1"/>
    </row>
    <row r="68" spans="1:29" ht="12.75" customHeight="1">
      <c r="A68" s="1" t="s">
        <v>110</v>
      </c>
      <c r="B68" s="1" t="s">
        <v>104</v>
      </c>
      <c r="I68" s="1" t="s">
        <v>111</v>
      </c>
      <c r="J68" s="1" t="s">
        <v>112</v>
      </c>
      <c r="M68" s="1" t="s">
        <v>113</v>
      </c>
      <c r="N68" s="1" t="s">
        <v>114</v>
      </c>
      <c r="U68" s="1" t="s">
        <v>113</v>
      </c>
      <c r="V68" s="1" t="s">
        <v>113</v>
      </c>
      <c r="W68" s="1" t="s">
        <v>113</v>
      </c>
      <c r="X68" s="1" t="s">
        <v>113</v>
      </c>
      <c r="Y68" s="1"/>
      <c r="Z68" s="1"/>
      <c r="AA68" s="1"/>
      <c r="AB68" s="1"/>
      <c r="AC68" s="1"/>
    </row>
    <row r="69" spans="1:29" ht="12.75" customHeight="1">
      <c r="A69" s="1" t="s">
        <v>7</v>
      </c>
      <c r="B69" s="1" t="s">
        <v>111</v>
      </c>
      <c r="I69" s="1" t="s">
        <v>115</v>
      </c>
      <c r="M69" s="38"/>
      <c r="N69" s="38"/>
    </row>
    <row r="70" spans="1:29" ht="12.75" customHeight="1">
      <c r="A70" s="1" t="s">
        <v>116</v>
      </c>
      <c r="B70" s="1" t="s">
        <v>115</v>
      </c>
      <c r="I70" s="1" t="s">
        <v>117</v>
      </c>
    </row>
    <row r="71" spans="1:29" ht="12.75" customHeight="1">
      <c r="A71" s="1" t="s">
        <v>11</v>
      </c>
      <c r="B71" s="1" t="s">
        <v>117</v>
      </c>
      <c r="I71" s="1" t="s">
        <v>118</v>
      </c>
    </row>
    <row r="72" spans="1:29" ht="12.75" customHeight="1">
      <c r="A72" s="1" t="s">
        <v>119</v>
      </c>
      <c r="B72" s="1" t="s">
        <v>118</v>
      </c>
      <c r="I72" s="1" t="s">
        <v>120</v>
      </c>
    </row>
    <row r="73" spans="1:29" ht="12.75" customHeight="1">
      <c r="A73" s="1" t="s">
        <v>121</v>
      </c>
      <c r="B73" s="1" t="s">
        <v>120</v>
      </c>
      <c r="I73" s="1" t="s">
        <v>122</v>
      </c>
    </row>
    <row r="74" spans="1:29" ht="12.75" customHeight="1">
      <c r="A74" s="1" t="s">
        <v>123</v>
      </c>
      <c r="B74" s="1" t="s">
        <v>122</v>
      </c>
      <c r="I74" s="1" t="s">
        <v>124</v>
      </c>
    </row>
    <row r="75" spans="1:29" ht="12.75" customHeight="1">
      <c r="A75" s="1" t="s">
        <v>125</v>
      </c>
      <c r="B75" s="1" t="s">
        <v>124</v>
      </c>
      <c r="I75" s="1" t="s">
        <v>126</v>
      </c>
    </row>
    <row r="76" spans="1:29" ht="12.75" customHeight="1">
      <c r="A76" s="1" t="s">
        <v>127</v>
      </c>
      <c r="B76" s="1" t="s">
        <v>126</v>
      </c>
      <c r="I76" s="1" t="s">
        <v>128</v>
      </c>
    </row>
    <row r="77" spans="1:29" ht="12.75" customHeight="1">
      <c r="A77" s="1" t="s">
        <v>129</v>
      </c>
      <c r="B77" s="1" t="s">
        <v>130</v>
      </c>
      <c r="I77" s="1" t="s">
        <v>131</v>
      </c>
    </row>
    <row r="78" spans="1:29" ht="12.75" customHeight="1">
      <c r="A78" s="1" t="s">
        <v>132</v>
      </c>
      <c r="B78" s="1" t="s">
        <v>131</v>
      </c>
      <c r="I78" s="1" t="s">
        <v>133</v>
      </c>
    </row>
    <row r="79" spans="1:29" ht="12.75" customHeight="1">
      <c r="A79" s="1" t="s">
        <v>134</v>
      </c>
      <c r="B79" s="1" t="s">
        <v>135</v>
      </c>
    </row>
    <row r="80" spans="1:29" ht="12.75" customHeight="1">
      <c r="A80" s="1" t="s">
        <v>136</v>
      </c>
    </row>
    <row r="81" spans="1:209" ht="9.9499999999999993" customHeight="1">
      <c r="A81" s="1" t="s">
        <v>137</v>
      </c>
    </row>
    <row r="82" spans="1:209" ht="9.9499999999999993" customHeight="1">
      <c r="A82" s="1" t="s">
        <v>138</v>
      </c>
      <c r="GS82" s="4"/>
      <c r="GT82" s="4"/>
      <c r="GU82" s="4"/>
      <c r="GV82" s="4"/>
      <c r="GW82" s="4"/>
      <c r="GX82" s="4"/>
      <c r="GY82" s="4"/>
      <c r="GZ82" s="4"/>
      <c r="HA82" s="4"/>
    </row>
    <row r="83" spans="1:209">
      <c r="A83" s="1" t="s">
        <v>11</v>
      </c>
      <c r="GQ83" s="4"/>
      <c r="GR83" s="4"/>
      <c r="GS83" s="4"/>
      <c r="GT83" s="4"/>
      <c r="GU83" s="4"/>
      <c r="GV83" s="4"/>
      <c r="GW83" s="4"/>
      <c r="GX83" s="4"/>
      <c r="GY83" s="4"/>
      <c r="GZ83" s="4"/>
      <c r="HA83" s="4"/>
    </row>
    <row r="84" spans="1:209">
      <c r="A84" s="1" t="s">
        <v>139</v>
      </c>
      <c r="GQ84" s="4"/>
      <c r="GR84" s="4"/>
      <c r="GS84" s="4"/>
      <c r="GT84" s="4"/>
      <c r="GU84" s="4"/>
      <c r="GV84" s="4"/>
      <c r="GW84" s="4"/>
      <c r="GX84" s="4"/>
      <c r="GY84" s="4"/>
      <c r="GZ84" s="4"/>
      <c r="HA84" s="4"/>
    </row>
    <row r="85" spans="1:209">
      <c r="A85" s="1" t="s">
        <v>140</v>
      </c>
      <c r="GS85" s="4"/>
      <c r="GT85" s="4"/>
      <c r="GU85" s="4"/>
      <c r="GV85" s="4"/>
      <c r="GW85" s="4"/>
      <c r="GX85" s="4"/>
      <c r="GY85" s="4"/>
    </row>
    <row r="86" spans="1:209">
      <c r="GS86" s="4"/>
      <c r="GT86" s="4"/>
      <c r="GU86" s="4"/>
      <c r="GV86" s="4"/>
      <c r="GW86" s="4"/>
      <c r="GX86" s="4"/>
      <c r="GY86" s="4"/>
    </row>
    <row r="87" spans="1:209">
      <c r="GS87" s="4"/>
      <c r="GT87" s="4"/>
      <c r="GU87" s="4"/>
      <c r="GV87" s="4"/>
      <c r="GW87" s="4"/>
      <c r="GX87" s="4"/>
      <c r="GY87" s="4"/>
    </row>
    <row r="92" spans="1:209">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8"/>
  </sheetPr>
  <dimension ref="A1:HA92"/>
  <sheetViews>
    <sheetView zoomScaleNormal="100" workbookViewId="0">
      <pane xSplit="1" ySplit="3" topLeftCell="AG45" activePane="bottomRight" state="frozen"/>
      <selection pane="bottomRight" activeCell="AT45" sqref="AT45"/>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33" width="9.7109375" style="1"/>
    <col min="34" max="38" width="10.28515625" style="1" customWidth="1"/>
    <col min="39" max="173" width="9.7109375" style="1"/>
    <col min="174" max="174" width="11.7109375" style="1" customWidth="1"/>
    <col min="175" max="198" width="9.7109375" style="1"/>
    <col min="199" max="199" width="5.7109375" style="1" customWidth="1"/>
    <col min="200" max="200" width="6.7109375" style="1" customWidth="1"/>
    <col min="201" max="202" width="8.7109375" style="1" customWidth="1"/>
    <col min="203" max="204" width="6.7109375" style="1" customWidth="1"/>
    <col min="205" max="206" width="8.7109375" style="1" customWidth="1"/>
    <col min="207" max="208" width="6.7109375" style="1" customWidth="1"/>
    <col min="209" max="209" width="1.7109375" style="1" customWidth="1"/>
    <col min="210" max="16384" width="9.7109375" style="1"/>
  </cols>
  <sheetData>
    <row r="1" spans="1:38">
      <c r="A1" s="36" t="s">
        <v>92</v>
      </c>
      <c r="B1" s="11"/>
      <c r="C1" s="11"/>
      <c r="D1" s="11"/>
      <c r="E1" s="11"/>
      <c r="F1" s="11"/>
      <c r="G1" s="11"/>
      <c r="H1" s="11"/>
      <c r="I1" s="11"/>
      <c r="J1" s="11"/>
      <c r="K1" s="11"/>
      <c r="L1" s="11"/>
    </row>
    <row r="2" spans="1:38">
      <c r="A2" s="1" t="s">
        <v>153</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1">
        <v>1668124</v>
      </c>
      <c r="C4" s="1">
        <v>1803286</v>
      </c>
      <c r="D4" s="1">
        <v>1979525</v>
      </c>
      <c r="I4" s="1">
        <v>2937994.2790000001</v>
      </c>
      <c r="J4" s="52">
        <f>+J5+J23+J38+J52+J63</f>
        <v>2938461.1489999997</v>
      </c>
      <c r="K4" s="39">
        <v>3391107.7080000001</v>
      </c>
      <c r="L4" s="39">
        <v>3815250.111</v>
      </c>
      <c r="M4" s="52">
        <f>+M5+M23+M38+M52+M63</f>
        <v>3635006.2800000003</v>
      </c>
      <c r="N4" s="39">
        <v>4118681.443</v>
      </c>
      <c r="O4" s="52">
        <f>+O5+O23+O38+O52+O63</f>
        <v>4223805.8438400002</v>
      </c>
      <c r="R4" s="52">
        <f t="shared" ref="R4:AA4" si="0">+R5+R23+R38+R52+R63</f>
        <v>4238761.1689999998</v>
      </c>
      <c r="S4" s="52">
        <f t="shared" si="0"/>
        <v>4614899.1369999992</v>
      </c>
      <c r="T4" s="52">
        <f t="shared" si="0"/>
        <v>5188291.1380000003</v>
      </c>
      <c r="U4" s="52">
        <f t="shared" si="0"/>
        <v>5816957.7430000007</v>
      </c>
      <c r="V4" s="52">
        <f t="shared" si="0"/>
        <v>6253053.1740000006</v>
      </c>
      <c r="W4" s="52">
        <f t="shared" si="0"/>
        <v>6878201.7579999994</v>
      </c>
      <c r="X4" s="52">
        <f t="shared" si="0"/>
        <v>7394730.7120000003</v>
      </c>
      <c r="Y4" s="52">
        <f t="shared" si="0"/>
        <v>7842461.1280000005</v>
      </c>
      <c r="Z4" s="52">
        <f t="shared" si="0"/>
        <v>8325143.949</v>
      </c>
      <c r="AA4" s="52">
        <f t="shared" si="0"/>
        <v>8825091.284</v>
      </c>
      <c r="AB4" s="52">
        <f t="shared" ref="AB4:AC4" si="1">+AB5+AB23+AB38+AB52+AB63</f>
        <v>9085502.8489999995</v>
      </c>
      <c r="AC4" s="52">
        <f t="shared" si="1"/>
        <v>9225381</v>
      </c>
      <c r="AD4" s="52">
        <f t="shared" ref="AD4:AE4" si="2">+AD5+AD23+AD38+AD52+AD63</f>
        <v>9370181.1450000014</v>
      </c>
      <c r="AE4" s="52">
        <f t="shared" si="2"/>
        <v>9774541.8000000007</v>
      </c>
      <c r="AF4" s="52">
        <f t="shared" ref="AF4:AG4" si="3">+AF5+AF23+AF38+AF52+AF63</f>
        <v>7574008.0220000008</v>
      </c>
      <c r="AG4" s="52">
        <f t="shared" si="3"/>
        <v>7852787.1970000006</v>
      </c>
      <c r="AH4" s="52">
        <f t="shared" ref="AH4:AI4" si="4">+AH5+AH23+AH38+AH52+AH63</f>
        <v>11076525.965</v>
      </c>
      <c r="AI4" s="52">
        <f t="shared" si="4"/>
        <v>11503544.415999999</v>
      </c>
      <c r="AJ4" s="133">
        <f t="shared" ref="AJ4:AK4" si="5">+AJ5+AJ23+AJ38+AJ52+AJ63</f>
        <v>0</v>
      </c>
      <c r="AK4" s="133">
        <f t="shared" si="5"/>
        <v>12524235.928000001</v>
      </c>
      <c r="AL4" s="133">
        <f t="shared" ref="AL4" si="6">+AL5+AL23+AL38+AL52+AL63</f>
        <v>13167349.592999998</v>
      </c>
    </row>
    <row r="5" spans="1:38" ht="12.75" customHeight="1">
      <c r="A5" s="1" t="s">
        <v>21</v>
      </c>
      <c r="B5" s="51">
        <f>SUM(B7:B22)</f>
        <v>214813</v>
      </c>
      <c r="C5" s="51">
        <f t="shared" ref="C5:AA5" si="7">SUM(C7:C22)</f>
        <v>258879</v>
      </c>
      <c r="D5" s="51">
        <f t="shared" si="7"/>
        <v>289868</v>
      </c>
      <c r="E5" s="51">
        <f t="shared" si="7"/>
        <v>0</v>
      </c>
      <c r="F5" s="51">
        <f t="shared" si="7"/>
        <v>0</v>
      </c>
      <c r="G5" s="51">
        <f t="shared" si="7"/>
        <v>0</v>
      </c>
      <c r="H5" s="51">
        <f t="shared" si="7"/>
        <v>0</v>
      </c>
      <c r="I5" s="51">
        <f t="shared" si="7"/>
        <v>468844.15700000001</v>
      </c>
      <c r="J5" s="51">
        <f t="shared" si="7"/>
        <v>440526.93700000003</v>
      </c>
      <c r="K5" s="51">
        <f t="shared" si="7"/>
        <v>495719.56700000004</v>
      </c>
      <c r="L5" s="51">
        <f t="shared" si="7"/>
        <v>526273.85199999996</v>
      </c>
      <c r="M5" s="51">
        <f t="shared" si="7"/>
        <v>480423.99599999993</v>
      </c>
      <c r="N5" s="51">
        <f t="shared" si="7"/>
        <v>602467.16500000004</v>
      </c>
      <c r="O5" s="51">
        <f t="shared" si="7"/>
        <v>618598.91442000004</v>
      </c>
      <c r="P5" s="51">
        <f t="shared" si="7"/>
        <v>0</v>
      </c>
      <c r="Q5" s="51">
        <f t="shared" si="7"/>
        <v>0</v>
      </c>
      <c r="R5" s="51">
        <f t="shared" si="7"/>
        <v>705173.28599999996</v>
      </c>
      <c r="S5" s="51">
        <f t="shared" si="7"/>
        <v>896048.75399999996</v>
      </c>
      <c r="T5" s="51">
        <f t="shared" si="7"/>
        <v>916681.71499999997</v>
      </c>
      <c r="U5" s="51">
        <f t="shared" si="7"/>
        <v>1120254.047</v>
      </c>
      <c r="V5" s="51">
        <f t="shared" si="7"/>
        <v>1200780.5680000002</v>
      </c>
      <c r="W5" s="51">
        <f t="shared" si="7"/>
        <v>1269076.9099999999</v>
      </c>
      <c r="X5" s="51">
        <f t="shared" si="7"/>
        <v>1396427.7729999998</v>
      </c>
      <c r="Y5" s="51">
        <f t="shared" si="7"/>
        <v>1537913.9930000002</v>
      </c>
      <c r="Z5" s="51">
        <f t="shared" si="7"/>
        <v>1674521.0889999997</v>
      </c>
      <c r="AA5" s="51">
        <f t="shared" si="7"/>
        <v>1921421.5129999998</v>
      </c>
      <c r="AB5" s="51">
        <f t="shared" ref="AB5:AC5" si="8">SUM(AB7:AB22)</f>
        <v>1984901.4310000001</v>
      </c>
      <c r="AC5" s="51">
        <f t="shared" si="8"/>
        <v>2026371</v>
      </c>
      <c r="AD5" s="51">
        <f t="shared" ref="AD5:AE5" si="9">SUM(AD7:AD22)</f>
        <v>2089445.362</v>
      </c>
      <c r="AE5" s="51">
        <f t="shared" si="9"/>
        <v>2161122.1800000002</v>
      </c>
      <c r="AF5" s="51">
        <f t="shared" ref="AF5:AG5" si="10">SUM(AF7:AF22)</f>
        <v>2300765.15</v>
      </c>
      <c r="AG5" s="51">
        <f t="shared" si="10"/>
        <v>2467739.2860000003</v>
      </c>
      <c r="AH5" s="51">
        <f t="shared" ref="AH5:AI5" si="11">SUM(AH7:AH22)</f>
        <v>2621568.6500000004</v>
      </c>
      <c r="AI5" s="51">
        <f t="shared" si="11"/>
        <v>2758404.5260000005</v>
      </c>
      <c r="AJ5" s="51">
        <f t="shared" ref="AJ5:AK5" si="12">SUM(AJ7:AJ22)</f>
        <v>0</v>
      </c>
      <c r="AK5" s="51">
        <f t="shared" si="12"/>
        <v>3079884.0510000004</v>
      </c>
      <c r="AL5" s="51">
        <f t="shared" ref="AL5" si="13">SUM(AL7:AL22)</f>
        <v>3381006.5399999996</v>
      </c>
    </row>
    <row r="6" spans="1:38" ht="12.75" customHeight="1">
      <c r="A6" s="6" t="s">
        <v>94</v>
      </c>
      <c r="J6" s="126"/>
      <c r="R6" s="18"/>
      <c r="T6" s="44"/>
    </row>
    <row r="7" spans="1:38" ht="12.75" customHeight="1">
      <c r="A7" s="1" t="s">
        <v>22</v>
      </c>
      <c r="B7" s="1">
        <v>284</v>
      </c>
      <c r="C7" s="1">
        <v>773</v>
      </c>
      <c r="D7" s="1">
        <v>33</v>
      </c>
      <c r="I7" s="1">
        <v>2382.308</v>
      </c>
      <c r="J7" s="126">
        <v>1597.49</v>
      </c>
      <c r="K7" s="1">
        <v>366.96600000000001</v>
      </c>
      <c r="L7" s="1">
        <v>544.375</v>
      </c>
      <c r="M7" s="1">
        <v>1056.4549999999999</v>
      </c>
      <c r="N7" s="1">
        <v>1552.066</v>
      </c>
      <c r="O7" s="1">
        <v>1784.242</v>
      </c>
      <c r="R7" s="24">
        <v>2012.63</v>
      </c>
      <c r="S7" s="1">
        <v>2032.7809999999999</v>
      </c>
      <c r="T7" s="44">
        <v>0</v>
      </c>
      <c r="U7" s="1">
        <v>0</v>
      </c>
      <c r="V7" s="1">
        <v>712.35799999999995</v>
      </c>
      <c r="W7" s="126">
        <v>666.62800000000004</v>
      </c>
      <c r="X7" s="126">
        <v>733.41600000000005</v>
      </c>
      <c r="Y7" s="126">
        <v>10</v>
      </c>
      <c r="Z7" s="126">
        <v>0</v>
      </c>
      <c r="AA7" s="126">
        <v>1206.2829999999999</v>
      </c>
      <c r="AB7" s="126">
        <v>1123.559</v>
      </c>
      <c r="AC7" s="126">
        <v>1204</v>
      </c>
      <c r="AD7" s="1">
        <v>1277.347</v>
      </c>
      <c r="AE7" s="1">
        <v>1337.248</v>
      </c>
      <c r="AF7" s="1">
        <v>1894.623</v>
      </c>
      <c r="AG7" s="1">
        <v>1862.3710000000001</v>
      </c>
      <c r="AH7" s="1">
        <v>1951.221</v>
      </c>
      <c r="AI7" s="1">
        <v>3005.0129999999999</v>
      </c>
      <c r="AK7" s="1">
        <v>2912.192</v>
      </c>
      <c r="AL7" s="1">
        <v>2366.8310000000001</v>
      </c>
    </row>
    <row r="8" spans="1:38" ht="12.75" customHeight="1">
      <c r="A8" s="1" t="s">
        <v>23</v>
      </c>
      <c r="B8" s="1">
        <v>0</v>
      </c>
      <c r="C8" s="1">
        <v>0</v>
      </c>
      <c r="D8" s="1">
        <v>0</v>
      </c>
      <c r="I8" s="1">
        <v>216.47900000000001</v>
      </c>
      <c r="J8" s="126">
        <v>145.048</v>
      </c>
      <c r="K8" s="1">
        <v>473.10500000000002</v>
      </c>
      <c r="L8" s="1">
        <v>2512.61</v>
      </c>
      <c r="M8" s="1">
        <v>4701.607</v>
      </c>
      <c r="N8" s="1">
        <v>2523.5650000000001</v>
      </c>
      <c r="O8" s="1">
        <v>3567.1170000000002</v>
      </c>
      <c r="R8" s="24">
        <v>5377.9359999999997</v>
      </c>
      <c r="S8" s="1">
        <v>7515.598</v>
      </c>
      <c r="T8" s="44">
        <v>10661.236999999999</v>
      </c>
      <c r="U8" s="1">
        <v>12858.547</v>
      </c>
      <c r="V8" s="1">
        <v>15692.206</v>
      </c>
      <c r="W8" s="126">
        <v>16962.341</v>
      </c>
      <c r="X8" s="126">
        <v>18103.22</v>
      </c>
      <c r="Y8" s="126">
        <v>24579.244999999999</v>
      </c>
      <c r="Z8" s="126">
        <v>27250.108</v>
      </c>
      <c r="AA8" s="126">
        <v>22069.577000000001</v>
      </c>
      <c r="AB8" s="126">
        <v>25489.237000000001</v>
      </c>
      <c r="AC8" s="126">
        <v>24978</v>
      </c>
      <c r="AD8" s="1">
        <v>25472.441999999999</v>
      </c>
      <c r="AE8" s="1">
        <v>25204.850999999999</v>
      </c>
      <c r="AF8" s="1">
        <v>26624.236000000001</v>
      </c>
      <c r="AG8" s="1">
        <v>26981.147000000001</v>
      </c>
      <c r="AH8" s="1">
        <v>27679.739000000001</v>
      </c>
      <c r="AI8" s="1">
        <v>27951.333999999999</v>
      </c>
      <c r="AK8" s="1">
        <v>30582.042000000001</v>
      </c>
      <c r="AL8" s="1">
        <v>31622.623</v>
      </c>
    </row>
    <row r="9" spans="1:38" ht="12.75" customHeight="1">
      <c r="A9" s="1" t="s">
        <v>24</v>
      </c>
      <c r="D9" s="1">
        <v>0</v>
      </c>
      <c r="J9" s="126">
        <v>0</v>
      </c>
      <c r="M9" s="1">
        <v>0</v>
      </c>
      <c r="N9" s="1">
        <v>12378.86</v>
      </c>
      <c r="O9" s="1">
        <v>0</v>
      </c>
      <c r="R9" s="24">
        <v>0</v>
      </c>
      <c r="S9" s="35">
        <v>0</v>
      </c>
      <c r="T9" s="45">
        <v>0</v>
      </c>
      <c r="U9" s="35">
        <v>0</v>
      </c>
      <c r="V9" s="35">
        <v>0</v>
      </c>
      <c r="W9" s="126">
        <v>0</v>
      </c>
      <c r="X9" s="126">
        <v>0</v>
      </c>
      <c r="Y9" s="126">
        <v>0</v>
      </c>
      <c r="Z9" s="126">
        <v>0</v>
      </c>
      <c r="AA9" s="126">
        <v>0</v>
      </c>
      <c r="AB9" s="126">
        <v>0</v>
      </c>
      <c r="AC9" s="126">
        <v>0</v>
      </c>
      <c r="AD9" s="1">
        <v>0</v>
      </c>
      <c r="AE9" s="1">
        <v>0</v>
      </c>
      <c r="AF9" s="1">
        <v>0</v>
      </c>
      <c r="AG9" s="1">
        <v>0</v>
      </c>
      <c r="AH9" s="1">
        <v>0</v>
      </c>
      <c r="AI9" s="1">
        <v>0</v>
      </c>
      <c r="AK9" s="1">
        <v>0</v>
      </c>
      <c r="AL9" s="1">
        <v>0</v>
      </c>
    </row>
    <row r="10" spans="1:38" ht="12.75" customHeight="1">
      <c r="A10" s="1" t="s">
        <v>25</v>
      </c>
      <c r="B10" s="1">
        <v>162</v>
      </c>
      <c r="C10" s="1">
        <v>501</v>
      </c>
      <c r="D10" s="1">
        <v>4236</v>
      </c>
      <c r="I10" s="1">
        <v>1850.1010000000001</v>
      </c>
      <c r="J10" s="126">
        <v>6682.9359999999997</v>
      </c>
      <c r="K10" s="1">
        <v>4489.7209999999995</v>
      </c>
      <c r="L10" s="1">
        <v>4676.5919999999996</v>
      </c>
      <c r="M10" s="1">
        <v>3750.7089999999998</v>
      </c>
      <c r="N10" s="1">
        <v>115.771</v>
      </c>
      <c r="O10" s="1">
        <v>51.521000000000001</v>
      </c>
      <c r="R10" s="24">
        <v>0</v>
      </c>
      <c r="S10" s="1">
        <v>28618.047999999999</v>
      </c>
      <c r="T10" s="44">
        <v>0</v>
      </c>
      <c r="U10" s="1">
        <v>0</v>
      </c>
      <c r="V10" s="1">
        <v>0</v>
      </c>
      <c r="W10" s="126">
        <v>0</v>
      </c>
      <c r="X10" s="126">
        <v>0</v>
      </c>
      <c r="Y10" s="126">
        <v>0</v>
      </c>
      <c r="Z10" s="126">
        <v>0</v>
      </c>
      <c r="AA10" s="126">
        <v>0</v>
      </c>
      <c r="AB10" s="126">
        <v>0</v>
      </c>
      <c r="AC10" s="126">
        <v>0</v>
      </c>
      <c r="AD10" s="1">
        <v>0</v>
      </c>
      <c r="AE10" s="1">
        <v>0</v>
      </c>
      <c r="AF10" s="1">
        <v>0</v>
      </c>
      <c r="AG10" s="1">
        <v>0</v>
      </c>
      <c r="AH10" s="1">
        <v>0</v>
      </c>
      <c r="AI10" s="1">
        <v>0</v>
      </c>
      <c r="AK10" s="1">
        <v>0</v>
      </c>
      <c r="AL10" s="1">
        <v>0</v>
      </c>
    </row>
    <row r="11" spans="1:38" ht="12.75" customHeight="1">
      <c r="A11" s="1" t="s">
        <v>26</v>
      </c>
      <c r="B11" s="1">
        <v>4281</v>
      </c>
      <c r="C11" s="1">
        <v>4463</v>
      </c>
      <c r="D11" s="1">
        <v>5173</v>
      </c>
      <c r="I11" s="1">
        <v>16944.814999999999</v>
      </c>
      <c r="J11" s="126">
        <v>11329.58</v>
      </c>
      <c r="K11" s="1">
        <v>9868.8140000000003</v>
      </c>
      <c r="L11" s="1">
        <v>7831.9279999999999</v>
      </c>
      <c r="M11" s="1">
        <v>8845.7099999999991</v>
      </c>
      <c r="N11" s="1">
        <v>7190.5029999999997</v>
      </c>
      <c r="O11" s="1">
        <v>5251.8549999999996</v>
      </c>
      <c r="R11" s="24">
        <v>5862.973</v>
      </c>
      <c r="S11" s="1">
        <v>7045.8490000000002</v>
      </c>
      <c r="T11" s="44">
        <v>15952.736999999999</v>
      </c>
      <c r="U11" s="1">
        <v>9518.2880000000005</v>
      </c>
      <c r="V11" s="1">
        <v>5541.2470000000003</v>
      </c>
      <c r="W11" s="126">
        <v>0</v>
      </c>
      <c r="X11" s="126">
        <v>0</v>
      </c>
      <c r="Y11" s="126">
        <v>0</v>
      </c>
      <c r="Z11" s="126">
        <v>437.197</v>
      </c>
      <c r="AA11" s="126">
        <v>0</v>
      </c>
      <c r="AB11" s="126">
        <v>0</v>
      </c>
      <c r="AC11" s="126">
        <v>23</v>
      </c>
      <c r="AD11" s="1">
        <v>44.213000000000001</v>
      </c>
      <c r="AE11" s="1">
        <v>68.528999999999996</v>
      </c>
      <c r="AF11" s="1">
        <v>0</v>
      </c>
      <c r="AG11" s="1">
        <v>0</v>
      </c>
      <c r="AH11" s="1">
        <v>23.029</v>
      </c>
      <c r="AI11" s="1">
        <v>0</v>
      </c>
      <c r="AK11" s="1">
        <v>0</v>
      </c>
      <c r="AL11" s="1">
        <v>0</v>
      </c>
    </row>
    <row r="12" spans="1:38" ht="12.75" customHeight="1">
      <c r="A12" s="1" t="s">
        <v>27</v>
      </c>
      <c r="B12" s="1">
        <v>149</v>
      </c>
      <c r="C12" s="1">
        <v>147</v>
      </c>
      <c r="D12" s="1">
        <v>92</v>
      </c>
      <c r="I12" s="1">
        <v>0</v>
      </c>
      <c r="J12" s="126">
        <v>0</v>
      </c>
      <c r="K12" s="1">
        <v>76</v>
      </c>
      <c r="L12" s="1">
        <v>76</v>
      </c>
      <c r="M12" s="1">
        <v>0</v>
      </c>
      <c r="N12" s="1">
        <v>0</v>
      </c>
      <c r="O12" s="1">
        <v>0</v>
      </c>
      <c r="R12" s="18">
        <v>0</v>
      </c>
      <c r="S12" s="1">
        <v>6969.3609999999999</v>
      </c>
      <c r="T12" s="44">
        <v>0</v>
      </c>
      <c r="U12" s="1">
        <v>0</v>
      </c>
      <c r="V12" s="1">
        <v>0</v>
      </c>
      <c r="W12" s="126">
        <v>37.5</v>
      </c>
      <c r="X12" s="126">
        <v>37</v>
      </c>
      <c r="Y12" s="126">
        <v>40</v>
      </c>
      <c r="Z12" s="126">
        <v>42.725000000000001</v>
      </c>
      <c r="AA12" s="126">
        <v>42.85</v>
      </c>
      <c r="AB12" s="126">
        <v>42.85</v>
      </c>
      <c r="AC12" s="126">
        <v>44</v>
      </c>
      <c r="AD12" s="1">
        <v>44.13</v>
      </c>
      <c r="AE12" s="1">
        <v>37.642000000000003</v>
      </c>
      <c r="AF12" s="1">
        <v>39.027999999999999</v>
      </c>
      <c r="AG12" s="1">
        <v>39.42</v>
      </c>
      <c r="AH12" s="1">
        <v>0</v>
      </c>
      <c r="AI12" s="1">
        <v>0</v>
      </c>
      <c r="AK12" s="1">
        <v>0</v>
      </c>
      <c r="AL12" s="1">
        <v>0</v>
      </c>
    </row>
    <row r="13" spans="1:38" ht="12.75" customHeight="1">
      <c r="A13" s="1" t="s">
        <v>28</v>
      </c>
      <c r="B13" s="1">
        <v>810</v>
      </c>
      <c r="C13" s="1">
        <v>797</v>
      </c>
      <c r="D13" s="1">
        <v>621</v>
      </c>
      <c r="I13" s="1">
        <v>1006.607</v>
      </c>
      <c r="J13" s="126">
        <v>0</v>
      </c>
      <c r="K13" s="1">
        <v>103.577</v>
      </c>
      <c r="L13" s="1">
        <v>2074.893</v>
      </c>
      <c r="M13" s="1">
        <v>2706.8319999999999</v>
      </c>
      <c r="N13" s="1">
        <v>7646.59</v>
      </c>
      <c r="O13" s="1">
        <v>3753.5934999999999</v>
      </c>
      <c r="R13" s="18">
        <v>0</v>
      </c>
      <c r="S13" s="1">
        <v>0</v>
      </c>
      <c r="T13" s="44">
        <v>0</v>
      </c>
      <c r="U13" s="1">
        <v>0</v>
      </c>
      <c r="V13" s="1">
        <v>0</v>
      </c>
      <c r="W13" s="126">
        <v>0</v>
      </c>
      <c r="X13" s="126">
        <v>0</v>
      </c>
      <c r="Y13" s="126">
        <v>0</v>
      </c>
      <c r="Z13" s="126">
        <v>0</v>
      </c>
      <c r="AA13" s="126">
        <v>0</v>
      </c>
      <c r="AB13" s="126">
        <v>0</v>
      </c>
      <c r="AC13" s="126">
        <v>0</v>
      </c>
      <c r="AD13" s="1">
        <v>0</v>
      </c>
      <c r="AE13" s="1">
        <v>0</v>
      </c>
      <c r="AF13" s="1">
        <v>0</v>
      </c>
      <c r="AG13" s="1">
        <v>0</v>
      </c>
      <c r="AH13" s="1">
        <v>0</v>
      </c>
      <c r="AI13" s="1">
        <v>0</v>
      </c>
      <c r="AK13" s="1">
        <v>0</v>
      </c>
      <c r="AL13" s="1">
        <v>0</v>
      </c>
    </row>
    <row r="14" spans="1:38" ht="12.75" customHeight="1">
      <c r="A14" s="1" t="s">
        <v>29</v>
      </c>
      <c r="B14" s="1">
        <v>60745</v>
      </c>
      <c r="C14" s="1">
        <v>68946</v>
      </c>
      <c r="D14" s="1">
        <v>76462</v>
      </c>
      <c r="I14" s="1">
        <v>117912.739</v>
      </c>
      <c r="J14" s="126">
        <v>86442.547999999995</v>
      </c>
      <c r="K14" s="1">
        <v>111636.743</v>
      </c>
      <c r="L14" s="1">
        <v>121434.96</v>
      </c>
      <c r="M14" s="1">
        <v>97789.055999999997</v>
      </c>
      <c r="N14" s="1">
        <v>136661.24400000001</v>
      </c>
      <c r="O14" s="1">
        <v>138775.08499999999</v>
      </c>
      <c r="R14" s="18">
        <v>174853.52100000001</v>
      </c>
      <c r="S14" s="1">
        <v>185033.85500000001</v>
      </c>
      <c r="T14" s="44">
        <v>173475.16399999999</v>
      </c>
      <c r="U14" s="1">
        <v>194127.03200000001</v>
      </c>
      <c r="V14" s="1">
        <v>216456.45199999999</v>
      </c>
      <c r="W14" s="126">
        <v>233261.67600000001</v>
      </c>
      <c r="X14" s="126">
        <v>253485.60800000001</v>
      </c>
      <c r="Y14" s="126">
        <v>283633.75199999998</v>
      </c>
      <c r="Z14" s="126">
        <v>311559.527</v>
      </c>
      <c r="AA14" s="126">
        <v>331230.62599999999</v>
      </c>
      <c r="AB14" s="126">
        <v>328703.98499999999</v>
      </c>
      <c r="AC14" s="126">
        <v>319337</v>
      </c>
      <c r="AD14" s="1">
        <v>310463.21600000001</v>
      </c>
      <c r="AE14" s="1">
        <v>318137.59899999999</v>
      </c>
      <c r="AF14" s="1">
        <v>329688.86200000002</v>
      </c>
      <c r="AG14" s="1">
        <v>355706.02799999999</v>
      </c>
      <c r="AH14" s="1">
        <v>372794.41499999998</v>
      </c>
      <c r="AI14" s="1">
        <v>393599.27100000001</v>
      </c>
      <c r="AK14" s="1">
        <v>432063.95400000003</v>
      </c>
      <c r="AL14" s="1">
        <v>448190.27500000002</v>
      </c>
    </row>
    <row r="15" spans="1:38" ht="12.75" customHeight="1">
      <c r="A15" s="1" t="s">
        <v>30</v>
      </c>
      <c r="B15" s="1">
        <v>16211</v>
      </c>
      <c r="C15" s="1">
        <v>17061</v>
      </c>
      <c r="D15" s="1">
        <v>17041</v>
      </c>
      <c r="I15" s="1">
        <v>22375.404999999999</v>
      </c>
      <c r="J15" s="126">
        <v>23986.058000000001</v>
      </c>
      <c r="K15" s="1">
        <v>25237.9</v>
      </c>
      <c r="L15" s="1">
        <v>26003.370999999999</v>
      </c>
      <c r="M15" s="1">
        <v>27791.39</v>
      </c>
      <c r="N15" s="1">
        <v>29106.203000000001</v>
      </c>
      <c r="O15" s="1">
        <v>30349.673999999999</v>
      </c>
      <c r="R15" s="18">
        <v>34961.767</v>
      </c>
      <c r="S15" s="1">
        <v>35145.724000000002</v>
      </c>
      <c r="T15" s="44">
        <v>39450.324000000001</v>
      </c>
      <c r="U15" s="1">
        <v>52968.478999999999</v>
      </c>
      <c r="V15" s="1">
        <v>55810.946000000004</v>
      </c>
      <c r="W15" s="126">
        <v>57257.692000000003</v>
      </c>
      <c r="X15" s="126">
        <v>57538.5</v>
      </c>
      <c r="Y15" s="126">
        <v>58165.682000000001</v>
      </c>
      <c r="Z15" s="126">
        <v>43608.385999999999</v>
      </c>
      <c r="AA15" s="126">
        <v>55670.074000000001</v>
      </c>
      <c r="AB15" s="126">
        <v>57730.216</v>
      </c>
      <c r="AC15" s="126">
        <v>58179</v>
      </c>
      <c r="AD15" s="1">
        <v>59716.232000000004</v>
      </c>
      <c r="AE15" s="1">
        <v>63052.987000000001</v>
      </c>
      <c r="AF15" s="1">
        <v>64211.673999999999</v>
      </c>
      <c r="AG15" s="1">
        <v>65090.785000000003</v>
      </c>
      <c r="AH15" s="1">
        <v>67067.739000000001</v>
      </c>
      <c r="AI15" s="1">
        <v>69843.263000000006</v>
      </c>
      <c r="AK15" s="1">
        <v>75697.831000000006</v>
      </c>
      <c r="AL15" s="1">
        <v>75779.236999999994</v>
      </c>
    </row>
    <row r="16" spans="1:38" ht="12.75" customHeight="1">
      <c r="A16" s="1" t="s">
        <v>31</v>
      </c>
      <c r="B16" s="1">
        <v>33451</v>
      </c>
      <c r="C16" s="1">
        <v>36855</v>
      </c>
      <c r="D16" s="1">
        <v>39577</v>
      </c>
      <c r="I16" s="1">
        <v>62784.838000000003</v>
      </c>
      <c r="J16" s="126">
        <v>66425.36</v>
      </c>
      <c r="K16" s="1">
        <v>73868.070000000007</v>
      </c>
      <c r="L16" s="1">
        <v>73798.554000000004</v>
      </c>
      <c r="M16" s="1">
        <v>77742.909</v>
      </c>
      <c r="N16" s="1">
        <v>79489.664000000004</v>
      </c>
      <c r="O16" s="1">
        <v>85489.541259999998</v>
      </c>
      <c r="R16" s="18">
        <v>106933.386</v>
      </c>
      <c r="S16" s="1">
        <v>113447.99</v>
      </c>
      <c r="T16" s="1">
        <v>118798.538</v>
      </c>
      <c r="U16" s="1">
        <v>121914.44100000001</v>
      </c>
      <c r="V16" s="1">
        <v>130036.98299999999</v>
      </c>
      <c r="W16" s="126">
        <v>142293.92499999999</v>
      </c>
      <c r="X16" s="126">
        <v>156170.91399999999</v>
      </c>
      <c r="Y16" s="126">
        <v>170546.91500000001</v>
      </c>
      <c r="Z16" s="126">
        <v>185256.946</v>
      </c>
      <c r="AA16" s="126">
        <v>196114.31599999999</v>
      </c>
      <c r="AB16" s="126">
        <v>194949.065</v>
      </c>
      <c r="AC16" s="126">
        <v>196168</v>
      </c>
      <c r="AD16" s="1">
        <v>200979.897</v>
      </c>
      <c r="AE16" s="1">
        <v>206763.141</v>
      </c>
      <c r="AF16" s="1">
        <v>217479.856</v>
      </c>
      <c r="AG16" s="1">
        <v>229527.08900000001</v>
      </c>
      <c r="AH16" s="1">
        <v>240151.64799999999</v>
      </c>
      <c r="AI16" s="1">
        <v>242273.02600000001</v>
      </c>
      <c r="AK16" s="1">
        <v>266759.24</v>
      </c>
      <c r="AL16" s="1">
        <v>269781.74099999998</v>
      </c>
    </row>
    <row r="17" spans="1:38" ht="12.75" customHeight="1">
      <c r="A17" s="1" t="s">
        <v>32</v>
      </c>
      <c r="B17" s="1">
        <v>3402</v>
      </c>
      <c r="C17" s="1">
        <v>5524</v>
      </c>
      <c r="D17" s="1">
        <v>8948</v>
      </c>
      <c r="I17" s="1">
        <v>12821.857</v>
      </c>
      <c r="J17" s="126">
        <v>13524.073</v>
      </c>
      <c r="K17" s="1">
        <v>13970.608</v>
      </c>
      <c r="L17" s="1">
        <v>14771.242</v>
      </c>
      <c r="M17" s="1">
        <v>16373.995000000001</v>
      </c>
      <c r="N17" s="1">
        <v>18578</v>
      </c>
      <c r="O17" s="1">
        <v>18571.666000000001</v>
      </c>
      <c r="R17" s="18">
        <v>21942.473999999998</v>
      </c>
      <c r="S17" s="1">
        <v>96999.585999999996</v>
      </c>
      <c r="T17" s="1">
        <v>35401.694000000003</v>
      </c>
      <c r="U17" s="1">
        <v>36909.184000000001</v>
      </c>
      <c r="V17" s="1">
        <v>38114.421000000002</v>
      </c>
      <c r="W17" s="126">
        <v>35850.881000000001</v>
      </c>
      <c r="X17" s="126">
        <v>38080.938999999998</v>
      </c>
      <c r="Y17" s="126">
        <v>41404.911</v>
      </c>
      <c r="Z17" s="126">
        <v>44625.760999999999</v>
      </c>
      <c r="AA17" s="126">
        <v>44518</v>
      </c>
      <c r="AB17" s="126">
        <v>48196.733999999997</v>
      </c>
      <c r="AC17" s="126">
        <v>49488</v>
      </c>
      <c r="AD17" s="1">
        <v>50287.86</v>
      </c>
      <c r="AE17" s="1">
        <v>53708.855000000003</v>
      </c>
      <c r="AF17" s="1">
        <v>54484.402000000002</v>
      </c>
      <c r="AG17" s="1">
        <v>57759.271999999997</v>
      </c>
      <c r="AH17" s="1">
        <v>59620.248</v>
      </c>
      <c r="AI17" s="1">
        <v>61432.862999999998</v>
      </c>
      <c r="AK17" s="1">
        <v>65410.985999999997</v>
      </c>
      <c r="AL17" s="1">
        <v>67476.349000000002</v>
      </c>
    </row>
    <row r="18" spans="1:38" ht="12.75" customHeight="1">
      <c r="A18" s="1" t="s">
        <v>33</v>
      </c>
      <c r="B18" s="1">
        <v>9034</v>
      </c>
      <c r="C18" s="1">
        <v>10288</v>
      </c>
      <c r="D18" s="1">
        <v>10980</v>
      </c>
      <c r="I18" s="1">
        <v>18669.647000000001</v>
      </c>
      <c r="J18" s="126">
        <v>19975.723999999998</v>
      </c>
      <c r="K18" s="1">
        <v>20919.785</v>
      </c>
      <c r="L18" s="1">
        <v>21972.346000000001</v>
      </c>
      <c r="M18" s="1">
        <v>23315.361000000001</v>
      </c>
      <c r="N18" s="1">
        <v>25736.965</v>
      </c>
      <c r="O18" s="1">
        <v>26823.088</v>
      </c>
      <c r="R18" s="18">
        <v>32693.306</v>
      </c>
      <c r="S18" s="1">
        <v>36060.332000000002</v>
      </c>
      <c r="T18" s="1">
        <v>42014.372000000003</v>
      </c>
      <c r="U18" s="1">
        <v>42156.156000000003</v>
      </c>
      <c r="V18" s="1">
        <v>43349.449000000001</v>
      </c>
      <c r="W18" s="126">
        <v>45934.281000000003</v>
      </c>
      <c r="X18" s="126">
        <v>50253.569000000003</v>
      </c>
      <c r="Y18" s="126">
        <v>52743.142</v>
      </c>
      <c r="Z18" s="126">
        <v>55962.514000000003</v>
      </c>
      <c r="AA18" s="126">
        <v>59726.923999999999</v>
      </c>
      <c r="AB18" s="126">
        <v>60984.748</v>
      </c>
      <c r="AC18" s="126">
        <v>62561</v>
      </c>
      <c r="AD18" s="1">
        <v>61813.258999999998</v>
      </c>
      <c r="AE18" s="1">
        <v>61922.561999999998</v>
      </c>
      <c r="AF18" s="1">
        <v>63981.228999999999</v>
      </c>
      <c r="AG18" s="1">
        <v>65139.796999999999</v>
      </c>
      <c r="AH18" s="1">
        <v>67546.614000000001</v>
      </c>
      <c r="AI18" s="1">
        <v>70887.495999999999</v>
      </c>
      <c r="AK18" s="1">
        <v>78445.422999999995</v>
      </c>
      <c r="AL18" s="1">
        <v>81061.032000000007</v>
      </c>
    </row>
    <row r="19" spans="1:38" ht="12.75" customHeight="1">
      <c r="A19" s="1" t="s">
        <v>34</v>
      </c>
      <c r="B19" s="1">
        <v>408</v>
      </c>
      <c r="C19" s="1">
        <v>264</v>
      </c>
      <c r="D19" s="1">
        <v>0</v>
      </c>
      <c r="I19" s="1">
        <v>0</v>
      </c>
      <c r="J19" s="126">
        <v>0</v>
      </c>
      <c r="K19" s="1">
        <v>0</v>
      </c>
      <c r="L19" s="1">
        <v>0</v>
      </c>
      <c r="M19" s="1">
        <v>0</v>
      </c>
      <c r="N19" s="1">
        <v>0</v>
      </c>
      <c r="O19" s="1">
        <v>10.199</v>
      </c>
      <c r="R19" s="24">
        <v>0</v>
      </c>
      <c r="S19" s="1">
        <v>0</v>
      </c>
      <c r="T19" s="1">
        <v>0</v>
      </c>
      <c r="U19" s="1">
        <v>0</v>
      </c>
      <c r="V19" s="1">
        <v>0</v>
      </c>
      <c r="W19" s="126">
        <v>0</v>
      </c>
      <c r="X19" s="126">
        <v>0</v>
      </c>
      <c r="Y19" s="126">
        <v>0</v>
      </c>
      <c r="Z19" s="126">
        <v>0</v>
      </c>
      <c r="AA19" s="126">
        <v>0</v>
      </c>
      <c r="AB19" s="126">
        <v>0</v>
      </c>
      <c r="AC19" s="126">
        <v>0</v>
      </c>
      <c r="AD19" s="1">
        <v>0</v>
      </c>
      <c r="AE19" s="1">
        <v>0</v>
      </c>
      <c r="AF19" s="1">
        <v>0</v>
      </c>
      <c r="AG19" s="1">
        <v>0</v>
      </c>
      <c r="AH19" s="1">
        <v>0</v>
      </c>
      <c r="AI19" s="1">
        <v>0</v>
      </c>
      <c r="AK19" s="1">
        <v>0</v>
      </c>
      <c r="AL19" s="1">
        <v>0</v>
      </c>
    </row>
    <row r="20" spans="1:38" ht="12.75" customHeight="1">
      <c r="A20" s="1" t="s">
        <v>35</v>
      </c>
      <c r="B20" s="1">
        <v>85876</v>
      </c>
      <c r="C20" s="1">
        <v>112337</v>
      </c>
      <c r="D20" s="1">
        <v>126120</v>
      </c>
      <c r="I20" s="1">
        <v>210906.818</v>
      </c>
      <c r="J20" s="126">
        <v>209508.649</v>
      </c>
      <c r="K20" s="1">
        <v>233781.47899999999</v>
      </c>
      <c r="L20" s="1">
        <v>249579.158</v>
      </c>
      <c r="M20" s="1">
        <v>214377.75200000001</v>
      </c>
      <c r="N20" s="1">
        <v>280140.65000000002</v>
      </c>
      <c r="O20" s="1">
        <v>301995.77100000001</v>
      </c>
      <c r="R20" s="18">
        <v>319042.97200000001</v>
      </c>
      <c r="S20" s="1">
        <v>374883.76899999997</v>
      </c>
      <c r="T20" s="1">
        <v>479068.47</v>
      </c>
      <c r="U20" s="1">
        <v>647994.94499999995</v>
      </c>
      <c r="V20" s="1">
        <v>692884.56200000003</v>
      </c>
      <c r="W20" s="126">
        <v>734536.63800000004</v>
      </c>
      <c r="X20" s="126">
        <v>819827.424</v>
      </c>
      <c r="Y20" s="126">
        <v>904256.05500000005</v>
      </c>
      <c r="Z20" s="126">
        <v>1003554.877</v>
      </c>
      <c r="AA20" s="126">
        <v>1209008.426</v>
      </c>
      <c r="AB20" s="126">
        <v>1264941.459</v>
      </c>
      <c r="AC20" s="126">
        <v>1311860</v>
      </c>
      <c r="AD20" s="1">
        <v>1376332.6470000001</v>
      </c>
      <c r="AE20" s="1">
        <v>1427979.287</v>
      </c>
      <c r="AF20" s="1">
        <v>1539840.3459999999</v>
      </c>
      <c r="AG20" s="1">
        <v>1663357.047</v>
      </c>
      <c r="AH20" s="1">
        <v>1781752.49</v>
      </c>
      <c r="AI20" s="1">
        <v>1886970.1370000001</v>
      </c>
      <c r="AK20" s="1">
        <v>2125220.1490000002</v>
      </c>
      <c r="AL20" s="1">
        <v>2401741.2969999998</v>
      </c>
    </row>
    <row r="21" spans="1:38" ht="12.75" customHeight="1">
      <c r="A21" s="1" t="s">
        <v>36</v>
      </c>
      <c r="B21" s="1">
        <v>0</v>
      </c>
      <c r="C21" s="1">
        <v>923</v>
      </c>
      <c r="D21" s="1">
        <v>585</v>
      </c>
      <c r="I21" s="1">
        <v>972.54300000000001</v>
      </c>
      <c r="J21" s="126">
        <v>909.471</v>
      </c>
      <c r="K21" s="1">
        <v>926.79899999999998</v>
      </c>
      <c r="L21" s="1">
        <v>997.82299999999998</v>
      </c>
      <c r="M21" s="1">
        <v>1972.22</v>
      </c>
      <c r="N21" s="1">
        <v>1281.8920000000001</v>
      </c>
      <c r="O21" s="1">
        <v>2110.4870000000001</v>
      </c>
      <c r="R21" s="18">
        <v>1492.3209999999999</v>
      </c>
      <c r="S21" s="1">
        <v>1569.7550000000001</v>
      </c>
      <c r="T21" s="1">
        <v>1859.1790000000001</v>
      </c>
      <c r="U21" s="1">
        <v>1806.9749999999999</v>
      </c>
      <c r="V21" s="1">
        <v>1871.85</v>
      </c>
      <c r="W21" s="126">
        <v>2062.0520000000001</v>
      </c>
      <c r="X21" s="126">
        <v>1934.05</v>
      </c>
      <c r="Y21" s="126">
        <v>2261.11</v>
      </c>
      <c r="Z21" s="126">
        <v>2026.46</v>
      </c>
      <c r="AA21" s="126">
        <v>1834.4369999999999</v>
      </c>
      <c r="AB21" s="126">
        <v>2288.8069999999998</v>
      </c>
      <c r="AC21" s="126">
        <v>2213</v>
      </c>
      <c r="AD21" s="1">
        <v>2139.7930000000001</v>
      </c>
      <c r="AE21" s="1">
        <v>2190.3330000000001</v>
      </c>
      <c r="AF21" s="1">
        <v>2520.8939999999998</v>
      </c>
      <c r="AG21" s="1">
        <v>2276.33</v>
      </c>
      <c r="AH21" s="1">
        <v>2378.7190000000001</v>
      </c>
      <c r="AI21" s="1">
        <v>2442.123</v>
      </c>
      <c r="AK21" s="1">
        <v>2792.2339999999999</v>
      </c>
      <c r="AL21" s="1">
        <v>2987.1550000000002</v>
      </c>
    </row>
    <row r="22" spans="1:38" ht="12.75" customHeight="1">
      <c r="A22" s="27" t="s">
        <v>37</v>
      </c>
      <c r="B22" s="27">
        <v>0</v>
      </c>
      <c r="C22" s="27">
        <v>0</v>
      </c>
      <c r="D22" s="27">
        <v>0</v>
      </c>
      <c r="E22" s="27"/>
      <c r="F22" s="27"/>
      <c r="G22" s="27"/>
      <c r="H22" s="27"/>
      <c r="I22" s="27">
        <v>0</v>
      </c>
      <c r="J22" s="127">
        <v>0</v>
      </c>
      <c r="K22" s="27"/>
      <c r="L22" s="27">
        <v>0</v>
      </c>
      <c r="M22" s="27">
        <v>0</v>
      </c>
      <c r="N22" s="27">
        <v>65.191999999999993</v>
      </c>
      <c r="O22" s="27">
        <v>65.074660000000009</v>
      </c>
      <c r="P22" s="27"/>
      <c r="Q22" s="27"/>
      <c r="R22" s="27">
        <v>0</v>
      </c>
      <c r="S22" s="27">
        <v>726.10599999999999</v>
      </c>
      <c r="T22" s="27">
        <v>0</v>
      </c>
      <c r="U22" s="27">
        <v>0</v>
      </c>
      <c r="V22" s="27">
        <v>310.09399999999999</v>
      </c>
      <c r="W22" s="127">
        <v>213.29599999999999</v>
      </c>
      <c r="X22" s="127">
        <v>263.13299999999998</v>
      </c>
      <c r="Y22" s="127">
        <v>273.18099999999998</v>
      </c>
      <c r="Z22" s="127">
        <v>196.58799999999999</v>
      </c>
      <c r="AA22" s="127">
        <v>0</v>
      </c>
      <c r="AB22" s="127">
        <v>450.77100000000002</v>
      </c>
      <c r="AC22" s="127">
        <v>316</v>
      </c>
      <c r="AD22" s="27">
        <v>874.32600000000002</v>
      </c>
      <c r="AE22" s="27">
        <v>719.14599999999996</v>
      </c>
      <c r="AF22" s="27">
        <v>0</v>
      </c>
      <c r="AG22" s="27">
        <v>0</v>
      </c>
      <c r="AH22" s="27">
        <v>602.78800000000001</v>
      </c>
      <c r="AI22" s="27">
        <v>0</v>
      </c>
      <c r="AJ22" s="27"/>
      <c r="AK22" s="1">
        <v>0</v>
      </c>
      <c r="AL22" s="1">
        <v>0</v>
      </c>
    </row>
    <row r="23" spans="1:38" ht="12.75" customHeight="1">
      <c r="A23" s="6" t="s">
        <v>38</v>
      </c>
      <c r="B23" s="51">
        <f>SUM(B25:B37)</f>
        <v>0</v>
      </c>
      <c r="C23" s="51">
        <f t="shared" ref="C23:AK23" si="14">SUM(C25:C37)</f>
        <v>0</v>
      </c>
      <c r="D23" s="51">
        <f t="shared" si="14"/>
        <v>0</v>
      </c>
      <c r="E23" s="51">
        <f t="shared" si="14"/>
        <v>0</v>
      </c>
      <c r="F23" s="51">
        <f t="shared" si="14"/>
        <v>0</v>
      </c>
      <c r="G23" s="51">
        <f t="shared" si="14"/>
        <v>0</v>
      </c>
      <c r="H23" s="51">
        <f t="shared" si="14"/>
        <v>0</v>
      </c>
      <c r="I23" s="51">
        <f t="shared" si="14"/>
        <v>0</v>
      </c>
      <c r="J23" s="51">
        <f t="shared" si="14"/>
        <v>1132516.3429999999</v>
      </c>
      <c r="K23" s="51">
        <f t="shared" si="14"/>
        <v>0</v>
      </c>
      <c r="L23" s="51">
        <f t="shared" si="14"/>
        <v>0</v>
      </c>
      <c r="M23" s="51">
        <f t="shared" si="14"/>
        <v>1500700.0330000001</v>
      </c>
      <c r="N23" s="51">
        <f t="shared" si="14"/>
        <v>0</v>
      </c>
      <c r="O23" s="51">
        <f t="shared" si="14"/>
        <v>1789376.1157500001</v>
      </c>
      <c r="P23" s="51">
        <f t="shared" si="14"/>
        <v>0</v>
      </c>
      <c r="Q23" s="51">
        <f t="shared" si="14"/>
        <v>0</v>
      </c>
      <c r="R23" s="51">
        <f t="shared" si="14"/>
        <v>1556476.7390000001</v>
      </c>
      <c r="S23" s="51">
        <f t="shared" si="14"/>
        <v>1598486.1189999999</v>
      </c>
      <c r="T23" s="51">
        <f t="shared" si="14"/>
        <v>1856506.5619999997</v>
      </c>
      <c r="U23" s="51">
        <f t="shared" si="14"/>
        <v>1963220.3530000004</v>
      </c>
      <c r="V23" s="51">
        <f t="shared" si="14"/>
        <v>2184138.6720000003</v>
      </c>
      <c r="W23" s="51">
        <f t="shared" si="14"/>
        <v>2610224.9619999994</v>
      </c>
      <c r="X23" s="51">
        <f t="shared" si="14"/>
        <v>2801338.2529999996</v>
      </c>
      <c r="Y23" s="51">
        <f t="shared" si="14"/>
        <v>2996124.0620000004</v>
      </c>
      <c r="Z23" s="51">
        <f t="shared" si="14"/>
        <v>3160310.7029999997</v>
      </c>
      <c r="AA23" s="51">
        <f t="shared" si="14"/>
        <v>3302403.284</v>
      </c>
      <c r="AB23" s="51">
        <f t="shared" si="14"/>
        <v>3325892.213</v>
      </c>
      <c r="AC23" s="51">
        <f t="shared" si="14"/>
        <v>3345443</v>
      </c>
      <c r="AD23" s="51">
        <f t="shared" si="14"/>
        <v>3406237.8850000002</v>
      </c>
      <c r="AE23" s="51">
        <f t="shared" si="14"/>
        <v>3693738.5100000002</v>
      </c>
      <c r="AF23" s="51">
        <f t="shared" si="14"/>
        <v>2428744.2660000003</v>
      </c>
      <c r="AG23" s="51">
        <f t="shared" si="14"/>
        <v>2520016.9510000004</v>
      </c>
      <c r="AH23" s="51">
        <f t="shared" si="14"/>
        <v>4431282.9969999995</v>
      </c>
      <c r="AI23" s="51">
        <f t="shared" si="14"/>
        <v>4648179.7899999991</v>
      </c>
      <c r="AJ23" s="51">
        <f t="shared" si="14"/>
        <v>0</v>
      </c>
      <c r="AK23" s="131">
        <f t="shared" si="14"/>
        <v>5085826.7019999996</v>
      </c>
      <c r="AL23" s="131">
        <f t="shared" ref="AL23" si="15">SUM(AL25:AL37)</f>
        <v>5321662.7299999986</v>
      </c>
    </row>
    <row r="24" spans="1:38" ht="12.75" customHeight="1">
      <c r="A24" s="6" t="s">
        <v>94</v>
      </c>
      <c r="AI24" s="1">
        <v>0</v>
      </c>
    </row>
    <row r="25" spans="1:38" ht="12.75" customHeight="1">
      <c r="A25" s="1" t="s">
        <v>39</v>
      </c>
      <c r="J25" s="126">
        <v>523.20100000000002</v>
      </c>
      <c r="M25" s="1">
        <v>679</v>
      </c>
      <c r="O25" s="1">
        <v>647.23099999999999</v>
      </c>
      <c r="R25" s="18">
        <v>10520.531000000001</v>
      </c>
      <c r="S25" s="1">
        <v>654.73099999999999</v>
      </c>
      <c r="T25" s="1">
        <v>9691.6309999999994</v>
      </c>
      <c r="U25" s="1">
        <v>5800</v>
      </c>
      <c r="V25" s="1">
        <v>5800</v>
      </c>
      <c r="W25" s="126">
        <v>0</v>
      </c>
      <c r="X25" s="126">
        <v>0</v>
      </c>
      <c r="Y25" s="126">
        <v>0</v>
      </c>
      <c r="Z25" s="126">
        <v>6954.94</v>
      </c>
      <c r="AA25" s="126">
        <v>8004.91</v>
      </c>
      <c r="AB25" s="126">
        <v>8993.1290000000008</v>
      </c>
      <c r="AC25" s="126">
        <v>0</v>
      </c>
      <c r="AD25" s="1">
        <v>10031.393</v>
      </c>
      <c r="AE25" s="1">
        <v>10031.393</v>
      </c>
      <c r="AF25" s="1">
        <v>0</v>
      </c>
      <c r="AG25" s="1">
        <v>0</v>
      </c>
      <c r="AH25" s="1">
        <v>11768.623</v>
      </c>
      <c r="AI25" s="1">
        <v>12355.803</v>
      </c>
      <c r="AK25" s="1">
        <v>13199.645</v>
      </c>
      <c r="AL25" s="1">
        <v>11879.68</v>
      </c>
    </row>
    <row r="26" spans="1:38" ht="12.75" customHeight="1">
      <c r="A26" s="1" t="s">
        <v>40</v>
      </c>
      <c r="J26" s="126">
        <v>159548.68100000001</v>
      </c>
      <c r="M26" s="1">
        <v>184076.821</v>
      </c>
      <c r="O26" s="1">
        <v>236757.61838</v>
      </c>
      <c r="R26" s="18">
        <v>262503.90399999998</v>
      </c>
      <c r="S26" s="1">
        <v>286815.14</v>
      </c>
      <c r="T26" s="1">
        <v>371644.38699999999</v>
      </c>
      <c r="U26" s="1">
        <v>394423.67200000002</v>
      </c>
      <c r="V26" s="1">
        <v>431020.065</v>
      </c>
      <c r="W26" s="126">
        <v>454624.26799999998</v>
      </c>
      <c r="X26" s="126">
        <v>513745.89199999999</v>
      </c>
      <c r="Y26" s="126">
        <v>569653.17099999997</v>
      </c>
      <c r="Z26" s="126">
        <v>611403.67799999996</v>
      </c>
      <c r="AA26" s="126">
        <v>651433.51100000006</v>
      </c>
      <c r="AB26" s="126">
        <v>652479.13</v>
      </c>
      <c r="AC26" s="126">
        <v>668688</v>
      </c>
      <c r="AD26" s="1">
        <v>664182.44200000004</v>
      </c>
      <c r="AE26" s="1">
        <v>667846.64899999998</v>
      </c>
      <c r="AF26" s="1">
        <v>166162.34299999999</v>
      </c>
      <c r="AG26" s="1">
        <v>173081.522</v>
      </c>
      <c r="AH26" s="112">
        <v>748197.19900000002</v>
      </c>
      <c r="AI26" s="1">
        <v>760935.85199999996</v>
      </c>
      <c r="AK26" s="1">
        <v>812736.70499999996</v>
      </c>
      <c r="AL26" s="1">
        <v>832435.201</v>
      </c>
    </row>
    <row r="27" spans="1:38" ht="12.75" customHeight="1">
      <c r="A27" s="1" t="s">
        <v>41</v>
      </c>
      <c r="J27" s="126">
        <v>774185.08100000001</v>
      </c>
      <c r="M27" s="1">
        <v>1130134.7790000001</v>
      </c>
      <c r="O27" s="1">
        <v>1365003.872</v>
      </c>
      <c r="R27" s="18">
        <v>1073000</v>
      </c>
      <c r="S27" s="1">
        <v>1082111.1470000001</v>
      </c>
      <c r="T27" s="1">
        <v>1216736.683</v>
      </c>
      <c r="U27" s="1">
        <v>1279348.8540000001</v>
      </c>
      <c r="V27" s="1">
        <v>1463729.9280000001</v>
      </c>
      <c r="W27" s="126">
        <v>1843142.416</v>
      </c>
      <c r="X27" s="126">
        <v>1938019.6189999999</v>
      </c>
      <c r="Y27" s="126">
        <v>2057716.6610000001</v>
      </c>
      <c r="Z27" s="126">
        <v>2139912.7250000001</v>
      </c>
      <c r="AA27" s="126">
        <v>2221083.6490000002</v>
      </c>
      <c r="AB27" s="126">
        <v>2180721.9029999999</v>
      </c>
      <c r="AC27" s="126">
        <v>2213318</v>
      </c>
      <c r="AD27" s="1">
        <v>2249116.6639999999</v>
      </c>
      <c r="AE27" s="1">
        <v>2508453.52</v>
      </c>
      <c r="AF27" s="1">
        <v>1851125.0859999999</v>
      </c>
      <c r="AG27" s="1">
        <v>1907391.757</v>
      </c>
      <c r="AH27" s="112">
        <v>3135445.1409999998</v>
      </c>
      <c r="AI27" s="1">
        <v>3321949.7519999999</v>
      </c>
      <c r="AK27" s="1">
        <v>3639215.8820000002</v>
      </c>
      <c r="AL27" s="1">
        <v>3808203.22</v>
      </c>
    </row>
    <row r="28" spans="1:38" ht="12.75" customHeight="1">
      <c r="A28" s="1" t="s">
        <v>42</v>
      </c>
      <c r="J28" s="126">
        <v>21879.112000000001</v>
      </c>
      <c r="M28" s="1">
        <v>27548.572</v>
      </c>
      <c r="O28" s="1">
        <v>29260.539000000001</v>
      </c>
      <c r="R28" s="18">
        <v>26794.026999999998</v>
      </c>
      <c r="S28" s="1">
        <v>36839.603000000003</v>
      </c>
      <c r="T28" s="1">
        <v>40049.572</v>
      </c>
      <c r="U28" s="1">
        <v>42503.188000000002</v>
      </c>
      <c r="V28" s="1">
        <v>42051.51</v>
      </c>
      <c r="W28" s="126">
        <v>46672.546999999999</v>
      </c>
      <c r="X28" s="126">
        <v>54422.358999999997</v>
      </c>
      <c r="Y28" s="126">
        <v>61729.561000000002</v>
      </c>
      <c r="Z28" s="126">
        <v>73246.917000000001</v>
      </c>
      <c r="AA28" s="126">
        <v>74301.494999999995</v>
      </c>
      <c r="AB28" s="126">
        <v>96324.153000000006</v>
      </c>
      <c r="AC28" s="126">
        <v>82141</v>
      </c>
      <c r="AD28" s="1">
        <v>78374.201000000001</v>
      </c>
      <c r="AE28" s="1">
        <v>84923.441000000006</v>
      </c>
      <c r="AF28" s="1">
        <v>42938.218000000001</v>
      </c>
      <c r="AG28" s="1">
        <v>44333.01</v>
      </c>
      <c r="AH28" s="112">
        <v>66103.42</v>
      </c>
      <c r="AI28" s="1">
        <v>51389.214999999997</v>
      </c>
      <c r="AK28" s="1">
        <v>65599.967000000004</v>
      </c>
      <c r="AL28" s="1">
        <v>87004.668999999994</v>
      </c>
    </row>
    <row r="29" spans="1:38" ht="12.75" customHeight="1">
      <c r="A29" s="1" t="s">
        <v>43</v>
      </c>
      <c r="J29" s="126">
        <v>0</v>
      </c>
      <c r="M29" s="1">
        <v>0</v>
      </c>
      <c r="O29" s="1">
        <v>0</v>
      </c>
      <c r="R29" s="18">
        <v>0</v>
      </c>
      <c r="S29" s="1">
        <v>0</v>
      </c>
      <c r="T29" s="1">
        <v>0</v>
      </c>
      <c r="U29" s="1">
        <v>0</v>
      </c>
      <c r="V29" s="1">
        <v>0</v>
      </c>
      <c r="W29" s="126">
        <v>0</v>
      </c>
      <c r="X29" s="126">
        <v>0</v>
      </c>
      <c r="Y29" s="126">
        <v>0</v>
      </c>
      <c r="Z29" s="126">
        <v>0</v>
      </c>
      <c r="AA29" s="126">
        <v>0</v>
      </c>
      <c r="AB29" s="126">
        <v>0</v>
      </c>
      <c r="AC29" s="126">
        <v>0</v>
      </c>
      <c r="AD29" s="1">
        <v>0</v>
      </c>
      <c r="AE29" s="1">
        <v>0</v>
      </c>
      <c r="AF29" s="1">
        <v>0</v>
      </c>
      <c r="AG29" s="1">
        <v>0</v>
      </c>
      <c r="AH29" s="1">
        <v>0</v>
      </c>
      <c r="AI29" s="1">
        <v>0</v>
      </c>
      <c r="AK29" s="1">
        <v>0</v>
      </c>
      <c r="AL29" s="1">
        <v>0</v>
      </c>
    </row>
    <row r="30" spans="1:38" ht="12.75" customHeight="1">
      <c r="A30" s="1" t="s">
        <v>44</v>
      </c>
      <c r="J30" s="126">
        <v>7270.6949999999997</v>
      </c>
      <c r="M30" s="1">
        <v>10101.796</v>
      </c>
      <c r="O30" s="1">
        <v>10519.868</v>
      </c>
      <c r="R30" s="18">
        <v>10615.061</v>
      </c>
      <c r="S30" s="1">
        <v>11148.427</v>
      </c>
      <c r="T30" s="1">
        <v>8555.9639999999999</v>
      </c>
      <c r="U30" s="1">
        <v>5339.9549999999999</v>
      </c>
      <c r="V30" s="1">
        <v>5634.9639999999999</v>
      </c>
      <c r="W30" s="126">
        <v>6050.1580000000004</v>
      </c>
      <c r="X30" s="126">
        <v>7633.2669999999998</v>
      </c>
      <c r="Y30" s="126">
        <v>8197.56</v>
      </c>
      <c r="Z30" s="126">
        <v>9076.1239999999998</v>
      </c>
      <c r="AA30" s="126">
        <v>12187.547</v>
      </c>
      <c r="AB30" s="126">
        <v>12900.300999999999</v>
      </c>
      <c r="AC30" s="126">
        <v>13398</v>
      </c>
      <c r="AD30" s="1">
        <v>20558.592000000001</v>
      </c>
      <c r="AE30" s="1">
        <v>26482.778999999999</v>
      </c>
      <c r="AF30" s="1">
        <v>27176.379000000001</v>
      </c>
      <c r="AG30" s="1">
        <v>28006.400000000001</v>
      </c>
      <c r="AH30" s="1">
        <v>29171.198</v>
      </c>
      <c r="AI30" s="1">
        <v>30246.864000000001</v>
      </c>
      <c r="AK30" s="1">
        <v>33892.675999999999</v>
      </c>
      <c r="AL30" s="1">
        <v>35743.843999999997</v>
      </c>
    </row>
    <row r="31" spans="1:38" ht="12.75" customHeight="1">
      <c r="A31" s="1" t="s">
        <v>45</v>
      </c>
      <c r="J31" s="126">
        <v>2851.58</v>
      </c>
      <c r="M31" s="1">
        <v>4103.9970000000003</v>
      </c>
      <c r="O31" s="1">
        <v>3550.17121</v>
      </c>
      <c r="R31" s="24">
        <v>3868.0059999999999</v>
      </c>
      <c r="S31" s="1">
        <v>4069.3110000000001</v>
      </c>
      <c r="T31" s="1">
        <v>4296.9399999999996</v>
      </c>
      <c r="U31" s="1">
        <v>4684.933</v>
      </c>
      <c r="V31" s="1">
        <v>5403.9620000000004</v>
      </c>
      <c r="W31" s="126">
        <v>5424.1080000000002</v>
      </c>
      <c r="X31" s="126">
        <v>6282.5050000000001</v>
      </c>
      <c r="Y31" s="126">
        <v>6780.69</v>
      </c>
      <c r="Z31" s="126">
        <v>6966.4070000000002</v>
      </c>
      <c r="AA31" s="126">
        <v>8016.5290000000005</v>
      </c>
      <c r="AB31" s="126">
        <v>8104.9250000000002</v>
      </c>
      <c r="AC31" s="126">
        <v>8151</v>
      </c>
      <c r="AD31" s="1">
        <v>8403.9670000000006</v>
      </c>
      <c r="AE31" s="1">
        <v>8621.7340000000004</v>
      </c>
      <c r="AF31" s="1">
        <v>9066.2929999999997</v>
      </c>
      <c r="AG31" s="1">
        <v>9747.8019999999997</v>
      </c>
      <c r="AH31" s="1">
        <v>9475.9040000000005</v>
      </c>
      <c r="AI31" s="1">
        <v>10366.967000000001</v>
      </c>
      <c r="AK31" s="1">
        <v>10772.342000000001</v>
      </c>
      <c r="AL31" s="1">
        <v>11452.498</v>
      </c>
    </row>
    <row r="32" spans="1:38" ht="12.75" customHeight="1">
      <c r="A32" s="1" t="s">
        <v>46</v>
      </c>
      <c r="J32" s="126">
        <v>0</v>
      </c>
      <c r="M32" s="1">
        <v>0</v>
      </c>
      <c r="O32" s="1">
        <v>0</v>
      </c>
      <c r="R32" s="24">
        <v>0</v>
      </c>
      <c r="S32" s="1">
        <v>0</v>
      </c>
      <c r="T32" s="1">
        <v>3451</v>
      </c>
      <c r="U32" s="1">
        <v>3311</v>
      </c>
      <c r="V32" s="1">
        <v>0</v>
      </c>
      <c r="W32" s="126">
        <v>0</v>
      </c>
      <c r="X32" s="126">
        <v>0</v>
      </c>
      <c r="Y32" s="126">
        <v>0</v>
      </c>
      <c r="Z32" s="126">
        <v>0</v>
      </c>
      <c r="AA32" s="126">
        <v>0</v>
      </c>
      <c r="AB32" s="126">
        <v>0</v>
      </c>
      <c r="AC32" s="126">
        <v>0</v>
      </c>
      <c r="AD32" s="1">
        <v>0</v>
      </c>
      <c r="AE32" s="1">
        <v>0</v>
      </c>
      <c r="AF32" s="1">
        <v>0</v>
      </c>
      <c r="AG32" s="1">
        <v>0</v>
      </c>
      <c r="AH32" s="1">
        <v>0</v>
      </c>
      <c r="AI32" s="1">
        <v>0</v>
      </c>
      <c r="AK32" s="1">
        <v>0</v>
      </c>
      <c r="AL32" s="1">
        <v>0</v>
      </c>
    </row>
    <row r="33" spans="1:38" ht="12.75" customHeight="1">
      <c r="A33" s="1" t="s">
        <v>47</v>
      </c>
      <c r="J33" s="126">
        <v>34012.108999999997</v>
      </c>
      <c r="M33" s="1">
        <v>38219.330999999998</v>
      </c>
      <c r="O33" s="1">
        <v>42603.313179999997</v>
      </c>
      <c r="R33" s="24">
        <v>52321.601999999999</v>
      </c>
      <c r="S33" s="1">
        <v>57611.23</v>
      </c>
      <c r="T33" s="1">
        <v>61789.315999999999</v>
      </c>
      <c r="U33" s="1">
        <v>72584.191000000006</v>
      </c>
      <c r="V33" s="1">
        <v>75041.384000000005</v>
      </c>
      <c r="W33" s="126">
        <v>82915.805999999997</v>
      </c>
      <c r="X33" s="126">
        <v>92644.305999999997</v>
      </c>
      <c r="Y33" s="126">
        <v>92000.222999999998</v>
      </c>
      <c r="Z33" s="126">
        <v>108044.659</v>
      </c>
      <c r="AA33" s="126">
        <v>113956.13499999999</v>
      </c>
      <c r="AB33" s="126">
        <v>119339.58500000001</v>
      </c>
      <c r="AC33" s="126">
        <v>120930</v>
      </c>
      <c r="AD33" s="1">
        <v>126889.52099999999</v>
      </c>
      <c r="AE33" s="1">
        <v>126528.07</v>
      </c>
      <c r="AF33" s="1">
        <v>70040.778999999995</v>
      </c>
      <c r="AG33" s="1">
        <v>82522.582999999999</v>
      </c>
      <c r="AH33" s="112">
        <v>146242.47700000001</v>
      </c>
      <c r="AI33" s="1">
        <v>161319.93</v>
      </c>
      <c r="AK33" s="1">
        <v>184751.236</v>
      </c>
      <c r="AL33" s="1">
        <v>193888.375</v>
      </c>
    </row>
    <row r="34" spans="1:38" ht="12.75" customHeight="1">
      <c r="A34" s="1" t="s">
        <v>48</v>
      </c>
      <c r="J34" s="126">
        <v>115072.508</v>
      </c>
      <c r="M34" s="1">
        <v>91831.161999999997</v>
      </c>
      <c r="O34" s="1">
        <v>86921.056280000004</v>
      </c>
      <c r="R34" s="18">
        <v>97391.934999999998</v>
      </c>
      <c r="S34" s="1">
        <v>98711.917000000001</v>
      </c>
      <c r="T34" s="1">
        <v>115749.254</v>
      </c>
      <c r="U34" s="1">
        <v>127643.01700000001</v>
      </c>
      <c r="V34" s="1">
        <v>133204.014</v>
      </c>
      <c r="W34" s="126">
        <v>143990.04999999999</v>
      </c>
      <c r="X34" s="126">
        <v>156028.726</v>
      </c>
      <c r="Y34" s="126">
        <v>162135.821</v>
      </c>
      <c r="Z34" s="126">
        <v>166078.30900000001</v>
      </c>
      <c r="AA34" s="126">
        <v>175490.158</v>
      </c>
      <c r="AB34" s="126">
        <v>197312.97</v>
      </c>
      <c r="AC34" s="126">
        <v>199999</v>
      </c>
      <c r="AD34" s="1">
        <v>203406.84899999999</v>
      </c>
      <c r="AE34" s="1">
        <v>212660.93799999999</v>
      </c>
      <c r="AF34" s="1">
        <v>214904.08199999999</v>
      </c>
      <c r="AG34" s="1">
        <v>225103.57500000001</v>
      </c>
      <c r="AH34" s="1">
        <v>232326.677</v>
      </c>
      <c r="AI34" s="1">
        <v>254553.674</v>
      </c>
      <c r="AK34" s="1">
        <v>277843.66499999998</v>
      </c>
      <c r="AL34" s="1">
        <v>288949.20299999998</v>
      </c>
    </row>
    <row r="35" spans="1:38" ht="12.75" customHeight="1">
      <c r="A35" s="1" t="s">
        <v>49</v>
      </c>
      <c r="J35" s="126">
        <v>0</v>
      </c>
      <c r="M35" s="1">
        <v>0</v>
      </c>
      <c r="O35" s="1">
        <v>0</v>
      </c>
      <c r="R35" s="18">
        <v>506.74</v>
      </c>
      <c r="S35" s="1">
        <v>0</v>
      </c>
      <c r="T35" s="1">
        <v>0</v>
      </c>
      <c r="U35" s="1">
        <v>0</v>
      </c>
      <c r="V35" s="1">
        <v>0</v>
      </c>
      <c r="W35" s="126">
        <v>0</v>
      </c>
      <c r="X35" s="126">
        <v>0</v>
      </c>
      <c r="Y35" s="126">
        <v>0</v>
      </c>
      <c r="Z35" s="126">
        <v>0</v>
      </c>
      <c r="AA35" s="126">
        <v>0</v>
      </c>
      <c r="AB35" s="126">
        <v>0</v>
      </c>
      <c r="AC35" s="126">
        <v>0</v>
      </c>
      <c r="AD35" s="1">
        <v>0</v>
      </c>
      <c r="AE35" s="1">
        <v>0</v>
      </c>
      <c r="AF35" s="1">
        <v>0</v>
      </c>
      <c r="AG35" s="1">
        <v>0</v>
      </c>
      <c r="AH35" s="1">
        <v>0</v>
      </c>
      <c r="AI35" s="1">
        <v>0</v>
      </c>
      <c r="AK35" s="1">
        <v>0</v>
      </c>
      <c r="AL35" s="1">
        <v>0</v>
      </c>
    </row>
    <row r="36" spans="1:38" ht="12.75" customHeight="1">
      <c r="A36" s="1" t="s">
        <v>50</v>
      </c>
      <c r="J36" s="126">
        <v>2804.3910000000001</v>
      </c>
      <c r="M36" s="1">
        <v>0</v>
      </c>
      <c r="O36" s="1">
        <v>99.436700000000002</v>
      </c>
      <c r="R36" s="18">
        <v>0</v>
      </c>
      <c r="S36" s="1">
        <v>0</v>
      </c>
      <c r="T36" s="1">
        <v>0</v>
      </c>
      <c r="U36" s="1">
        <v>0</v>
      </c>
      <c r="V36" s="1">
        <v>0</v>
      </c>
      <c r="W36" s="126">
        <v>0</v>
      </c>
      <c r="X36" s="126">
        <v>0</v>
      </c>
      <c r="Y36" s="126">
        <v>0</v>
      </c>
      <c r="Z36" s="126">
        <v>0</v>
      </c>
      <c r="AA36" s="126">
        <v>0</v>
      </c>
      <c r="AB36" s="126">
        <v>0</v>
      </c>
      <c r="AC36" s="126">
        <v>0</v>
      </c>
      <c r="AD36" s="1">
        <v>0</v>
      </c>
      <c r="AE36" s="1">
        <v>0</v>
      </c>
      <c r="AF36" s="1">
        <v>0</v>
      </c>
      <c r="AG36" s="1">
        <v>0</v>
      </c>
      <c r="AH36" s="1">
        <v>0</v>
      </c>
      <c r="AI36" s="1">
        <v>0</v>
      </c>
      <c r="AK36" s="1">
        <v>0</v>
      </c>
      <c r="AL36" s="1">
        <v>0</v>
      </c>
    </row>
    <row r="37" spans="1:38" ht="12.75" customHeight="1">
      <c r="A37" s="27" t="s">
        <v>51</v>
      </c>
      <c r="B37" s="27"/>
      <c r="C37" s="27"/>
      <c r="D37" s="27"/>
      <c r="E37" s="27"/>
      <c r="F37" s="27"/>
      <c r="G37" s="27"/>
      <c r="H37" s="27"/>
      <c r="I37" s="27"/>
      <c r="J37" s="127">
        <v>14368.985000000001</v>
      </c>
      <c r="K37" s="27"/>
      <c r="L37" s="27"/>
      <c r="M37" s="27">
        <v>14004.575000000001</v>
      </c>
      <c r="N37" s="27"/>
      <c r="O37" s="27">
        <v>14013.01</v>
      </c>
      <c r="P37" s="27"/>
      <c r="Q37" s="27"/>
      <c r="R37" s="37">
        <v>18954.933000000001</v>
      </c>
      <c r="S37" s="27">
        <v>20524.613000000001</v>
      </c>
      <c r="T37" s="27">
        <v>24541.814999999999</v>
      </c>
      <c r="U37" s="27">
        <v>27581.543000000001</v>
      </c>
      <c r="V37" s="27">
        <v>22252.845000000001</v>
      </c>
      <c r="W37" s="127">
        <v>27405.609</v>
      </c>
      <c r="X37" s="127">
        <v>32561.579000000002</v>
      </c>
      <c r="Y37" s="127">
        <v>37910.375</v>
      </c>
      <c r="Z37" s="127">
        <v>38626.944000000003</v>
      </c>
      <c r="AA37" s="127">
        <v>37929.35</v>
      </c>
      <c r="AB37" s="127">
        <v>49716.116999999998</v>
      </c>
      <c r="AC37" s="127">
        <v>38818</v>
      </c>
      <c r="AD37" s="27">
        <v>45274.256000000001</v>
      </c>
      <c r="AE37" s="27">
        <v>48189.985999999997</v>
      </c>
      <c r="AF37" s="27">
        <v>47331.086000000003</v>
      </c>
      <c r="AG37" s="27">
        <v>49830.302000000003</v>
      </c>
      <c r="AH37" s="27">
        <v>52552.358</v>
      </c>
      <c r="AI37" s="27">
        <v>45061.733</v>
      </c>
      <c r="AJ37" s="27"/>
      <c r="AK37" s="1">
        <v>47814.584000000003</v>
      </c>
      <c r="AL37" s="1">
        <v>52106.04</v>
      </c>
    </row>
    <row r="38" spans="1:38" ht="12.75" customHeight="1">
      <c r="A38" s="6" t="s">
        <v>52</v>
      </c>
      <c r="B38" s="51">
        <f>SUM(B40:B51)</f>
        <v>0</v>
      </c>
      <c r="C38" s="51">
        <f t="shared" ref="C38:AK38" si="16">SUM(C40:C51)</f>
        <v>0</v>
      </c>
      <c r="D38" s="51">
        <f t="shared" si="16"/>
        <v>0</v>
      </c>
      <c r="E38" s="51">
        <f t="shared" si="16"/>
        <v>0</v>
      </c>
      <c r="F38" s="51">
        <f t="shared" si="16"/>
        <v>0</v>
      </c>
      <c r="G38" s="51">
        <f t="shared" si="16"/>
        <v>0</v>
      </c>
      <c r="H38" s="51">
        <f t="shared" si="16"/>
        <v>0</v>
      </c>
      <c r="I38" s="51">
        <f t="shared" si="16"/>
        <v>0</v>
      </c>
      <c r="J38" s="51">
        <f t="shared" si="16"/>
        <v>941162.27300000004</v>
      </c>
      <c r="K38" s="51">
        <f t="shared" si="16"/>
        <v>0</v>
      </c>
      <c r="L38" s="51">
        <f t="shared" si="16"/>
        <v>0</v>
      </c>
      <c r="M38" s="51">
        <f t="shared" si="16"/>
        <v>1176290.6710000001</v>
      </c>
      <c r="N38" s="51">
        <f t="shared" si="16"/>
        <v>0</v>
      </c>
      <c r="O38" s="51">
        <f t="shared" si="16"/>
        <v>1277513.49367</v>
      </c>
      <c r="P38" s="51">
        <f t="shared" si="16"/>
        <v>0</v>
      </c>
      <c r="Q38" s="51">
        <f t="shared" si="16"/>
        <v>0</v>
      </c>
      <c r="R38" s="51">
        <f t="shared" si="16"/>
        <v>1419960.2150000001</v>
      </c>
      <c r="S38" s="51">
        <f t="shared" si="16"/>
        <v>1501528.97</v>
      </c>
      <c r="T38" s="51">
        <f t="shared" si="16"/>
        <v>1765165.6720000003</v>
      </c>
      <c r="U38" s="51">
        <f t="shared" si="16"/>
        <v>2050054.8230000003</v>
      </c>
      <c r="V38" s="51">
        <f t="shared" si="16"/>
        <v>2164834.767</v>
      </c>
      <c r="W38" s="51">
        <f t="shared" si="16"/>
        <v>2248718.1050000004</v>
      </c>
      <c r="X38" s="51">
        <f t="shared" si="16"/>
        <v>2399755.088</v>
      </c>
      <c r="Y38" s="51">
        <f t="shared" si="16"/>
        <v>2464068.2000000002</v>
      </c>
      <c r="Z38" s="51">
        <f t="shared" si="16"/>
        <v>2611818.5470000003</v>
      </c>
      <c r="AA38" s="51">
        <f t="shared" si="16"/>
        <v>2702474.8360000001</v>
      </c>
      <c r="AB38" s="51">
        <f t="shared" si="16"/>
        <v>2861820.3739999998</v>
      </c>
      <c r="AC38" s="51">
        <f t="shared" si="16"/>
        <v>2939223</v>
      </c>
      <c r="AD38" s="51">
        <f t="shared" si="16"/>
        <v>2944647.9759999998</v>
      </c>
      <c r="AE38" s="51">
        <f t="shared" si="16"/>
        <v>2981047.2749999999</v>
      </c>
      <c r="AF38" s="51">
        <f t="shared" si="16"/>
        <v>1908859.4220000003</v>
      </c>
      <c r="AG38" s="51">
        <f t="shared" si="16"/>
        <v>1907113.186</v>
      </c>
      <c r="AH38" s="51">
        <f t="shared" si="16"/>
        <v>2943376.733</v>
      </c>
      <c r="AI38" s="51">
        <f t="shared" si="16"/>
        <v>3016825.9390000002</v>
      </c>
      <c r="AJ38" s="51">
        <f t="shared" si="16"/>
        <v>0</v>
      </c>
      <c r="AK38" s="131">
        <f t="shared" si="16"/>
        <v>3196453.091</v>
      </c>
      <c r="AL38" s="131">
        <f t="shared" ref="AL38" si="17">SUM(AL40:AL51)</f>
        <v>3279892.1830000002</v>
      </c>
    </row>
    <row r="39" spans="1:38" ht="12.75" customHeight="1">
      <c r="A39" s="6" t="s">
        <v>94</v>
      </c>
      <c r="AI39" s="1">
        <v>0</v>
      </c>
    </row>
    <row r="40" spans="1:38" ht="12.75" customHeight="1">
      <c r="A40" s="1" t="s">
        <v>53</v>
      </c>
      <c r="J40" s="126">
        <v>302603.22499999998</v>
      </c>
      <c r="M40" s="1">
        <v>403422.57400000002</v>
      </c>
      <c r="O40" s="1">
        <v>433746.42700000003</v>
      </c>
      <c r="R40" s="18">
        <v>494611.05499999999</v>
      </c>
      <c r="S40" s="1">
        <v>520136.02399999998</v>
      </c>
      <c r="T40" s="1">
        <v>604855.09</v>
      </c>
      <c r="U40" s="1">
        <v>590053.68700000003</v>
      </c>
      <c r="V40" s="1">
        <v>629447.26500000001</v>
      </c>
      <c r="W40" s="126">
        <v>657035.20799999998</v>
      </c>
      <c r="X40" s="126">
        <v>729953.80200000003</v>
      </c>
      <c r="Y40" s="126">
        <v>775954.26399999997</v>
      </c>
      <c r="Z40" s="126">
        <v>840403.08100000001</v>
      </c>
      <c r="AA40" s="126">
        <v>873902.93599999999</v>
      </c>
      <c r="AB40" s="126">
        <v>899403.51899999997</v>
      </c>
      <c r="AC40" s="126">
        <v>914527</v>
      </c>
      <c r="AD40" s="1">
        <v>924855.11399999994</v>
      </c>
      <c r="AE40" s="1">
        <v>942823.745</v>
      </c>
      <c r="AF40" s="1">
        <v>557113.723</v>
      </c>
      <c r="AG40" s="1">
        <v>582879.74699999997</v>
      </c>
      <c r="AH40" s="1">
        <v>1081660.1359999999</v>
      </c>
      <c r="AI40" s="1">
        <v>1115051.584</v>
      </c>
      <c r="AK40" s="1">
        <v>1141044.0930000001</v>
      </c>
      <c r="AL40" s="1">
        <v>1172215.3189999999</v>
      </c>
    </row>
    <row r="41" spans="1:38" ht="12.75" customHeight="1">
      <c r="A41" s="1" t="s">
        <v>54</v>
      </c>
      <c r="J41" s="126">
        <v>0</v>
      </c>
      <c r="M41" s="1">
        <v>0</v>
      </c>
      <c r="O41" s="1">
        <v>0</v>
      </c>
      <c r="R41" s="18">
        <v>0</v>
      </c>
      <c r="S41" s="1">
        <v>0</v>
      </c>
      <c r="T41" s="1">
        <v>0</v>
      </c>
      <c r="U41" s="1">
        <v>0</v>
      </c>
      <c r="V41" s="1">
        <v>0</v>
      </c>
      <c r="W41" s="126">
        <v>0</v>
      </c>
      <c r="X41" s="126">
        <v>0</v>
      </c>
      <c r="Y41" s="126">
        <v>0</v>
      </c>
      <c r="Z41" s="126">
        <v>0</v>
      </c>
      <c r="AA41" s="126">
        <v>0</v>
      </c>
      <c r="AB41" s="126">
        <v>0</v>
      </c>
      <c r="AC41" s="126">
        <v>0</v>
      </c>
      <c r="AD41" s="1">
        <v>0</v>
      </c>
      <c r="AE41" s="1">
        <v>0</v>
      </c>
      <c r="AF41" s="1">
        <v>0</v>
      </c>
      <c r="AG41" s="1">
        <v>0</v>
      </c>
      <c r="AH41" s="1">
        <v>0</v>
      </c>
      <c r="AI41" s="1">
        <v>0</v>
      </c>
      <c r="AK41" s="1">
        <v>0</v>
      </c>
      <c r="AL41" s="1">
        <v>0</v>
      </c>
    </row>
    <row r="42" spans="1:38" ht="12.75" customHeight="1">
      <c r="A42" s="1" t="s">
        <v>55</v>
      </c>
      <c r="J42" s="126">
        <v>23211.089</v>
      </c>
      <c r="M42" s="1">
        <v>26528.582999999999</v>
      </c>
      <c r="O42" s="1">
        <v>28003.976999999999</v>
      </c>
      <c r="R42" s="18">
        <v>34392.976999999999</v>
      </c>
      <c r="S42" s="1">
        <v>36129.294000000002</v>
      </c>
      <c r="T42" s="1">
        <v>37262.025999999998</v>
      </c>
      <c r="U42" s="1">
        <v>65770.652000000002</v>
      </c>
      <c r="V42" s="1">
        <v>65216.904000000002</v>
      </c>
      <c r="W42" s="126">
        <v>67203.822</v>
      </c>
      <c r="X42" s="126">
        <v>73502.054999999993</v>
      </c>
      <c r="Y42" s="126">
        <v>80541.425000000003</v>
      </c>
      <c r="Z42" s="126">
        <v>79854.786999999997</v>
      </c>
      <c r="AA42" s="126">
        <v>90426.705000000002</v>
      </c>
      <c r="AB42" s="126">
        <v>99099.214000000007</v>
      </c>
      <c r="AC42" s="126">
        <v>107022</v>
      </c>
      <c r="AD42" s="1">
        <v>114880.209</v>
      </c>
      <c r="AE42" s="1">
        <v>117352.694</v>
      </c>
      <c r="AF42" s="1">
        <v>120083.014</v>
      </c>
      <c r="AG42" s="1">
        <v>122216.531</v>
      </c>
      <c r="AH42" s="1">
        <v>140232.815</v>
      </c>
      <c r="AI42" s="1">
        <v>147959.65100000001</v>
      </c>
      <c r="AK42" s="1">
        <v>159972.07199999999</v>
      </c>
      <c r="AL42" s="1">
        <v>167826.06899999999</v>
      </c>
    </row>
    <row r="43" spans="1:38" ht="12.75" customHeight="1">
      <c r="A43" s="1" t="s">
        <v>56</v>
      </c>
      <c r="J43" s="126">
        <v>78019.894</v>
      </c>
      <c r="M43" s="1">
        <v>106999.76</v>
      </c>
      <c r="O43" s="1">
        <v>109962.96939</v>
      </c>
      <c r="R43" s="18">
        <v>130522.253</v>
      </c>
      <c r="S43" s="1">
        <v>135435.351</v>
      </c>
      <c r="T43" s="1">
        <v>144166.454</v>
      </c>
      <c r="U43" s="1">
        <v>162102.38200000001</v>
      </c>
      <c r="V43" s="1">
        <v>170629.603</v>
      </c>
      <c r="W43" s="126">
        <v>174042.34400000001</v>
      </c>
      <c r="X43" s="126">
        <v>189315.125</v>
      </c>
      <c r="Y43" s="126">
        <v>196832.5</v>
      </c>
      <c r="Z43" s="126">
        <v>206012.79999999999</v>
      </c>
      <c r="AA43" s="126">
        <v>207826.421</v>
      </c>
      <c r="AB43" s="126">
        <v>207183.69200000001</v>
      </c>
      <c r="AC43" s="126">
        <v>205761</v>
      </c>
      <c r="AD43" s="1">
        <v>209844.97500000001</v>
      </c>
      <c r="AE43" s="1">
        <v>216866.72200000001</v>
      </c>
      <c r="AF43" s="1">
        <v>199378.024</v>
      </c>
      <c r="AG43" s="1">
        <v>208672.61</v>
      </c>
      <c r="AH43" s="1">
        <v>243307.19099999999</v>
      </c>
      <c r="AI43" s="1">
        <v>253612.27600000001</v>
      </c>
      <c r="AK43" s="1">
        <v>277896.83899999998</v>
      </c>
      <c r="AL43" s="1">
        <v>284223.57400000002</v>
      </c>
    </row>
    <row r="44" spans="1:38" ht="12.75" customHeight="1">
      <c r="A44" s="1" t="s">
        <v>57</v>
      </c>
      <c r="J44" s="126">
        <v>180451.84</v>
      </c>
      <c r="M44" s="1">
        <v>258370.13200000001</v>
      </c>
      <c r="O44" s="1">
        <v>207360.61567</v>
      </c>
      <c r="R44" s="18">
        <v>275185.57799999998</v>
      </c>
      <c r="S44" s="1">
        <v>288112.33799999999</v>
      </c>
      <c r="T44" s="1">
        <v>363167.15700000001</v>
      </c>
      <c r="U44" s="1">
        <v>483304.62599999999</v>
      </c>
      <c r="V44" s="1">
        <v>503319.07799999998</v>
      </c>
      <c r="W44" s="126">
        <v>519587.79499999998</v>
      </c>
      <c r="X44" s="126">
        <v>535400.51500000001</v>
      </c>
      <c r="Y44" s="126">
        <v>575549.80700000003</v>
      </c>
      <c r="Z44" s="126">
        <v>602296.24699999997</v>
      </c>
      <c r="AA44" s="126">
        <v>605772.755</v>
      </c>
      <c r="AB44" s="126">
        <v>596436.06200000003</v>
      </c>
      <c r="AC44" s="126">
        <v>551945</v>
      </c>
      <c r="AD44" s="1">
        <v>523770.84899999999</v>
      </c>
      <c r="AE44" s="1">
        <v>511749.42099999997</v>
      </c>
      <c r="AF44" s="1">
        <v>472399.14500000002</v>
      </c>
      <c r="AG44" s="1">
        <v>485207.57799999998</v>
      </c>
      <c r="AH44" s="1">
        <v>555496.50199999998</v>
      </c>
      <c r="AI44" s="1">
        <v>559345.86800000002</v>
      </c>
      <c r="AK44" s="1">
        <v>595806.78200000001</v>
      </c>
      <c r="AL44" s="1">
        <v>620356.42299999995</v>
      </c>
    </row>
    <row r="45" spans="1:38" ht="12.75" customHeight="1">
      <c r="A45" s="1" t="s">
        <v>58</v>
      </c>
      <c r="J45" s="126">
        <v>15834.787</v>
      </c>
      <c r="M45" s="1">
        <v>5142.7290000000003</v>
      </c>
      <c r="O45" s="1">
        <v>0</v>
      </c>
      <c r="R45" s="18">
        <v>0</v>
      </c>
      <c r="S45" s="1">
        <v>0</v>
      </c>
      <c r="T45" s="1">
        <v>0</v>
      </c>
      <c r="U45" s="1">
        <v>0</v>
      </c>
      <c r="V45" s="1">
        <v>0</v>
      </c>
      <c r="W45" s="126">
        <v>0</v>
      </c>
      <c r="X45" s="126">
        <v>0</v>
      </c>
      <c r="Y45" s="126">
        <v>0</v>
      </c>
      <c r="Z45" s="126">
        <v>0</v>
      </c>
      <c r="AA45" s="126">
        <v>0</v>
      </c>
      <c r="AB45" s="126">
        <v>0</v>
      </c>
      <c r="AC45" s="126">
        <v>0</v>
      </c>
      <c r="AD45" s="1">
        <v>0</v>
      </c>
      <c r="AE45" s="1">
        <v>0</v>
      </c>
      <c r="AF45" s="1">
        <v>0</v>
      </c>
      <c r="AG45" s="1">
        <v>0</v>
      </c>
      <c r="AH45" s="1">
        <v>0</v>
      </c>
      <c r="AI45" s="1">
        <v>0</v>
      </c>
      <c r="AK45" s="1">
        <v>0</v>
      </c>
      <c r="AL45" s="1">
        <v>0</v>
      </c>
    </row>
    <row r="46" spans="1:38" ht="12.75" customHeight="1">
      <c r="A46" s="1" t="s">
        <v>59</v>
      </c>
      <c r="J46" s="126">
        <v>40539.603999999999</v>
      </c>
      <c r="M46" s="1">
        <v>15017.958000000001</v>
      </c>
      <c r="O46" s="1">
        <v>76950.691000000006</v>
      </c>
      <c r="R46" s="18">
        <v>23952.407999999999</v>
      </c>
      <c r="S46" s="1">
        <v>33198.83</v>
      </c>
      <c r="T46" s="1">
        <v>27800.877</v>
      </c>
      <c r="U46" s="1">
        <v>37961.449999999997</v>
      </c>
      <c r="V46" s="1">
        <v>40552.158000000003</v>
      </c>
      <c r="W46" s="126">
        <v>41503.667999999998</v>
      </c>
      <c r="X46" s="126">
        <v>45089.904000000002</v>
      </c>
      <c r="Y46" s="126">
        <v>46103.394999999997</v>
      </c>
      <c r="Z46" s="126">
        <v>50616.076000000001</v>
      </c>
      <c r="AA46" s="126">
        <v>52706.756999999998</v>
      </c>
      <c r="AB46" s="126">
        <v>52504.563999999998</v>
      </c>
      <c r="AC46" s="126">
        <v>117325</v>
      </c>
      <c r="AD46" s="1">
        <v>115447.235</v>
      </c>
      <c r="AE46" s="1">
        <v>116892.658</v>
      </c>
      <c r="AF46" s="1">
        <v>147972.52299999999</v>
      </c>
      <c r="AG46" s="1">
        <v>139345.098</v>
      </c>
      <c r="AH46" s="1">
        <v>152018.50700000001</v>
      </c>
      <c r="AI46" s="1">
        <v>157276.75899999999</v>
      </c>
      <c r="AK46" s="1">
        <v>169794.704</v>
      </c>
      <c r="AL46" s="1">
        <v>177013.31400000001</v>
      </c>
    </row>
    <row r="47" spans="1:38" ht="12.75" customHeight="1">
      <c r="A47" s="1" t="s">
        <v>60</v>
      </c>
      <c r="J47" s="126">
        <v>29246.164000000001</v>
      </c>
      <c r="M47" s="1">
        <v>32444.39</v>
      </c>
      <c r="O47" s="1">
        <v>56416.305999999997</v>
      </c>
      <c r="R47" s="24">
        <v>24928.31</v>
      </c>
      <c r="S47" s="1">
        <v>19872.094000000001</v>
      </c>
      <c r="T47" s="1">
        <v>49581.046000000002</v>
      </c>
      <c r="U47" s="1">
        <v>60221.771999999997</v>
      </c>
      <c r="V47" s="1">
        <v>68574.111000000004</v>
      </c>
      <c r="W47" s="126">
        <v>75656.438999999998</v>
      </c>
      <c r="X47" s="126">
        <v>78450.159</v>
      </c>
      <c r="Y47" s="126">
        <v>84228.866999999998</v>
      </c>
      <c r="Z47" s="126">
        <v>93493.305999999997</v>
      </c>
      <c r="AA47" s="126">
        <v>100596.00199999999</v>
      </c>
      <c r="AB47" s="126">
        <v>122263.30499999999</v>
      </c>
      <c r="AC47" s="126">
        <v>120979</v>
      </c>
      <c r="AD47" s="1">
        <v>127736.65399999999</v>
      </c>
      <c r="AE47" s="1">
        <v>134269.83100000001</v>
      </c>
      <c r="AF47" s="1">
        <v>103536.19100000001</v>
      </c>
      <c r="AG47" s="1">
        <v>107909.281</v>
      </c>
      <c r="AH47" s="1">
        <v>160297.28599999999</v>
      </c>
      <c r="AI47" s="1">
        <v>169508.86799999999</v>
      </c>
      <c r="AK47" s="1">
        <v>178019.39</v>
      </c>
      <c r="AL47" s="1">
        <v>187434.16699999999</v>
      </c>
    </row>
    <row r="48" spans="1:38" ht="12.75" customHeight="1">
      <c r="A48" s="1" t="s">
        <v>61</v>
      </c>
      <c r="J48" s="126">
        <v>18.542999999999999</v>
      </c>
      <c r="M48" s="1">
        <v>5.1790000000000003</v>
      </c>
      <c r="O48" s="1">
        <v>334.89801</v>
      </c>
      <c r="R48" s="18">
        <v>20.565000000000001</v>
      </c>
      <c r="S48" s="1">
        <v>20.782</v>
      </c>
      <c r="T48" s="1">
        <v>21.539000000000001</v>
      </c>
      <c r="U48" s="1">
        <v>1548.6</v>
      </c>
      <c r="V48" s="1">
        <v>0</v>
      </c>
      <c r="W48" s="126">
        <v>0</v>
      </c>
      <c r="X48" s="126">
        <v>0</v>
      </c>
      <c r="Y48" s="126">
        <v>0</v>
      </c>
      <c r="Z48" s="126">
        <v>0</v>
      </c>
      <c r="AA48" s="126">
        <v>0</v>
      </c>
      <c r="AB48" s="126">
        <v>0</v>
      </c>
      <c r="AC48" s="126">
        <v>0</v>
      </c>
      <c r="AD48" s="1">
        <v>0</v>
      </c>
      <c r="AE48" s="1">
        <v>0</v>
      </c>
      <c r="AF48" s="1">
        <v>0</v>
      </c>
      <c r="AG48" s="1">
        <v>0</v>
      </c>
      <c r="AH48" s="1">
        <v>0</v>
      </c>
      <c r="AI48" s="1">
        <v>0</v>
      </c>
      <c r="AK48" s="1">
        <v>0</v>
      </c>
      <c r="AL48" s="1">
        <v>0</v>
      </c>
    </row>
    <row r="49" spans="1:38" ht="12.75" customHeight="1">
      <c r="A49" s="1" t="s">
        <v>62</v>
      </c>
      <c r="J49" s="126">
        <v>61285.279999999999</v>
      </c>
      <c r="M49" s="1">
        <v>69410.663</v>
      </c>
      <c r="O49" s="1">
        <v>71481.653999999995</v>
      </c>
      <c r="R49" s="18">
        <v>86430.087</v>
      </c>
      <c r="S49" s="1">
        <v>88976.288</v>
      </c>
      <c r="T49" s="1">
        <v>93739.31</v>
      </c>
      <c r="U49" s="1">
        <v>108491.986</v>
      </c>
      <c r="V49" s="1">
        <v>121943.624</v>
      </c>
      <c r="W49" s="126">
        <v>123566.90399999999</v>
      </c>
      <c r="X49" s="126">
        <v>126529.79700000001</v>
      </c>
      <c r="Y49" s="126">
        <v>133803.49900000001</v>
      </c>
      <c r="Z49" s="126">
        <v>141039.14199999999</v>
      </c>
      <c r="AA49" s="126">
        <v>144412.57</v>
      </c>
      <c r="AB49" s="126">
        <v>145807.37400000001</v>
      </c>
      <c r="AC49" s="126">
        <v>163891</v>
      </c>
      <c r="AD49" s="1">
        <v>158189.557</v>
      </c>
      <c r="AE49" s="1">
        <v>151994.95600000001</v>
      </c>
      <c r="AF49" s="1">
        <v>164763.72200000001</v>
      </c>
      <c r="AG49" s="1">
        <v>173262.81700000001</v>
      </c>
      <c r="AH49" s="1">
        <v>190091.508</v>
      </c>
      <c r="AI49" s="1">
        <v>178478.84099999999</v>
      </c>
      <c r="AK49" s="1">
        <v>215668.16800000001</v>
      </c>
      <c r="AL49" s="1">
        <v>198922.26</v>
      </c>
    </row>
    <row r="50" spans="1:38" ht="12.75" customHeight="1">
      <c r="A50" s="1" t="s">
        <v>63</v>
      </c>
      <c r="J50" s="126">
        <v>0</v>
      </c>
      <c r="M50" s="1">
        <v>0</v>
      </c>
      <c r="O50" s="1">
        <v>47.916599999999995</v>
      </c>
      <c r="R50" s="18">
        <v>0</v>
      </c>
      <c r="S50" s="1">
        <v>0</v>
      </c>
      <c r="T50" s="1">
        <v>0</v>
      </c>
      <c r="U50" s="1">
        <v>0</v>
      </c>
      <c r="V50" s="1">
        <v>0</v>
      </c>
      <c r="W50" s="126">
        <v>0</v>
      </c>
      <c r="X50" s="126">
        <v>0</v>
      </c>
      <c r="Y50" s="126">
        <v>164.761</v>
      </c>
      <c r="Z50" s="126">
        <v>0</v>
      </c>
      <c r="AA50" s="126">
        <v>0</v>
      </c>
      <c r="AB50" s="126">
        <v>0</v>
      </c>
      <c r="AC50" s="126">
        <v>0</v>
      </c>
      <c r="AD50" s="1">
        <v>0</v>
      </c>
      <c r="AE50" s="1">
        <v>0</v>
      </c>
      <c r="AF50" s="1">
        <v>0</v>
      </c>
      <c r="AG50" s="1">
        <v>0</v>
      </c>
      <c r="AH50" s="1">
        <v>0</v>
      </c>
      <c r="AI50" s="1">
        <v>0</v>
      </c>
      <c r="AK50" s="1">
        <v>0</v>
      </c>
      <c r="AL50" s="1">
        <v>0</v>
      </c>
    </row>
    <row r="51" spans="1:38" ht="12.75" customHeight="1">
      <c r="A51" s="27" t="s">
        <v>64</v>
      </c>
      <c r="B51" s="27"/>
      <c r="C51" s="27"/>
      <c r="D51" s="27"/>
      <c r="E51" s="27"/>
      <c r="F51" s="27"/>
      <c r="G51" s="27"/>
      <c r="H51" s="27"/>
      <c r="I51" s="27"/>
      <c r="J51" s="127">
        <v>209951.84700000001</v>
      </c>
      <c r="K51" s="27"/>
      <c r="L51" s="27"/>
      <c r="M51" s="27">
        <v>258948.70300000001</v>
      </c>
      <c r="N51" s="27"/>
      <c r="O51" s="27">
        <v>293208.03899999999</v>
      </c>
      <c r="P51" s="27"/>
      <c r="Q51" s="27"/>
      <c r="R51" s="37">
        <v>349916.98200000002</v>
      </c>
      <c r="S51" s="27">
        <v>379647.96899999998</v>
      </c>
      <c r="T51" s="27">
        <v>444572.17300000001</v>
      </c>
      <c r="U51" s="27">
        <v>540599.66799999995</v>
      </c>
      <c r="V51" s="27">
        <v>565152.02399999998</v>
      </c>
      <c r="W51" s="127">
        <v>590121.92500000005</v>
      </c>
      <c r="X51" s="127">
        <v>621513.73100000003</v>
      </c>
      <c r="Y51" s="127">
        <v>570889.68200000003</v>
      </c>
      <c r="Z51" s="127">
        <v>598103.10800000001</v>
      </c>
      <c r="AA51" s="127">
        <v>626830.68999999994</v>
      </c>
      <c r="AB51" s="127">
        <v>739122.64399999997</v>
      </c>
      <c r="AC51" s="127">
        <v>757773</v>
      </c>
      <c r="AD51" s="27">
        <v>769923.38300000003</v>
      </c>
      <c r="AE51" s="27">
        <v>789097.24800000002</v>
      </c>
      <c r="AF51" s="27">
        <v>143613.07999999999</v>
      </c>
      <c r="AG51" s="27">
        <v>87619.524000000005</v>
      </c>
      <c r="AH51" s="27">
        <v>420272.788</v>
      </c>
      <c r="AI51" s="27">
        <v>435592.092</v>
      </c>
      <c r="AJ51" s="27"/>
      <c r="AK51" s="27">
        <v>458251.04300000001</v>
      </c>
      <c r="AL51" s="1">
        <v>471901.05699999997</v>
      </c>
    </row>
    <row r="52" spans="1:38" ht="12.75" customHeight="1">
      <c r="A52" s="6" t="s">
        <v>65</v>
      </c>
      <c r="B52" s="51">
        <f>SUM(B54:B62)</f>
        <v>0</v>
      </c>
      <c r="C52" s="51">
        <f t="shared" ref="C52:AK52" si="18">SUM(C54:C62)</f>
        <v>0</v>
      </c>
      <c r="D52" s="51">
        <f t="shared" si="18"/>
        <v>0</v>
      </c>
      <c r="E52" s="51">
        <f t="shared" si="18"/>
        <v>0</v>
      </c>
      <c r="F52" s="51">
        <f t="shared" si="18"/>
        <v>0</v>
      </c>
      <c r="G52" s="51">
        <f t="shared" si="18"/>
        <v>0</v>
      </c>
      <c r="H52" s="51">
        <f t="shared" si="18"/>
        <v>0</v>
      </c>
      <c r="I52" s="51">
        <f t="shared" si="18"/>
        <v>0</v>
      </c>
      <c r="J52" s="51">
        <f t="shared" si="18"/>
        <v>424255.59600000002</v>
      </c>
      <c r="K52" s="51">
        <f t="shared" si="18"/>
        <v>0</v>
      </c>
      <c r="L52" s="51">
        <f t="shared" si="18"/>
        <v>0</v>
      </c>
      <c r="M52" s="51">
        <f t="shared" si="18"/>
        <v>477591.57999999996</v>
      </c>
      <c r="N52" s="51">
        <f t="shared" si="18"/>
        <v>0</v>
      </c>
      <c r="O52" s="51">
        <f t="shared" si="18"/>
        <v>538317.31999999995</v>
      </c>
      <c r="P52" s="51">
        <f t="shared" si="18"/>
        <v>0</v>
      </c>
      <c r="Q52" s="51">
        <f t="shared" si="18"/>
        <v>0</v>
      </c>
      <c r="R52" s="51">
        <f t="shared" si="18"/>
        <v>557150.929</v>
      </c>
      <c r="S52" s="51">
        <f t="shared" si="18"/>
        <v>618835.29399999999</v>
      </c>
      <c r="T52" s="51">
        <f t="shared" si="18"/>
        <v>649937.18900000001</v>
      </c>
      <c r="U52" s="51">
        <f t="shared" si="18"/>
        <v>683428.52</v>
      </c>
      <c r="V52" s="51">
        <f t="shared" si="18"/>
        <v>703299.16700000002</v>
      </c>
      <c r="W52" s="51">
        <f t="shared" si="18"/>
        <v>750181.78099999996</v>
      </c>
      <c r="X52" s="51">
        <f t="shared" si="18"/>
        <v>797209.598</v>
      </c>
      <c r="Y52" s="51">
        <f t="shared" si="18"/>
        <v>844354.87300000002</v>
      </c>
      <c r="Z52" s="51">
        <f t="shared" si="18"/>
        <v>878493.6100000001</v>
      </c>
      <c r="AA52" s="51">
        <f t="shared" si="18"/>
        <v>898791.65099999995</v>
      </c>
      <c r="AB52" s="51">
        <f t="shared" si="18"/>
        <v>912888.83100000001</v>
      </c>
      <c r="AC52" s="51">
        <f t="shared" si="18"/>
        <v>914344</v>
      </c>
      <c r="AD52" s="51">
        <f t="shared" si="18"/>
        <v>929849.9219999999</v>
      </c>
      <c r="AE52" s="51">
        <f t="shared" si="18"/>
        <v>938633.83499999996</v>
      </c>
      <c r="AF52" s="51">
        <f t="shared" si="18"/>
        <v>935639.18400000001</v>
      </c>
      <c r="AG52" s="51">
        <f t="shared" si="18"/>
        <v>957917.77400000009</v>
      </c>
      <c r="AH52" s="51">
        <f t="shared" si="18"/>
        <v>1080297.585</v>
      </c>
      <c r="AI52" s="51">
        <f t="shared" si="18"/>
        <v>1080134.1610000001</v>
      </c>
      <c r="AJ52" s="51">
        <f t="shared" si="18"/>
        <v>0</v>
      </c>
      <c r="AK52" s="51">
        <f t="shared" si="18"/>
        <v>1162072.084</v>
      </c>
      <c r="AL52" s="131">
        <f t="shared" ref="AL52" si="19">SUM(AL54:AL62)</f>
        <v>1184788.1399999999</v>
      </c>
    </row>
    <row r="53" spans="1:38" ht="12.75" customHeight="1">
      <c r="A53" s="6" t="s">
        <v>94</v>
      </c>
      <c r="AI53" s="1">
        <v>0</v>
      </c>
    </row>
    <row r="54" spans="1:38" ht="12.75" customHeight="1">
      <c r="A54" s="1" t="s">
        <v>66</v>
      </c>
      <c r="J54" s="126">
        <v>0</v>
      </c>
      <c r="M54" s="1">
        <v>0</v>
      </c>
      <c r="O54" s="1">
        <v>0</v>
      </c>
      <c r="R54" s="18">
        <v>0</v>
      </c>
      <c r="S54" s="1">
        <v>0</v>
      </c>
      <c r="T54" s="1">
        <v>0</v>
      </c>
      <c r="U54" s="1">
        <v>0</v>
      </c>
      <c r="V54" s="1">
        <v>0</v>
      </c>
      <c r="W54" s="126">
        <v>0</v>
      </c>
      <c r="X54" s="126">
        <v>0</v>
      </c>
      <c r="Y54" s="126">
        <v>0</v>
      </c>
      <c r="Z54" s="126">
        <v>0</v>
      </c>
      <c r="AA54" s="126">
        <v>0</v>
      </c>
      <c r="AB54" s="126">
        <v>0</v>
      </c>
      <c r="AC54" s="126">
        <v>0</v>
      </c>
      <c r="AD54" s="1">
        <v>0</v>
      </c>
      <c r="AE54" s="1">
        <v>0</v>
      </c>
      <c r="AF54" s="1">
        <v>0</v>
      </c>
      <c r="AG54" s="1">
        <v>0</v>
      </c>
      <c r="AH54" s="1">
        <v>0</v>
      </c>
      <c r="AI54" s="1">
        <v>0</v>
      </c>
      <c r="AK54" s="1">
        <v>0</v>
      </c>
      <c r="AL54" s="1">
        <v>0</v>
      </c>
    </row>
    <row r="55" spans="1:38" ht="12.75" customHeight="1">
      <c r="A55" s="1" t="s">
        <v>67</v>
      </c>
      <c r="J55" s="126">
        <v>0</v>
      </c>
      <c r="M55" s="1">
        <v>0</v>
      </c>
      <c r="O55" s="1">
        <v>0</v>
      </c>
      <c r="R55" s="18">
        <v>0</v>
      </c>
      <c r="S55" s="1">
        <v>0</v>
      </c>
      <c r="T55" s="1">
        <v>0</v>
      </c>
      <c r="U55" s="1">
        <v>0</v>
      </c>
      <c r="V55" s="1">
        <v>0</v>
      </c>
      <c r="W55" s="126">
        <v>0</v>
      </c>
      <c r="X55" s="126">
        <v>0</v>
      </c>
      <c r="Y55" s="126">
        <v>0</v>
      </c>
      <c r="Z55" s="126">
        <v>0</v>
      </c>
      <c r="AA55" s="126">
        <v>0</v>
      </c>
      <c r="AB55" s="126">
        <v>0</v>
      </c>
      <c r="AC55" s="126">
        <v>0</v>
      </c>
      <c r="AD55" s="1">
        <v>0</v>
      </c>
      <c r="AE55" s="1">
        <v>0</v>
      </c>
      <c r="AF55" s="1">
        <v>0</v>
      </c>
      <c r="AG55" s="1">
        <v>0</v>
      </c>
      <c r="AH55" s="1">
        <v>0</v>
      </c>
      <c r="AI55" s="1">
        <v>0</v>
      </c>
      <c r="AK55" s="1">
        <v>0</v>
      </c>
      <c r="AL55" s="1">
        <v>0</v>
      </c>
    </row>
    <row r="56" spans="1:38" ht="12.75" customHeight="1">
      <c r="A56" s="1" t="s">
        <v>68</v>
      </c>
      <c r="J56" s="126">
        <v>39.279000000000003</v>
      </c>
      <c r="M56" s="1">
        <v>71.116</v>
      </c>
      <c r="O56" s="1">
        <v>3064.585</v>
      </c>
      <c r="R56" s="18">
        <v>0</v>
      </c>
      <c r="S56" s="1">
        <v>0</v>
      </c>
      <c r="T56" s="1">
        <v>0</v>
      </c>
      <c r="U56" s="1">
        <v>0</v>
      </c>
      <c r="V56" s="1">
        <v>0</v>
      </c>
      <c r="W56" s="126">
        <v>0</v>
      </c>
      <c r="X56" s="126">
        <v>0</v>
      </c>
      <c r="Y56" s="126">
        <v>0</v>
      </c>
      <c r="Z56" s="126">
        <v>0</v>
      </c>
      <c r="AA56" s="126">
        <v>0</v>
      </c>
      <c r="AB56" s="126">
        <v>0</v>
      </c>
      <c r="AC56" s="126">
        <v>0</v>
      </c>
      <c r="AD56" s="1">
        <v>0</v>
      </c>
      <c r="AE56" s="1">
        <v>0</v>
      </c>
      <c r="AF56" s="1">
        <v>0</v>
      </c>
      <c r="AG56" s="1">
        <v>0</v>
      </c>
      <c r="AH56" s="1">
        <v>0</v>
      </c>
      <c r="AI56" s="1">
        <v>0</v>
      </c>
      <c r="AK56" s="1">
        <v>0</v>
      </c>
      <c r="AL56" s="1">
        <v>0</v>
      </c>
    </row>
    <row r="57" spans="1:38" ht="12.75" customHeight="1">
      <c r="A57" s="1" t="s">
        <v>69</v>
      </c>
      <c r="J57" s="126">
        <v>0</v>
      </c>
      <c r="M57" s="1">
        <v>0</v>
      </c>
      <c r="O57" s="1">
        <v>0</v>
      </c>
      <c r="R57" s="24">
        <v>139.87899999999999</v>
      </c>
      <c r="S57" s="1">
        <v>0</v>
      </c>
      <c r="T57" s="1">
        <v>0</v>
      </c>
      <c r="U57" s="1">
        <v>0</v>
      </c>
      <c r="V57" s="1">
        <v>0</v>
      </c>
      <c r="W57" s="126">
        <v>0</v>
      </c>
      <c r="X57" s="126">
        <v>0</v>
      </c>
      <c r="Y57" s="126">
        <v>0</v>
      </c>
      <c r="Z57" s="126">
        <v>0</v>
      </c>
      <c r="AA57" s="126">
        <v>0</v>
      </c>
      <c r="AB57" s="126">
        <v>0</v>
      </c>
      <c r="AC57" s="126">
        <v>7</v>
      </c>
      <c r="AD57" s="1">
        <v>0</v>
      </c>
      <c r="AE57" s="1">
        <v>0</v>
      </c>
      <c r="AF57" s="1">
        <v>0</v>
      </c>
      <c r="AG57" s="1">
        <v>0</v>
      </c>
      <c r="AH57" s="1">
        <v>0</v>
      </c>
      <c r="AI57" s="1">
        <v>0</v>
      </c>
      <c r="AK57" s="1">
        <v>0</v>
      </c>
      <c r="AL57" s="1">
        <v>0</v>
      </c>
    </row>
    <row r="58" spans="1:38" ht="12.75" customHeight="1">
      <c r="A58" s="1" t="s">
        <v>70</v>
      </c>
      <c r="J58" s="126">
        <v>145908.92600000001</v>
      </c>
      <c r="M58" s="1">
        <v>159878.48199999999</v>
      </c>
      <c r="O58" s="1">
        <v>160277.905</v>
      </c>
      <c r="R58" s="24">
        <v>165639.62599999999</v>
      </c>
      <c r="S58" s="1">
        <v>180874.989</v>
      </c>
      <c r="T58" s="1">
        <v>170885.54199999999</v>
      </c>
      <c r="U58" s="1">
        <v>181404.027</v>
      </c>
      <c r="V58" s="1">
        <v>185080.86600000001</v>
      </c>
      <c r="W58" s="126">
        <v>190575.386</v>
      </c>
      <c r="X58" s="126">
        <v>195501.546</v>
      </c>
      <c r="Y58" s="126">
        <v>203337.913</v>
      </c>
      <c r="Z58" s="126">
        <v>210208.70600000001</v>
      </c>
      <c r="AA58" s="126">
        <v>216991.27299999999</v>
      </c>
      <c r="AB58" s="126">
        <v>211947.32800000001</v>
      </c>
      <c r="AC58" s="126">
        <v>211638</v>
      </c>
      <c r="AD58" s="1">
        <v>194451.79800000001</v>
      </c>
      <c r="AE58" s="1">
        <v>194040.61</v>
      </c>
      <c r="AF58" s="1">
        <v>199631.33100000001</v>
      </c>
      <c r="AG58" s="1">
        <v>201487.14499999999</v>
      </c>
      <c r="AH58" s="1">
        <v>206835.84299999999</v>
      </c>
      <c r="AI58" s="1">
        <v>212472.31899999999</v>
      </c>
      <c r="AK58" s="1">
        <v>219775.04199999999</v>
      </c>
      <c r="AL58" s="1">
        <v>218288.77299999999</v>
      </c>
    </row>
    <row r="59" spans="1:38" ht="12.75" customHeight="1">
      <c r="A59" s="1" t="s">
        <v>71</v>
      </c>
      <c r="J59" s="126">
        <v>211036.715</v>
      </c>
      <c r="M59" s="1">
        <v>237312.04399999999</v>
      </c>
      <c r="O59" s="1">
        <v>290152.65700000001</v>
      </c>
      <c r="R59" s="24">
        <v>293467.85399999999</v>
      </c>
      <c r="S59" s="1">
        <v>343621.81199999998</v>
      </c>
      <c r="T59" s="1">
        <v>377088.30599999998</v>
      </c>
      <c r="U59" s="1">
        <v>396861.00699999998</v>
      </c>
      <c r="V59" s="1">
        <v>410863.272</v>
      </c>
      <c r="W59" s="126">
        <v>450475.01400000002</v>
      </c>
      <c r="X59" s="126">
        <v>489987.136</v>
      </c>
      <c r="Y59" s="126">
        <v>523620.05900000001</v>
      </c>
      <c r="Z59" s="126">
        <v>550516.90800000005</v>
      </c>
      <c r="AA59" s="126">
        <v>565487.78899999999</v>
      </c>
      <c r="AB59" s="126">
        <v>582194.20299999998</v>
      </c>
      <c r="AC59" s="126">
        <v>584732</v>
      </c>
      <c r="AD59" s="1">
        <v>623874.35199999996</v>
      </c>
      <c r="AE59" s="1">
        <v>630986.30900000001</v>
      </c>
      <c r="AF59" s="1">
        <v>624761.84100000001</v>
      </c>
      <c r="AG59" s="1">
        <v>643498.25800000003</v>
      </c>
      <c r="AH59" s="1">
        <v>758600.02300000004</v>
      </c>
      <c r="AI59" s="1">
        <v>747906.05900000001</v>
      </c>
      <c r="AK59" s="1">
        <v>818260.12600000005</v>
      </c>
      <c r="AL59" s="1">
        <v>836782.17799999996</v>
      </c>
    </row>
    <row r="60" spans="1:38" ht="12.75" customHeight="1">
      <c r="A60" s="1" t="s">
        <v>72</v>
      </c>
      <c r="J60" s="126">
        <v>67270.676000000007</v>
      </c>
      <c r="M60" s="1">
        <v>80329.937999999995</v>
      </c>
      <c r="O60" s="1">
        <v>84822.172999999995</v>
      </c>
      <c r="R60" s="18">
        <v>97903.57</v>
      </c>
      <c r="S60" s="1">
        <v>94338.493000000002</v>
      </c>
      <c r="T60" s="1">
        <v>101963.341</v>
      </c>
      <c r="U60" s="1">
        <v>105163.486</v>
      </c>
      <c r="V60" s="1">
        <v>107355.02899999999</v>
      </c>
      <c r="W60" s="126">
        <v>109131.38099999999</v>
      </c>
      <c r="X60" s="126">
        <v>111720.916</v>
      </c>
      <c r="Y60" s="126">
        <v>117396.901</v>
      </c>
      <c r="Z60" s="126">
        <v>117767.996</v>
      </c>
      <c r="AA60" s="126">
        <v>116312.58900000001</v>
      </c>
      <c r="AB60" s="126">
        <v>118747.3</v>
      </c>
      <c r="AC60" s="126">
        <v>117967</v>
      </c>
      <c r="AD60" s="1">
        <v>111523.772</v>
      </c>
      <c r="AE60" s="1">
        <v>113606.916</v>
      </c>
      <c r="AF60" s="1">
        <v>111246.012</v>
      </c>
      <c r="AG60" s="1">
        <v>112932.371</v>
      </c>
      <c r="AH60" s="1">
        <v>114861.719</v>
      </c>
      <c r="AI60" s="1">
        <v>119755.783</v>
      </c>
      <c r="AK60" s="1">
        <v>124036.916</v>
      </c>
      <c r="AL60" s="1">
        <v>129717.189</v>
      </c>
    </row>
    <row r="61" spans="1:38" ht="12.75" customHeight="1">
      <c r="A61" s="1" t="s">
        <v>73</v>
      </c>
      <c r="J61" s="126">
        <v>0</v>
      </c>
      <c r="M61" s="1">
        <v>0</v>
      </c>
      <c r="O61" s="1">
        <v>0</v>
      </c>
      <c r="R61" s="18">
        <v>0</v>
      </c>
      <c r="S61" s="1">
        <v>0</v>
      </c>
      <c r="T61" s="1">
        <v>0</v>
      </c>
      <c r="U61" s="1">
        <v>0</v>
      </c>
      <c r="V61" s="1">
        <v>0</v>
      </c>
      <c r="W61" s="126">
        <v>0</v>
      </c>
      <c r="X61" s="126">
        <v>0</v>
      </c>
      <c r="Y61" s="126">
        <v>0</v>
      </c>
      <c r="Z61" s="126">
        <v>0</v>
      </c>
      <c r="AA61" s="126">
        <v>0</v>
      </c>
      <c r="AB61" s="126">
        <v>0</v>
      </c>
      <c r="AC61" s="126">
        <v>0</v>
      </c>
      <c r="AD61" s="1">
        <v>0</v>
      </c>
      <c r="AE61" s="1">
        <v>0</v>
      </c>
      <c r="AF61" s="1">
        <v>0</v>
      </c>
      <c r="AG61" s="1">
        <v>0</v>
      </c>
      <c r="AI61" s="1">
        <v>0</v>
      </c>
      <c r="AK61" s="1">
        <v>0</v>
      </c>
      <c r="AL61" s="1">
        <v>0</v>
      </c>
    </row>
    <row r="62" spans="1:38" ht="12.75" customHeight="1">
      <c r="A62" s="27" t="s">
        <v>74</v>
      </c>
      <c r="B62" s="27"/>
      <c r="C62" s="27"/>
      <c r="D62" s="27"/>
      <c r="E62" s="27"/>
      <c r="F62" s="27"/>
      <c r="G62" s="27"/>
      <c r="H62" s="27"/>
      <c r="I62" s="27"/>
      <c r="J62" s="127">
        <v>0</v>
      </c>
      <c r="K62" s="27"/>
      <c r="L62" s="27"/>
      <c r="M62" s="27">
        <v>0</v>
      </c>
      <c r="N62" s="27"/>
      <c r="O62" s="27">
        <v>0</v>
      </c>
      <c r="P62" s="27"/>
      <c r="Q62" s="27"/>
      <c r="R62" s="37">
        <v>0</v>
      </c>
      <c r="S62" s="27">
        <v>0</v>
      </c>
      <c r="T62" s="27">
        <v>0</v>
      </c>
      <c r="U62" s="27">
        <v>0</v>
      </c>
      <c r="V62" s="27">
        <v>0</v>
      </c>
      <c r="W62" s="127">
        <v>0</v>
      </c>
      <c r="X62" s="127">
        <v>0</v>
      </c>
      <c r="Y62" s="127">
        <v>0</v>
      </c>
      <c r="Z62" s="127">
        <v>0</v>
      </c>
      <c r="AA62" s="127">
        <v>0</v>
      </c>
      <c r="AB62" s="127">
        <v>0</v>
      </c>
      <c r="AC62" s="127">
        <v>0</v>
      </c>
      <c r="AD62" s="1">
        <v>0</v>
      </c>
      <c r="AE62" s="1">
        <v>0</v>
      </c>
      <c r="AF62" s="1">
        <v>0</v>
      </c>
      <c r="AG62" s="1">
        <v>0</v>
      </c>
      <c r="AI62" s="1">
        <v>0</v>
      </c>
      <c r="AK62" s="1">
        <v>0</v>
      </c>
      <c r="AL62" s="1">
        <v>0</v>
      </c>
    </row>
    <row r="63" spans="1:38">
      <c r="A63" s="49" t="s">
        <v>75</v>
      </c>
      <c r="B63" s="46"/>
      <c r="C63" s="46"/>
      <c r="D63" s="46"/>
      <c r="E63" s="46"/>
      <c r="F63" s="46"/>
      <c r="G63" s="46"/>
      <c r="H63" s="46"/>
      <c r="I63" s="46"/>
      <c r="J63" s="128">
        <v>0</v>
      </c>
      <c r="K63" s="46"/>
      <c r="L63" s="46"/>
      <c r="M63" s="46">
        <v>0</v>
      </c>
      <c r="N63" s="46"/>
      <c r="O63" s="46">
        <v>0</v>
      </c>
      <c r="P63" s="46"/>
      <c r="Q63" s="46"/>
      <c r="R63" s="47">
        <v>0</v>
      </c>
      <c r="S63" s="46">
        <v>0</v>
      </c>
      <c r="T63" s="46">
        <v>0</v>
      </c>
      <c r="U63" s="46">
        <v>0</v>
      </c>
      <c r="V63" s="46">
        <v>0</v>
      </c>
      <c r="W63" s="128">
        <v>0</v>
      </c>
      <c r="X63" s="128">
        <v>0</v>
      </c>
      <c r="Y63" s="128">
        <v>0</v>
      </c>
      <c r="Z63" s="128">
        <v>0</v>
      </c>
      <c r="AA63" s="128">
        <v>0</v>
      </c>
      <c r="AB63" s="128">
        <v>0</v>
      </c>
      <c r="AC63" s="128">
        <v>0</v>
      </c>
      <c r="AD63" s="128">
        <v>0</v>
      </c>
      <c r="AE63" s="128">
        <v>0</v>
      </c>
      <c r="AF63" s="128">
        <v>0</v>
      </c>
      <c r="AG63" s="128">
        <v>0</v>
      </c>
      <c r="AH63" s="128"/>
      <c r="AI63" s="128"/>
      <c r="AJ63" s="128"/>
      <c r="AK63" s="128"/>
      <c r="AL63" s="134">
        <v>0</v>
      </c>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9" ht="9.9499999999999993" customHeight="1"/>
    <row r="82" spans="2:209" ht="9.9499999999999993" customHeight="1">
      <c r="GS82" s="4"/>
      <c r="GT82" s="4"/>
      <c r="GU82" s="4"/>
      <c r="GV82" s="4"/>
      <c r="GW82" s="4"/>
      <c r="GX82" s="4"/>
      <c r="GY82" s="4"/>
      <c r="GZ82" s="4"/>
      <c r="HA82" s="4"/>
    </row>
    <row r="83" spans="2:209">
      <c r="GQ83" s="4"/>
      <c r="GR83" s="4"/>
      <c r="GS83" s="4"/>
      <c r="GT83" s="4"/>
      <c r="GU83" s="4"/>
      <c r="GV83" s="4"/>
      <c r="GW83" s="4"/>
      <c r="GX83" s="4"/>
      <c r="GY83" s="4"/>
      <c r="GZ83" s="4"/>
      <c r="HA83" s="4"/>
    </row>
    <row r="84" spans="2:209">
      <c r="GQ84" s="4"/>
      <c r="GR84" s="4"/>
      <c r="GS84" s="4"/>
      <c r="GT84" s="4"/>
      <c r="GU84" s="4"/>
      <c r="GV84" s="4"/>
      <c r="GW84" s="4"/>
      <c r="GX84" s="4"/>
      <c r="GY84" s="4"/>
      <c r="GZ84" s="4"/>
      <c r="HA84" s="4"/>
    </row>
    <row r="85" spans="2:209">
      <c r="GS85" s="4"/>
      <c r="GT85" s="4"/>
      <c r="GU85" s="4"/>
      <c r="GV85" s="4"/>
      <c r="GW85" s="4"/>
      <c r="GX85" s="4"/>
      <c r="GY85" s="4"/>
    </row>
    <row r="86" spans="2:209">
      <c r="GS86" s="4"/>
      <c r="GT86" s="4"/>
      <c r="GU86" s="4"/>
      <c r="GV86" s="4"/>
      <c r="GW86" s="4"/>
      <c r="GX86" s="4"/>
      <c r="GY86" s="4"/>
    </row>
    <row r="87" spans="2:209">
      <c r="GS87" s="4"/>
      <c r="GT87" s="4"/>
      <c r="GU87" s="4"/>
      <c r="GV87" s="4"/>
      <c r="GW87" s="4"/>
      <c r="GX87" s="4"/>
      <c r="GY87" s="4"/>
    </row>
    <row r="92" spans="2:209">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8"/>
  </sheetPr>
  <dimension ref="A1:HC92"/>
  <sheetViews>
    <sheetView zoomScaleNormal="100" workbookViewId="0">
      <pane xSplit="1" ySplit="3" topLeftCell="AD17" activePane="bottomRight" state="frozen"/>
      <selection pane="bottomRight" activeCell="B44" sqref="A44:B48"/>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31" width="10.140625" style="1" bestFit="1" customWidth="1"/>
    <col min="32" max="32" width="13.42578125" style="1" bestFit="1" customWidth="1"/>
    <col min="33" max="38" width="13.42578125" style="1" customWidth="1"/>
    <col min="39" max="39" width="13.7109375" style="1" bestFit="1" customWidth="1"/>
    <col min="40" max="175" width="9.7109375" style="1"/>
    <col min="176" max="176" width="11.7109375" style="1" customWidth="1"/>
    <col min="177" max="200" width="9.7109375" style="1"/>
    <col min="201" max="201" width="5.7109375" style="1" customWidth="1"/>
    <col min="202" max="202" width="6.7109375" style="1" customWidth="1"/>
    <col min="203" max="204" width="8.7109375" style="1" customWidth="1"/>
    <col min="205" max="206" width="6.7109375" style="1" customWidth="1"/>
    <col min="207" max="208" width="8.7109375" style="1" customWidth="1"/>
    <col min="209" max="210" width="6.7109375" style="1" customWidth="1"/>
    <col min="211" max="211" width="1.7109375" style="1" customWidth="1"/>
    <col min="212" max="16384" width="9.7109375" style="1"/>
  </cols>
  <sheetData>
    <row r="1" spans="1:38">
      <c r="A1" s="36" t="s">
        <v>92</v>
      </c>
      <c r="B1" s="11"/>
      <c r="C1" s="11"/>
      <c r="D1" s="11"/>
      <c r="E1" s="11"/>
      <c r="F1" s="11"/>
      <c r="G1" s="11"/>
      <c r="H1" s="11"/>
      <c r="I1" s="11"/>
      <c r="J1" s="11"/>
      <c r="K1" s="11"/>
      <c r="L1" s="11"/>
    </row>
    <row r="2" spans="1:38">
      <c r="A2" s="1" t="s">
        <v>141</v>
      </c>
      <c r="B2" s="11"/>
      <c r="C2" s="11"/>
      <c r="D2" s="11"/>
      <c r="E2" s="11"/>
      <c r="F2" s="11"/>
      <c r="G2" s="11"/>
      <c r="H2" s="11"/>
      <c r="I2" s="11"/>
      <c r="J2" s="11"/>
      <c r="K2" s="11"/>
      <c r="L2" s="11"/>
    </row>
    <row r="3" spans="1:38">
      <c r="B3" s="40">
        <v>1984</v>
      </c>
      <c r="C3" s="40">
        <v>1985</v>
      </c>
      <c r="D3" s="40" t="s">
        <v>142</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t="s">
        <v>143</v>
      </c>
      <c r="T3" s="43" t="s">
        <v>144</v>
      </c>
      <c r="U3" s="28" t="s">
        <v>145</v>
      </c>
      <c r="V3" s="28" t="s">
        <v>146</v>
      </c>
      <c r="W3" s="28" t="s">
        <v>147</v>
      </c>
      <c r="X3" s="28" t="s">
        <v>148</v>
      </c>
      <c r="Y3" s="28" t="s">
        <v>149</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1">
        <v>4537533</v>
      </c>
      <c r="C4" s="1">
        <v>4904241</v>
      </c>
      <c r="D4" s="1">
        <v>5310845</v>
      </c>
      <c r="I4" s="1">
        <v>7187532.2759999996</v>
      </c>
      <c r="J4" s="52">
        <f>+J5+J23+J38+J52+J63</f>
        <v>7314497.0140000004</v>
      </c>
      <c r="K4" s="39">
        <v>7725636.3669999996</v>
      </c>
      <c r="L4" s="39">
        <v>7746930.9330000002</v>
      </c>
      <c r="M4" s="52">
        <f>+M5+M23+M38+M52+M63</f>
        <v>7812713.7759999996</v>
      </c>
      <c r="N4" s="39">
        <v>8370395.4589999998</v>
      </c>
      <c r="O4" s="52">
        <f>+O5+O23+O38+O52+O63</f>
        <v>8862560.1203000005</v>
      </c>
      <c r="R4" s="52">
        <f t="shared" ref="R4:AA4" si="0">+R5+R23+R38+R52+R63</f>
        <v>10206406.172</v>
      </c>
      <c r="S4" s="52">
        <f t="shared" si="0"/>
        <v>11209292.739</v>
      </c>
      <c r="T4" s="52">
        <f t="shared" si="0"/>
        <v>10829765.460999999</v>
      </c>
      <c r="U4" s="52">
        <f t="shared" si="0"/>
        <v>10450588.353000002</v>
      </c>
      <c r="V4" s="52">
        <f t="shared" si="0"/>
        <v>10387816.403000001</v>
      </c>
      <c r="W4" s="52">
        <f t="shared" si="0"/>
        <v>11805226.380999999</v>
      </c>
      <c r="X4" s="52">
        <f t="shared" si="0"/>
        <v>12770814.723999999</v>
      </c>
      <c r="Y4" s="52">
        <f t="shared" si="0"/>
        <v>13798052.59</v>
      </c>
      <c r="Z4" s="52">
        <f t="shared" si="0"/>
        <v>14979345.662999999</v>
      </c>
      <c r="AA4" s="52">
        <f t="shared" si="0"/>
        <v>15007221.460999997</v>
      </c>
      <c r="AB4" s="52">
        <f t="shared" ref="AB4:AC4" si="1">+AB5+AB23+AB38+AB52+AB63</f>
        <v>14494578.248</v>
      </c>
      <c r="AC4" s="52">
        <f t="shared" si="1"/>
        <v>14958619</v>
      </c>
      <c r="AD4" s="52">
        <f t="shared" ref="AD4:AE4" si="2">+AD5+AD23+AD38+AD52+AD63</f>
        <v>14114681.317000002</v>
      </c>
      <c r="AE4" s="52">
        <f t="shared" si="2"/>
        <v>14086167.488000002</v>
      </c>
      <c r="AF4" s="52">
        <f t="shared" ref="AF4" si="3">+AF5+AF23+AF38+AF52+AF63</f>
        <v>13325721.373</v>
      </c>
      <c r="AG4" s="52">
        <f t="shared" ref="AG4:AI4" si="4">+AG5+AG23+AG38+AG52+AG63</f>
        <v>13577765.482000001</v>
      </c>
      <c r="AH4" s="52">
        <f t="shared" si="4"/>
        <v>16396480.670999998</v>
      </c>
      <c r="AI4" s="52">
        <f t="shared" si="4"/>
        <v>15984802.745999999</v>
      </c>
      <c r="AJ4" s="52">
        <f t="shared" ref="AJ4:AK4" si="5">+AJ5+AJ23+AJ38+AJ52+AJ63</f>
        <v>0</v>
      </c>
      <c r="AK4" s="52">
        <f t="shared" si="5"/>
        <v>17243088.675999999</v>
      </c>
      <c r="AL4" s="52">
        <f t="shared" ref="AL4" si="6">+AL5+AL23+AL38+AL52+AL63</f>
        <v>16254611.556999998</v>
      </c>
    </row>
    <row r="5" spans="1:38" ht="12.75" customHeight="1">
      <c r="A5" s="1" t="s">
        <v>21</v>
      </c>
      <c r="B5" s="51">
        <f t="shared" ref="B5:AA5" si="7">SUM(B7:B22)</f>
        <v>1637632</v>
      </c>
      <c r="C5" s="51">
        <f t="shared" si="7"/>
        <v>1801552</v>
      </c>
      <c r="D5" s="51">
        <f t="shared" si="7"/>
        <v>1916039</v>
      </c>
      <c r="E5" s="51">
        <f t="shared" si="7"/>
        <v>0</v>
      </c>
      <c r="F5" s="51">
        <f t="shared" si="7"/>
        <v>0</v>
      </c>
      <c r="G5" s="51">
        <f t="shared" si="7"/>
        <v>0</v>
      </c>
      <c r="H5" s="51">
        <f t="shared" si="7"/>
        <v>0</v>
      </c>
      <c r="I5" s="51">
        <f t="shared" si="7"/>
        <v>2656350.7159999995</v>
      </c>
      <c r="J5" s="51">
        <f t="shared" si="7"/>
        <v>2652717.3999999994</v>
      </c>
      <c r="K5" s="51">
        <f t="shared" si="7"/>
        <v>2814461.389</v>
      </c>
      <c r="L5" s="51">
        <f t="shared" si="7"/>
        <v>3043547.9950000001</v>
      </c>
      <c r="M5" s="51">
        <f t="shared" si="7"/>
        <v>3224505.9749999996</v>
      </c>
      <c r="N5" s="51">
        <f t="shared" si="7"/>
        <v>3338493.227</v>
      </c>
      <c r="O5" s="51">
        <f t="shared" si="7"/>
        <v>3511825.6950999997</v>
      </c>
      <c r="P5" s="51">
        <f t="shared" si="7"/>
        <v>0</v>
      </c>
      <c r="Q5" s="51">
        <f t="shared" si="7"/>
        <v>0</v>
      </c>
      <c r="R5" s="51">
        <f t="shared" si="7"/>
        <v>4337939.9819999998</v>
      </c>
      <c r="S5" s="51">
        <f t="shared" si="7"/>
        <v>4697471.7170000002</v>
      </c>
      <c r="T5" s="51">
        <f t="shared" si="7"/>
        <v>4302894.2309999997</v>
      </c>
      <c r="U5" s="51">
        <f t="shared" si="7"/>
        <v>4135132.4819999998</v>
      </c>
      <c r="V5" s="51">
        <f t="shared" si="7"/>
        <v>4170258.2910000007</v>
      </c>
      <c r="W5" s="51">
        <f t="shared" si="7"/>
        <v>4667966.8669999996</v>
      </c>
      <c r="X5" s="51">
        <f t="shared" si="7"/>
        <v>5062436.4329999993</v>
      </c>
      <c r="Y5" s="51">
        <f t="shared" si="7"/>
        <v>5531279.3149999995</v>
      </c>
      <c r="Z5" s="51">
        <f t="shared" si="7"/>
        <v>5938853.5269999988</v>
      </c>
      <c r="AA5" s="51">
        <f t="shared" si="7"/>
        <v>5595143.0579999993</v>
      </c>
      <c r="AB5" s="51">
        <f t="shared" ref="AB5:AC5" si="8">SUM(AB7:AB22)</f>
        <v>5631242.6770000001</v>
      </c>
      <c r="AC5" s="51">
        <f t="shared" si="8"/>
        <v>5790267</v>
      </c>
      <c r="AD5" s="51">
        <f t="shared" ref="AD5:AE5" si="9">SUM(AD7:AD22)</f>
        <v>5663165.4060000004</v>
      </c>
      <c r="AE5" s="51">
        <f t="shared" si="9"/>
        <v>5713665.2819999997</v>
      </c>
      <c r="AF5" s="51">
        <f t="shared" ref="AF5" si="10">SUM(AF7:AF22)</f>
        <v>5581646.3629999999</v>
      </c>
      <c r="AG5" s="51">
        <f t="shared" ref="AG5:AH5" si="11">SUM(AG7:AG22)</f>
        <v>5611380.9309999999</v>
      </c>
      <c r="AH5" s="51">
        <f t="shared" si="11"/>
        <v>6190523.4369999999</v>
      </c>
      <c r="AI5" s="51">
        <f>SUM(AI7:AI22)</f>
        <v>5933324.1270000003</v>
      </c>
      <c r="AJ5" s="51">
        <f t="shared" ref="AJ5:AK5" si="12">SUM(AJ7:AJ22)</f>
        <v>0</v>
      </c>
      <c r="AK5" s="51">
        <f t="shared" si="12"/>
        <v>6209955.9299999997</v>
      </c>
      <c r="AL5" s="51">
        <f t="shared" ref="AL5" si="13">SUM(AL7:AL22)</f>
        <v>6325743.8310000002</v>
      </c>
    </row>
    <row r="6" spans="1:38" ht="12.75" customHeight="1">
      <c r="A6" s="6" t="s">
        <v>94</v>
      </c>
      <c r="J6" s="126"/>
      <c r="R6" s="18"/>
      <c r="T6" s="44"/>
    </row>
    <row r="7" spans="1:38" ht="12.75" customHeight="1">
      <c r="A7" s="1" t="s">
        <v>22</v>
      </c>
      <c r="B7" s="1">
        <v>60205</v>
      </c>
      <c r="C7" s="1">
        <v>97664</v>
      </c>
      <c r="D7" s="1">
        <v>112452</v>
      </c>
      <c r="I7" s="1">
        <v>141408.68599999999</v>
      </c>
      <c r="J7" s="126">
        <v>146800.929</v>
      </c>
      <c r="K7" s="1">
        <v>154504.83300000001</v>
      </c>
      <c r="L7" s="1">
        <v>171378.69899999999</v>
      </c>
      <c r="M7" s="1">
        <v>186998.65</v>
      </c>
      <c r="N7" s="1">
        <v>189386.42300000001</v>
      </c>
      <c r="O7" s="1">
        <v>195496.00816999999</v>
      </c>
      <c r="R7" s="24">
        <v>218670.696</v>
      </c>
      <c r="S7" s="1">
        <v>224851.37400000001</v>
      </c>
      <c r="T7" s="44">
        <v>226192.878</v>
      </c>
      <c r="U7" s="1">
        <v>230965.80300000001</v>
      </c>
      <c r="V7" s="1">
        <v>232960.95199999999</v>
      </c>
      <c r="W7" s="126">
        <v>245655.122</v>
      </c>
      <c r="X7" s="126">
        <v>285012.28200000001</v>
      </c>
      <c r="Y7" s="126">
        <v>326693.22899999999</v>
      </c>
      <c r="Z7" s="126">
        <v>379863.02799999999</v>
      </c>
      <c r="AA7" s="126">
        <v>288398.99599999998</v>
      </c>
      <c r="AB7" s="126">
        <v>282036.745</v>
      </c>
      <c r="AC7" s="126">
        <v>280590</v>
      </c>
      <c r="AD7" s="1">
        <v>282802.10100000002</v>
      </c>
      <c r="AE7" s="1">
        <v>276870.43199999997</v>
      </c>
      <c r="AF7" s="1">
        <v>266177.30499999999</v>
      </c>
      <c r="AG7" s="1">
        <v>270268.06099999999</v>
      </c>
      <c r="AH7" s="1">
        <v>289827.815</v>
      </c>
      <c r="AI7" s="1">
        <v>286017.40399999998</v>
      </c>
      <c r="AK7" s="1">
        <v>297650.21500000003</v>
      </c>
      <c r="AL7" s="1">
        <v>315674.15999999997</v>
      </c>
    </row>
    <row r="8" spans="1:38" ht="12.75" customHeight="1">
      <c r="A8" s="1" t="s">
        <v>23</v>
      </c>
      <c r="B8" s="1">
        <v>19191</v>
      </c>
      <c r="C8" s="1">
        <v>24758</v>
      </c>
      <c r="D8" s="1">
        <v>25961</v>
      </c>
      <c r="I8" s="1">
        <v>33327.468000000001</v>
      </c>
      <c r="J8" s="126">
        <v>37616.618999999999</v>
      </c>
      <c r="K8" s="1">
        <v>45726.561000000002</v>
      </c>
      <c r="L8" s="1">
        <v>43922.502</v>
      </c>
      <c r="M8" s="1">
        <v>55192.389000000003</v>
      </c>
      <c r="N8" s="1">
        <v>75645.078999999998</v>
      </c>
      <c r="O8" s="1">
        <v>74156.466</v>
      </c>
      <c r="R8" s="24">
        <v>117095.70600000001</v>
      </c>
      <c r="S8" s="1">
        <v>117062.625</v>
      </c>
      <c r="T8" s="44">
        <v>112616.83199999999</v>
      </c>
      <c r="U8" s="1">
        <v>108249.52899999999</v>
      </c>
      <c r="V8" s="1">
        <v>122743.16800000001</v>
      </c>
      <c r="W8" s="126">
        <v>125350.43399999999</v>
      </c>
      <c r="X8" s="126">
        <v>138468.55600000001</v>
      </c>
      <c r="Y8" s="126">
        <v>166572.299</v>
      </c>
      <c r="Z8" s="126">
        <v>191084.56899999999</v>
      </c>
      <c r="AA8" s="126">
        <v>167148.87299999999</v>
      </c>
      <c r="AB8" s="126">
        <v>168196.84700000001</v>
      </c>
      <c r="AC8" s="126">
        <v>171774</v>
      </c>
      <c r="AD8" s="1">
        <v>173322.04699999999</v>
      </c>
      <c r="AE8" s="1">
        <v>174108.62599999999</v>
      </c>
      <c r="AF8" s="1">
        <v>177951.36600000001</v>
      </c>
      <c r="AG8" s="1">
        <v>176234.416</v>
      </c>
      <c r="AH8" s="1">
        <v>176125.916</v>
      </c>
      <c r="AI8" s="1">
        <v>176435.068</v>
      </c>
      <c r="AK8" s="1">
        <v>183504.315</v>
      </c>
      <c r="AL8" s="1">
        <v>182483.42</v>
      </c>
    </row>
    <row r="9" spans="1:38" ht="12.75" customHeight="1">
      <c r="A9" s="1" t="s">
        <v>24</v>
      </c>
      <c r="D9" s="1">
        <v>18131</v>
      </c>
      <c r="I9" s="1">
        <v>31500.085999999999</v>
      </c>
      <c r="J9" s="126">
        <v>31424.400000000001</v>
      </c>
      <c r="M9" s="1">
        <v>36989.800000000003</v>
      </c>
      <c r="N9" s="1">
        <v>31074.14</v>
      </c>
      <c r="O9" s="1">
        <v>44352.601000000002</v>
      </c>
      <c r="R9" s="24">
        <v>49215.074999999997</v>
      </c>
      <c r="S9" s="35">
        <v>51837.457999999999</v>
      </c>
      <c r="T9" s="45">
        <v>51737</v>
      </c>
      <c r="U9" s="35">
        <v>52085.1</v>
      </c>
      <c r="V9" s="35">
        <v>51817.648999999998</v>
      </c>
      <c r="W9" s="126">
        <v>54126.635999999999</v>
      </c>
      <c r="X9" s="126">
        <v>58578.139000000003</v>
      </c>
      <c r="Y9" s="126">
        <v>64117.1</v>
      </c>
      <c r="Z9" s="126">
        <v>66862.5</v>
      </c>
      <c r="AA9" s="126">
        <v>56061.120999999999</v>
      </c>
      <c r="AB9" s="126">
        <v>57967.207000000002</v>
      </c>
      <c r="AC9" s="126">
        <v>62079</v>
      </c>
      <c r="AD9" s="1">
        <v>66651.403000000006</v>
      </c>
      <c r="AE9" s="1">
        <v>66677.198999999993</v>
      </c>
      <c r="AF9" s="1">
        <v>68443.941000000006</v>
      </c>
      <c r="AG9" s="1">
        <v>68443.941000000006</v>
      </c>
      <c r="AH9" s="1">
        <v>71592.899999999994</v>
      </c>
      <c r="AI9" s="1">
        <v>73680.3</v>
      </c>
      <c r="AK9" s="1">
        <v>76047.263000000006</v>
      </c>
      <c r="AL9" s="1">
        <v>78280.523000000001</v>
      </c>
    </row>
    <row r="10" spans="1:38" ht="12.75" customHeight="1">
      <c r="A10" s="1" t="s">
        <v>25</v>
      </c>
      <c r="B10" s="1">
        <v>324338</v>
      </c>
      <c r="C10" s="1">
        <v>338222</v>
      </c>
      <c r="D10" s="1">
        <v>354149</v>
      </c>
      <c r="I10" s="1">
        <v>571845.90899999999</v>
      </c>
      <c r="J10" s="126">
        <v>548497.64899999998</v>
      </c>
      <c r="K10" s="1">
        <v>564391.43099999998</v>
      </c>
      <c r="L10" s="1">
        <v>602956.28</v>
      </c>
      <c r="M10" s="1">
        <v>632627.53700000001</v>
      </c>
      <c r="N10" s="1">
        <v>649491.99199999997</v>
      </c>
      <c r="O10" s="1">
        <v>699173.52599999995</v>
      </c>
      <c r="R10" s="24">
        <v>813530.08600000001</v>
      </c>
      <c r="S10" s="1">
        <v>975362.70600000001</v>
      </c>
      <c r="T10" s="44">
        <v>802312.51899999997</v>
      </c>
      <c r="U10" s="1">
        <v>712028.53200000001</v>
      </c>
      <c r="V10" s="1">
        <v>689496.70200000005</v>
      </c>
      <c r="W10" s="126">
        <v>741016.06599999999</v>
      </c>
      <c r="X10" s="126">
        <v>784179.66899999999</v>
      </c>
      <c r="Y10" s="126">
        <v>950359.11899999995</v>
      </c>
      <c r="Z10" s="126">
        <v>939275.39899999998</v>
      </c>
      <c r="AA10" s="126">
        <v>1056251.4069999999</v>
      </c>
      <c r="AB10" s="126">
        <v>969689.64599999995</v>
      </c>
      <c r="AC10" s="126">
        <v>1037400</v>
      </c>
      <c r="AD10" s="1">
        <v>1029540.813</v>
      </c>
      <c r="AE10" s="1">
        <v>1057480.5959999999</v>
      </c>
      <c r="AF10" s="1">
        <v>1108266.571</v>
      </c>
      <c r="AG10" s="1">
        <v>1143463.0519999999</v>
      </c>
      <c r="AH10" s="1">
        <v>1258345.4839999999</v>
      </c>
      <c r="AI10" s="1">
        <v>1244878.57</v>
      </c>
      <c r="AK10" s="1">
        <v>1234027.773</v>
      </c>
      <c r="AL10" s="1">
        <v>1260483.3929999999</v>
      </c>
    </row>
    <row r="11" spans="1:38" ht="12.75" customHeight="1">
      <c r="A11" s="1" t="s">
        <v>26</v>
      </c>
      <c r="B11" s="1">
        <v>52938</v>
      </c>
      <c r="C11" s="1">
        <v>56015</v>
      </c>
      <c r="D11" s="1">
        <v>58728</v>
      </c>
      <c r="I11" s="1">
        <v>155899.05499999999</v>
      </c>
      <c r="J11" s="126">
        <v>170744.22399999999</v>
      </c>
      <c r="K11" s="1">
        <v>195021.149</v>
      </c>
      <c r="L11" s="1">
        <v>227070.31599999999</v>
      </c>
      <c r="M11" s="1">
        <v>253856.88699999999</v>
      </c>
      <c r="N11" s="1">
        <v>208408.04500000001</v>
      </c>
      <c r="O11" s="1">
        <v>223911.12257000001</v>
      </c>
      <c r="R11" s="24">
        <v>366974.22499999998</v>
      </c>
      <c r="S11" s="1">
        <v>393424.48700000002</v>
      </c>
      <c r="T11" s="44">
        <v>410631.97</v>
      </c>
      <c r="U11" s="1">
        <v>379376.77100000001</v>
      </c>
      <c r="V11" s="1">
        <v>410919.21100000001</v>
      </c>
      <c r="W11" s="126">
        <v>430348.56300000002</v>
      </c>
      <c r="X11" s="126">
        <v>467285.17099999997</v>
      </c>
      <c r="Y11" s="126">
        <v>454336.103</v>
      </c>
      <c r="Z11" s="126">
        <v>488575.58799999999</v>
      </c>
      <c r="AA11" s="126">
        <v>210540.99299999999</v>
      </c>
      <c r="AB11" s="126">
        <v>403011.4</v>
      </c>
      <c r="AC11" s="126">
        <v>469785</v>
      </c>
      <c r="AD11" s="1">
        <v>474601.32</v>
      </c>
      <c r="AE11" s="1">
        <v>421034.34899999999</v>
      </c>
      <c r="AF11" s="1">
        <v>175956.16099999999</v>
      </c>
      <c r="AG11" s="1">
        <v>173396.783</v>
      </c>
      <c r="AH11" s="1">
        <v>435600.60600000003</v>
      </c>
      <c r="AI11" s="1">
        <v>132395.348</v>
      </c>
      <c r="AK11" s="1">
        <v>106330.548</v>
      </c>
      <c r="AL11" s="1">
        <v>107785.258</v>
      </c>
    </row>
    <row r="12" spans="1:38" ht="12.75" customHeight="1">
      <c r="A12" s="1" t="s">
        <v>27</v>
      </c>
      <c r="B12" s="1">
        <v>28145</v>
      </c>
      <c r="C12" s="1">
        <v>29442</v>
      </c>
      <c r="D12" s="1">
        <v>31737</v>
      </c>
      <c r="I12" s="1">
        <v>58530.06</v>
      </c>
      <c r="J12" s="126">
        <v>68711.600000000006</v>
      </c>
      <c r="K12" s="1">
        <v>69650.225999999995</v>
      </c>
      <c r="L12" s="1">
        <v>71610.993000000002</v>
      </c>
      <c r="M12" s="1">
        <v>74300.646999999997</v>
      </c>
      <c r="N12" s="1">
        <v>76183.324999999997</v>
      </c>
      <c r="O12" s="1">
        <v>82609.5</v>
      </c>
      <c r="R12" s="18">
        <v>177852.38800000001</v>
      </c>
      <c r="S12" s="1">
        <v>181628.636</v>
      </c>
      <c r="T12" s="44">
        <v>8542.4</v>
      </c>
      <c r="U12" s="1">
        <v>9081.5</v>
      </c>
      <c r="V12" s="1">
        <v>9054.5</v>
      </c>
      <c r="W12" s="126">
        <v>135987.81099999999</v>
      </c>
      <c r="X12" s="126">
        <v>152980.51999999999</v>
      </c>
      <c r="Y12" s="126">
        <v>154969.46299999999</v>
      </c>
      <c r="Z12" s="126">
        <v>162563.62</v>
      </c>
      <c r="AA12" s="126">
        <v>146058.098</v>
      </c>
      <c r="AB12" s="126">
        <v>149242.71599999999</v>
      </c>
      <c r="AC12" s="126">
        <v>138450</v>
      </c>
      <c r="AD12" s="1">
        <v>156762.74</v>
      </c>
      <c r="AE12" s="1">
        <v>129862.194</v>
      </c>
      <c r="AF12" s="1">
        <v>116406.173</v>
      </c>
      <c r="AG12" s="1">
        <v>114413.549</v>
      </c>
      <c r="AH12" s="1">
        <v>125008.914</v>
      </c>
      <c r="AI12" s="1">
        <v>110956.485</v>
      </c>
      <c r="AK12" s="1">
        <v>153116.28700000001</v>
      </c>
      <c r="AL12" s="1">
        <v>152288.5</v>
      </c>
    </row>
    <row r="13" spans="1:38" ht="12.75" customHeight="1">
      <c r="A13" s="1" t="s">
        <v>28</v>
      </c>
      <c r="B13" s="1">
        <v>23312</v>
      </c>
      <c r="C13" s="1">
        <v>25580</v>
      </c>
      <c r="D13" s="1">
        <v>26331</v>
      </c>
      <c r="I13" s="1">
        <v>33599.508000000002</v>
      </c>
      <c r="J13" s="126">
        <v>39990.722999999998</v>
      </c>
      <c r="K13" s="1">
        <v>40801.212</v>
      </c>
      <c r="L13" s="1">
        <v>40989.072</v>
      </c>
      <c r="M13" s="1">
        <v>44089.091999999997</v>
      </c>
      <c r="N13" s="1">
        <v>53444.55</v>
      </c>
      <c r="O13" s="1">
        <v>66626.520999999993</v>
      </c>
      <c r="R13" s="18">
        <v>118754.10400000001</v>
      </c>
      <c r="S13" s="1">
        <v>125175.95</v>
      </c>
      <c r="T13" s="44">
        <v>137177.821</v>
      </c>
      <c r="U13" s="1">
        <v>149820.69099999999</v>
      </c>
      <c r="V13" s="1">
        <v>160670.413</v>
      </c>
      <c r="W13" s="126">
        <v>164158.522</v>
      </c>
      <c r="X13" s="126">
        <v>156252.155</v>
      </c>
      <c r="Y13" s="126">
        <v>185724.99900000001</v>
      </c>
      <c r="Z13" s="126">
        <v>213985.117</v>
      </c>
      <c r="AA13" s="126">
        <v>130774.561</v>
      </c>
      <c r="AB13" s="126">
        <v>159686.83799999999</v>
      </c>
      <c r="AC13" s="126">
        <v>163246</v>
      </c>
      <c r="AD13" s="1">
        <v>150404.614</v>
      </c>
      <c r="AE13" s="1">
        <v>126833.51700000001</v>
      </c>
      <c r="AF13" s="1">
        <v>90272.244999999995</v>
      </c>
      <c r="AG13" s="1">
        <v>92263.523000000001</v>
      </c>
      <c r="AH13" s="1">
        <v>129906.867</v>
      </c>
      <c r="AI13" s="1">
        <v>90154.475000000006</v>
      </c>
      <c r="AK13" s="1">
        <v>96107.676999999996</v>
      </c>
      <c r="AL13" s="1">
        <v>100135.958</v>
      </c>
    </row>
    <row r="14" spans="1:38" ht="12.75" customHeight="1">
      <c r="A14" s="1" t="s">
        <v>29</v>
      </c>
      <c r="B14" s="1">
        <v>76354</v>
      </c>
      <c r="C14" s="1">
        <v>80689</v>
      </c>
      <c r="D14" s="1">
        <v>87897</v>
      </c>
      <c r="I14" s="1">
        <v>101340.13099999999</v>
      </c>
      <c r="J14" s="126">
        <v>73233.455000000002</v>
      </c>
      <c r="K14" s="1">
        <v>101576.879</v>
      </c>
      <c r="L14" s="1">
        <v>106316.85400000001</v>
      </c>
      <c r="M14" s="1">
        <v>94127.092000000004</v>
      </c>
      <c r="N14" s="1">
        <v>110118.405</v>
      </c>
      <c r="O14" s="1">
        <v>112606.413</v>
      </c>
      <c r="R14" s="18">
        <v>144313.117</v>
      </c>
      <c r="S14" s="1">
        <v>168657.84400000001</v>
      </c>
      <c r="T14" s="44">
        <v>175633.46299999999</v>
      </c>
      <c r="U14" s="1">
        <v>187789.62599999999</v>
      </c>
      <c r="V14" s="1">
        <v>185664.76800000001</v>
      </c>
      <c r="W14" s="126">
        <v>191193.253</v>
      </c>
      <c r="X14" s="126">
        <v>200857.03200000001</v>
      </c>
      <c r="Y14" s="126">
        <v>212765.80900000001</v>
      </c>
      <c r="Z14" s="126">
        <v>250205.95600000001</v>
      </c>
      <c r="AA14" s="126">
        <v>262072.29399999999</v>
      </c>
      <c r="AB14" s="126">
        <v>261609.83600000001</v>
      </c>
      <c r="AC14" s="126">
        <v>258774</v>
      </c>
      <c r="AD14" s="1">
        <v>257411.136</v>
      </c>
      <c r="AE14" s="1">
        <v>263605.09100000001</v>
      </c>
      <c r="AF14" s="1">
        <v>280894.90500000003</v>
      </c>
      <c r="AG14" s="1">
        <v>282236.23200000002</v>
      </c>
      <c r="AH14" s="1">
        <v>291958.446</v>
      </c>
      <c r="AI14" s="1">
        <v>305348.58199999999</v>
      </c>
      <c r="AK14" s="1">
        <v>314207.24200000003</v>
      </c>
      <c r="AL14" s="1">
        <v>323258.902</v>
      </c>
    </row>
    <row r="15" spans="1:38" ht="12.75" customHeight="1">
      <c r="A15" s="1" t="s">
        <v>30</v>
      </c>
      <c r="B15" s="1">
        <v>55957</v>
      </c>
      <c r="C15" s="1">
        <v>62621</v>
      </c>
      <c r="D15" s="1">
        <v>71412</v>
      </c>
      <c r="I15" s="1">
        <v>77232.108999999997</v>
      </c>
      <c r="J15" s="126">
        <v>72673.285000000003</v>
      </c>
      <c r="K15" s="1">
        <v>86064.773000000001</v>
      </c>
      <c r="L15" s="1">
        <v>95637.771999999997</v>
      </c>
      <c r="M15" s="1">
        <v>130134.04</v>
      </c>
      <c r="N15" s="1">
        <v>148221.802</v>
      </c>
      <c r="O15" s="1">
        <v>147198.51199999999</v>
      </c>
      <c r="R15" s="18">
        <v>188906.47500000001</v>
      </c>
      <c r="S15" s="1">
        <v>181494.65100000001</v>
      </c>
      <c r="T15" s="44">
        <v>156020.435</v>
      </c>
      <c r="U15" s="1">
        <v>154458.962</v>
      </c>
      <c r="V15" s="1">
        <v>154556.15700000001</v>
      </c>
      <c r="W15" s="126">
        <v>158367.658</v>
      </c>
      <c r="X15" s="126">
        <v>172743.88099999999</v>
      </c>
      <c r="Y15" s="126">
        <v>190309.86799999999</v>
      </c>
      <c r="Z15" s="126">
        <v>229524.39300000001</v>
      </c>
      <c r="AA15" s="126">
        <v>227557.56200000001</v>
      </c>
      <c r="AB15" s="126">
        <v>222251.56899999999</v>
      </c>
      <c r="AC15" s="126">
        <v>205892</v>
      </c>
      <c r="AD15" s="1">
        <v>226937.87</v>
      </c>
      <c r="AE15" s="1">
        <v>230551.516</v>
      </c>
      <c r="AF15" s="1">
        <v>234576.416</v>
      </c>
      <c r="AG15" s="1">
        <v>249306.63399999999</v>
      </c>
      <c r="AH15" s="1">
        <v>255580.872</v>
      </c>
      <c r="AI15" s="1">
        <v>248490.171</v>
      </c>
      <c r="AK15" s="1">
        <v>229249.69699999999</v>
      </c>
      <c r="AL15" s="1">
        <v>240081.77600000001</v>
      </c>
    </row>
    <row r="16" spans="1:38" ht="12.75" customHeight="1">
      <c r="A16" s="1" t="s">
        <v>31</v>
      </c>
      <c r="B16" s="1">
        <v>219118</v>
      </c>
      <c r="C16" s="1">
        <v>244830</v>
      </c>
      <c r="D16" s="1">
        <v>265358</v>
      </c>
      <c r="I16" s="1">
        <v>368645.08899999998</v>
      </c>
      <c r="J16" s="126">
        <v>349576.71500000003</v>
      </c>
      <c r="K16" s="1">
        <v>387416.46299999999</v>
      </c>
      <c r="L16" s="1">
        <v>424498.48</v>
      </c>
      <c r="M16" s="1">
        <v>452371.88400000002</v>
      </c>
      <c r="N16" s="1">
        <v>465130.12800000003</v>
      </c>
      <c r="O16" s="1">
        <v>492547.95342999999</v>
      </c>
      <c r="R16" s="18">
        <v>477850.984</v>
      </c>
      <c r="S16" s="1">
        <v>504881.804</v>
      </c>
      <c r="T16" s="1">
        <v>554460.15500000003</v>
      </c>
      <c r="U16" s="1">
        <v>571120.37899999996</v>
      </c>
      <c r="V16" s="1">
        <v>598406.11199999996</v>
      </c>
      <c r="W16" s="126">
        <v>675442.88100000005</v>
      </c>
      <c r="X16" s="126">
        <v>728489.63800000004</v>
      </c>
      <c r="Y16" s="126">
        <v>816583.32299999997</v>
      </c>
      <c r="Z16" s="126">
        <v>859073.39500000002</v>
      </c>
      <c r="AA16" s="126">
        <v>872199.57499999995</v>
      </c>
      <c r="AB16" s="126">
        <v>834958.78899999999</v>
      </c>
      <c r="AC16" s="126">
        <v>895382</v>
      </c>
      <c r="AD16" s="1">
        <v>872165.42</v>
      </c>
      <c r="AE16" s="1">
        <v>916488.09699999995</v>
      </c>
      <c r="AF16" s="1">
        <v>921191.81099999999</v>
      </c>
      <c r="AG16" s="1">
        <v>952633.85199999996</v>
      </c>
      <c r="AH16" s="1">
        <v>969395.19299999997</v>
      </c>
      <c r="AI16" s="1">
        <v>1005506.711</v>
      </c>
      <c r="AK16" s="1">
        <v>1082466.6950000001</v>
      </c>
      <c r="AL16" s="1">
        <v>1071361.148</v>
      </c>
    </row>
    <row r="17" spans="1:38" ht="12.75" customHeight="1">
      <c r="A17" s="1" t="s">
        <v>32</v>
      </c>
      <c r="B17" s="1">
        <v>66493</v>
      </c>
      <c r="C17" s="1">
        <v>67243</v>
      </c>
      <c r="D17" s="1">
        <v>76683</v>
      </c>
      <c r="I17" s="1">
        <v>96498.122000000003</v>
      </c>
      <c r="J17" s="126">
        <v>108018.533</v>
      </c>
      <c r="K17" s="1">
        <v>103147.696</v>
      </c>
      <c r="L17" s="1">
        <v>100400.641</v>
      </c>
      <c r="M17" s="1">
        <v>100699.341</v>
      </c>
      <c r="N17" s="1">
        <v>105188.872</v>
      </c>
      <c r="O17" s="1">
        <v>115660.9103</v>
      </c>
      <c r="R17" s="18">
        <v>136768.68599999999</v>
      </c>
      <c r="S17" s="1">
        <v>162662.497</v>
      </c>
      <c r="T17" s="1">
        <v>162914.571</v>
      </c>
      <c r="U17" s="1">
        <v>137080.63200000001</v>
      </c>
      <c r="V17" s="1">
        <v>120028.595</v>
      </c>
      <c r="W17" s="126">
        <v>123527.735</v>
      </c>
      <c r="X17" s="126">
        <v>134274.068</v>
      </c>
      <c r="Y17" s="126">
        <v>147198.29199999999</v>
      </c>
      <c r="Z17" s="126">
        <v>171680.77499999999</v>
      </c>
      <c r="AA17" s="126">
        <v>185197.48300000001</v>
      </c>
      <c r="AB17" s="126">
        <v>182798.008</v>
      </c>
      <c r="AC17" s="126">
        <v>180112</v>
      </c>
      <c r="AD17" s="1">
        <v>175254.60800000001</v>
      </c>
      <c r="AE17" s="1">
        <v>176399.584</v>
      </c>
      <c r="AF17" s="1">
        <v>184365.64199999999</v>
      </c>
      <c r="AG17" s="1">
        <v>184741.91500000001</v>
      </c>
      <c r="AH17" s="1">
        <v>161152.959</v>
      </c>
      <c r="AI17" s="1">
        <v>151253.239</v>
      </c>
      <c r="AK17" s="1">
        <v>144176.019</v>
      </c>
      <c r="AL17" s="1">
        <v>151173.19</v>
      </c>
    </row>
    <row r="18" spans="1:38" ht="12.75" customHeight="1">
      <c r="A18" s="1" t="s">
        <v>33</v>
      </c>
      <c r="B18" s="1">
        <v>58019</v>
      </c>
      <c r="C18" s="1">
        <v>66721</v>
      </c>
      <c r="D18" s="1">
        <v>79471</v>
      </c>
      <c r="I18" s="1">
        <v>110149.147</v>
      </c>
      <c r="J18" s="126">
        <v>111239.966</v>
      </c>
      <c r="K18" s="1">
        <v>117076.30899999999</v>
      </c>
      <c r="L18" s="1">
        <v>122096.766</v>
      </c>
      <c r="M18" s="1">
        <v>127452.16</v>
      </c>
      <c r="N18" s="1">
        <v>133808.17000000001</v>
      </c>
      <c r="O18" s="1">
        <v>141274.86199999999</v>
      </c>
      <c r="R18" s="18">
        <v>174833.15400000001</v>
      </c>
      <c r="S18" s="1">
        <v>183645.52900000001</v>
      </c>
      <c r="T18" s="1">
        <v>177624.783</v>
      </c>
      <c r="U18" s="1">
        <v>167396.408</v>
      </c>
      <c r="V18" s="1">
        <v>142766.035</v>
      </c>
      <c r="W18" s="126">
        <v>148751.467</v>
      </c>
      <c r="X18" s="126">
        <v>153916.27900000001</v>
      </c>
      <c r="Y18" s="126">
        <v>168908.18799999999</v>
      </c>
      <c r="Z18" s="126">
        <v>182846.44500000001</v>
      </c>
      <c r="AA18" s="126">
        <v>140420.984</v>
      </c>
      <c r="AB18" s="126">
        <v>123635.978</v>
      </c>
      <c r="AC18" s="126">
        <v>104570</v>
      </c>
      <c r="AD18" s="1">
        <v>104848.88099999999</v>
      </c>
      <c r="AE18" s="1">
        <v>111134.851</v>
      </c>
      <c r="AF18" s="1">
        <v>116757.94</v>
      </c>
      <c r="AG18" s="1">
        <v>124082.183</v>
      </c>
      <c r="AH18" s="1">
        <v>133220.24100000001</v>
      </c>
      <c r="AI18" s="1">
        <v>159587.815</v>
      </c>
      <c r="AK18" s="1">
        <v>161135.098</v>
      </c>
      <c r="AL18" s="1">
        <v>166228.76</v>
      </c>
    </row>
    <row r="19" spans="1:38" ht="12.75" customHeight="1">
      <c r="A19" s="1" t="s">
        <v>34</v>
      </c>
      <c r="B19" s="1">
        <v>61258</v>
      </c>
      <c r="C19" s="1">
        <v>74454</v>
      </c>
      <c r="D19" s="1">
        <v>81990</v>
      </c>
      <c r="I19" s="1">
        <v>111957.94</v>
      </c>
      <c r="J19" s="126">
        <v>108321.163</v>
      </c>
      <c r="K19" s="1">
        <v>129064.139</v>
      </c>
      <c r="L19" s="1">
        <v>142803.861</v>
      </c>
      <c r="M19" s="1">
        <v>155672.071</v>
      </c>
      <c r="N19" s="1">
        <v>159545.53200000001</v>
      </c>
      <c r="O19" s="1">
        <v>162328.91099999999</v>
      </c>
      <c r="R19" s="24">
        <v>179999.53099999999</v>
      </c>
      <c r="S19" s="1">
        <v>196100.23300000001</v>
      </c>
      <c r="T19" s="1">
        <v>191578.83</v>
      </c>
      <c r="U19" s="1">
        <v>193729.9</v>
      </c>
      <c r="V19" s="1">
        <v>190696.4</v>
      </c>
      <c r="W19" s="126">
        <v>202079.1</v>
      </c>
      <c r="X19" s="126">
        <v>204837.3</v>
      </c>
      <c r="Y19" s="126">
        <v>219939.5</v>
      </c>
      <c r="Z19" s="126">
        <v>232664.85800000001</v>
      </c>
      <c r="AA19" s="126">
        <v>221936.614</v>
      </c>
      <c r="AB19" s="126">
        <v>208197.43799999999</v>
      </c>
      <c r="AC19" s="126">
        <v>235605</v>
      </c>
      <c r="AD19" s="1">
        <v>193998.16099999999</v>
      </c>
      <c r="AE19" s="1">
        <v>200031.53</v>
      </c>
      <c r="AF19" s="1">
        <v>212663.625</v>
      </c>
      <c r="AG19" s="1">
        <v>209673.12599999999</v>
      </c>
      <c r="AH19" s="1">
        <v>220869.576</v>
      </c>
      <c r="AI19" s="1">
        <v>234869.864</v>
      </c>
      <c r="AK19" s="1">
        <v>276730.842</v>
      </c>
      <c r="AL19" s="1">
        <v>293446.01500000001</v>
      </c>
    </row>
    <row r="20" spans="1:38" ht="12.75" customHeight="1">
      <c r="A20" s="1" t="s">
        <v>35</v>
      </c>
      <c r="B20" s="1">
        <v>470216</v>
      </c>
      <c r="C20" s="1">
        <v>491337</v>
      </c>
      <c r="D20" s="1">
        <v>476881</v>
      </c>
      <c r="I20" s="1">
        <v>574601.58700000006</v>
      </c>
      <c r="J20" s="126">
        <v>606673.45700000005</v>
      </c>
      <c r="K20" s="1">
        <v>643927.91299999994</v>
      </c>
      <c r="L20" s="1">
        <v>708847.49399999995</v>
      </c>
      <c r="M20" s="1">
        <v>682731.67099999997</v>
      </c>
      <c r="N20" s="1">
        <v>735120.576</v>
      </c>
      <c r="O20" s="1">
        <v>747637.51899999997</v>
      </c>
      <c r="R20" s="18">
        <v>889954.81799999997</v>
      </c>
      <c r="S20" s="1">
        <v>913774.96799999999</v>
      </c>
      <c r="T20" s="1">
        <v>827503.19299999997</v>
      </c>
      <c r="U20" s="1">
        <v>792648.43900000001</v>
      </c>
      <c r="V20" s="1">
        <v>822103.35</v>
      </c>
      <c r="W20" s="126">
        <v>951577.47499999998</v>
      </c>
      <c r="X20" s="126">
        <v>1057375.378</v>
      </c>
      <c r="Y20" s="126">
        <v>1072346.419</v>
      </c>
      <c r="Z20" s="126">
        <v>1132075.9779999999</v>
      </c>
      <c r="AA20" s="126">
        <v>1197527.9839999999</v>
      </c>
      <c r="AB20" s="126">
        <v>1221152.4080000001</v>
      </c>
      <c r="AC20" s="126">
        <v>1197188</v>
      </c>
      <c r="AD20" s="1">
        <v>1124722.196</v>
      </c>
      <c r="AE20" s="1">
        <v>1120402.764</v>
      </c>
      <c r="AF20" s="1">
        <v>1186235.5689999999</v>
      </c>
      <c r="AG20" s="1">
        <v>1123551.1070000001</v>
      </c>
      <c r="AH20" s="1">
        <v>1222210.193</v>
      </c>
      <c r="AI20" s="1">
        <v>1251173.1089999999</v>
      </c>
      <c r="AK20" s="1">
        <v>1383191.635</v>
      </c>
      <c r="AL20" s="1">
        <v>1405066.1680000001</v>
      </c>
    </row>
    <row r="21" spans="1:38" ht="12.75" customHeight="1">
      <c r="A21" s="1" t="s">
        <v>36</v>
      </c>
      <c r="B21" s="1">
        <v>111097</v>
      </c>
      <c r="C21" s="1">
        <v>129788</v>
      </c>
      <c r="D21" s="1">
        <v>136062</v>
      </c>
      <c r="I21" s="1">
        <v>179048.43599999999</v>
      </c>
      <c r="J21" s="126">
        <v>167621.74</v>
      </c>
      <c r="K21" s="1">
        <v>164593.80499999999</v>
      </c>
      <c r="L21" s="1">
        <v>172817.32800000001</v>
      </c>
      <c r="M21" s="1">
        <v>184527.851</v>
      </c>
      <c r="N21" s="1">
        <v>183680.557</v>
      </c>
      <c r="O21" s="1">
        <v>191595.63099999999</v>
      </c>
      <c r="R21" s="18">
        <v>266973.217</v>
      </c>
      <c r="S21" s="1">
        <v>291281.17700000003</v>
      </c>
      <c r="T21" s="1">
        <v>289049.88400000002</v>
      </c>
      <c r="U21" s="1">
        <v>268691.19699999999</v>
      </c>
      <c r="V21" s="1">
        <v>261955.32699999999</v>
      </c>
      <c r="W21" s="126">
        <v>287051.60700000002</v>
      </c>
      <c r="X21" s="126">
        <v>334857.61700000003</v>
      </c>
      <c r="Y21" s="126">
        <v>358571.04800000001</v>
      </c>
      <c r="Z21" s="126">
        <v>390007.04399999999</v>
      </c>
      <c r="AA21" s="126">
        <v>379304.65700000001</v>
      </c>
      <c r="AB21" s="126">
        <v>330287.03899999999</v>
      </c>
      <c r="AC21" s="126">
        <v>333162</v>
      </c>
      <c r="AD21" s="1">
        <v>310998.59600000002</v>
      </c>
      <c r="AE21" s="1">
        <v>376654.28</v>
      </c>
      <c r="AF21" s="1">
        <v>381823.63400000002</v>
      </c>
      <c r="AG21" s="1">
        <v>387904.739</v>
      </c>
      <c r="AH21" s="1">
        <v>393139.91</v>
      </c>
      <c r="AI21" s="1">
        <v>406623.49699999997</v>
      </c>
      <c r="AK21" s="1">
        <v>413707.56400000001</v>
      </c>
      <c r="AL21" s="1">
        <v>413865.84100000001</v>
      </c>
    </row>
    <row r="22" spans="1:38" ht="12.75" customHeight="1">
      <c r="A22" s="27" t="s">
        <v>37</v>
      </c>
      <c r="B22" s="27">
        <v>10991</v>
      </c>
      <c r="C22" s="27">
        <v>12188</v>
      </c>
      <c r="D22" s="27">
        <v>12796</v>
      </c>
      <c r="E22" s="27"/>
      <c r="F22" s="27"/>
      <c r="G22" s="27"/>
      <c r="H22" s="27"/>
      <c r="I22" s="27">
        <v>10767.383</v>
      </c>
      <c r="J22" s="127">
        <v>11572.941999999999</v>
      </c>
      <c r="K22" s="27">
        <v>11498</v>
      </c>
      <c r="L22" s="27">
        <v>12200.937</v>
      </c>
      <c r="M22" s="27">
        <v>12734.862999999999</v>
      </c>
      <c r="N22" s="27">
        <v>14045.630999999999</v>
      </c>
      <c r="O22" s="27">
        <v>14649.238630000002</v>
      </c>
      <c r="P22" s="27"/>
      <c r="Q22" s="27"/>
      <c r="R22" s="27">
        <v>16247.72</v>
      </c>
      <c r="S22" s="27">
        <v>25629.777999999998</v>
      </c>
      <c r="T22" s="27">
        <v>18897.496999999999</v>
      </c>
      <c r="U22" s="27">
        <v>20609.012999999999</v>
      </c>
      <c r="V22" s="27">
        <v>16418.952000000001</v>
      </c>
      <c r="W22" s="127">
        <v>33332.536999999997</v>
      </c>
      <c r="X22" s="127">
        <v>32328.748</v>
      </c>
      <c r="Y22" s="127">
        <v>41884.555999999997</v>
      </c>
      <c r="Z22" s="127">
        <v>48564.862000000001</v>
      </c>
      <c r="AA22" s="127">
        <v>53691.856</v>
      </c>
      <c r="AB22" s="127">
        <v>56520.213000000003</v>
      </c>
      <c r="AC22" s="127">
        <v>56258</v>
      </c>
      <c r="AD22" s="27">
        <v>62743.5</v>
      </c>
      <c r="AE22" s="27">
        <v>65530.656000000003</v>
      </c>
      <c r="AF22" s="27">
        <v>59663.059000000001</v>
      </c>
      <c r="AG22" s="27">
        <v>58767.817999999999</v>
      </c>
      <c r="AH22" s="27">
        <v>56587.544999999998</v>
      </c>
      <c r="AI22" s="27">
        <v>55953.489000000001</v>
      </c>
      <c r="AJ22" s="27"/>
      <c r="AK22" s="1">
        <v>58307.06</v>
      </c>
      <c r="AL22" s="1">
        <v>64130.819000000003</v>
      </c>
    </row>
    <row r="23" spans="1:38" ht="12.75" customHeight="1">
      <c r="A23" s="6" t="s">
        <v>38</v>
      </c>
      <c r="B23" s="51">
        <f>SUM(B25:B37)</f>
        <v>0</v>
      </c>
      <c r="C23" s="51">
        <f t="shared" ref="C23:AK23" si="14">SUM(C25:C37)</f>
        <v>0</v>
      </c>
      <c r="D23" s="51">
        <f t="shared" si="14"/>
        <v>0</v>
      </c>
      <c r="E23" s="51">
        <f t="shared" si="14"/>
        <v>0</v>
      </c>
      <c r="F23" s="51">
        <f t="shared" si="14"/>
        <v>0</v>
      </c>
      <c r="G23" s="51">
        <f t="shared" si="14"/>
        <v>0</v>
      </c>
      <c r="H23" s="51">
        <f t="shared" si="14"/>
        <v>0</v>
      </c>
      <c r="I23" s="51">
        <f t="shared" si="14"/>
        <v>0</v>
      </c>
      <c r="J23" s="51">
        <f t="shared" si="14"/>
        <v>2562289.3310000002</v>
      </c>
      <c r="K23" s="51">
        <f t="shared" si="14"/>
        <v>0</v>
      </c>
      <c r="L23" s="51">
        <f t="shared" si="14"/>
        <v>0</v>
      </c>
      <c r="M23" s="51">
        <f t="shared" si="14"/>
        <v>2232641.165</v>
      </c>
      <c r="N23" s="51">
        <f t="shared" si="14"/>
        <v>0</v>
      </c>
      <c r="O23" s="51">
        <f t="shared" si="14"/>
        <v>2685966.0266400003</v>
      </c>
      <c r="P23" s="51">
        <f t="shared" si="14"/>
        <v>0</v>
      </c>
      <c r="Q23" s="51">
        <f t="shared" si="14"/>
        <v>0</v>
      </c>
      <c r="R23" s="51">
        <f t="shared" si="14"/>
        <v>2806036.8430000003</v>
      </c>
      <c r="S23" s="51">
        <f t="shared" si="14"/>
        <v>3131465.5729999999</v>
      </c>
      <c r="T23" s="51">
        <f t="shared" si="14"/>
        <v>3201920.3279999997</v>
      </c>
      <c r="U23" s="51">
        <f t="shared" si="14"/>
        <v>2977852.3840000001</v>
      </c>
      <c r="V23" s="51">
        <f t="shared" si="14"/>
        <v>2872351.1719999998</v>
      </c>
      <c r="W23" s="51">
        <f t="shared" si="14"/>
        <v>3799761.639</v>
      </c>
      <c r="X23" s="51">
        <f t="shared" si="14"/>
        <v>4206877.5329999998</v>
      </c>
      <c r="Y23" s="51">
        <f t="shared" si="14"/>
        <v>4608251.7640000004</v>
      </c>
      <c r="Z23" s="51">
        <f t="shared" si="14"/>
        <v>5077383.7609999999</v>
      </c>
      <c r="AA23" s="51">
        <f t="shared" si="14"/>
        <v>5338464.7989999996</v>
      </c>
      <c r="AB23" s="51">
        <f t="shared" si="14"/>
        <v>5072165.0949999997</v>
      </c>
      <c r="AC23" s="51">
        <f t="shared" si="14"/>
        <v>5332755</v>
      </c>
      <c r="AD23" s="51">
        <f t="shared" si="14"/>
        <v>4552120.381000001</v>
      </c>
      <c r="AE23" s="51">
        <f t="shared" si="14"/>
        <v>4178682.2069999999</v>
      </c>
      <c r="AF23" s="51">
        <f t="shared" si="14"/>
        <v>3689836.2609999999</v>
      </c>
      <c r="AG23" s="51">
        <f t="shared" si="14"/>
        <v>3726225.6730000004</v>
      </c>
      <c r="AH23" s="51">
        <f t="shared" si="14"/>
        <v>5251705.8289999999</v>
      </c>
      <c r="AI23" s="51">
        <f t="shared" si="14"/>
        <v>4850483.1630000006</v>
      </c>
      <c r="AJ23" s="51">
        <f t="shared" si="14"/>
        <v>0</v>
      </c>
      <c r="AK23" s="131">
        <f t="shared" si="14"/>
        <v>5566967.1270000003</v>
      </c>
      <c r="AL23" s="131">
        <f t="shared" ref="AL23" si="15">SUM(AL25:AL37)</f>
        <v>5975336.5559999989</v>
      </c>
    </row>
    <row r="24" spans="1:38" ht="12.75" customHeight="1">
      <c r="A24" s="6" t="s">
        <v>94</v>
      </c>
    </row>
    <row r="25" spans="1:38" ht="12.75" customHeight="1">
      <c r="A25" s="1" t="s">
        <v>39</v>
      </c>
      <c r="J25" s="126">
        <v>1294.2329999999999</v>
      </c>
      <c r="M25" s="1">
        <v>1621.5160000000001</v>
      </c>
      <c r="O25" s="1">
        <v>1582.472</v>
      </c>
      <c r="R25" s="18">
        <v>1574.4</v>
      </c>
      <c r="S25" s="1">
        <v>1691.895</v>
      </c>
      <c r="T25" s="1">
        <v>1764.806</v>
      </c>
      <c r="U25" s="1">
        <v>1906.9</v>
      </c>
      <c r="V25" s="1">
        <v>1949.134</v>
      </c>
      <c r="W25" s="126">
        <v>2034.6</v>
      </c>
      <c r="X25" s="126">
        <v>2353.4499999999998</v>
      </c>
      <c r="Y25" s="126">
        <v>2849.6709999999998</v>
      </c>
      <c r="Z25" s="126">
        <v>3253.2240000000002</v>
      </c>
      <c r="AA25" s="126">
        <v>3118.393</v>
      </c>
      <c r="AB25" s="126">
        <v>3236.8670000000002</v>
      </c>
      <c r="AC25" s="126">
        <v>3400</v>
      </c>
      <c r="AD25" s="1">
        <v>3676.2020000000002</v>
      </c>
      <c r="AE25" s="1">
        <v>10103.174000000001</v>
      </c>
      <c r="AH25" s="1">
        <v>0</v>
      </c>
      <c r="AI25" s="1">
        <v>0</v>
      </c>
      <c r="AK25" s="1">
        <v>0</v>
      </c>
      <c r="AL25" s="1">
        <v>0</v>
      </c>
    </row>
    <row r="26" spans="1:38" ht="12.75" customHeight="1">
      <c r="A26" s="1" t="s">
        <v>40</v>
      </c>
      <c r="J26" s="126">
        <v>72588.133000000002</v>
      </c>
      <c r="M26" s="1">
        <v>82201.551000000007</v>
      </c>
      <c r="O26" s="1">
        <v>95198.289569999994</v>
      </c>
      <c r="R26" s="18">
        <v>114872.503</v>
      </c>
      <c r="S26" s="1">
        <v>120984.753</v>
      </c>
      <c r="T26" s="1">
        <v>119860.694</v>
      </c>
      <c r="U26" s="1">
        <v>115280.36</v>
      </c>
      <c r="V26" s="1">
        <v>114417.773</v>
      </c>
      <c r="W26" s="126">
        <v>128700.508</v>
      </c>
      <c r="X26" s="126">
        <v>134110.10699999999</v>
      </c>
      <c r="Y26" s="126">
        <v>141177.033</v>
      </c>
      <c r="Z26" s="126">
        <v>145791.908</v>
      </c>
      <c r="AA26" s="126">
        <v>136772.804</v>
      </c>
      <c r="AB26" s="126">
        <v>133432.02900000001</v>
      </c>
      <c r="AC26" s="126">
        <v>133283</v>
      </c>
      <c r="AD26" s="1">
        <v>69742.03</v>
      </c>
      <c r="AE26" s="1">
        <v>64614.298999999999</v>
      </c>
      <c r="AF26" s="1">
        <v>16204.323</v>
      </c>
      <c r="AG26" s="1">
        <v>16886.224999999999</v>
      </c>
      <c r="AH26" s="1">
        <v>49084.258000000002</v>
      </c>
      <c r="AI26" s="1">
        <v>49196.159</v>
      </c>
      <c r="AK26" s="1">
        <v>51424.158000000003</v>
      </c>
      <c r="AL26" s="1">
        <v>75010.616999999998</v>
      </c>
    </row>
    <row r="27" spans="1:38" ht="12.75" customHeight="1">
      <c r="A27" s="1" t="s">
        <v>41</v>
      </c>
      <c r="J27" s="126">
        <v>1730916.942</v>
      </c>
      <c r="M27" s="1">
        <v>1249387.243</v>
      </c>
      <c r="O27" s="1">
        <v>1552899.5030799999</v>
      </c>
      <c r="R27" s="18">
        <v>1480542.8259999999</v>
      </c>
      <c r="S27" s="1">
        <v>1704993.5179999999</v>
      </c>
      <c r="T27" s="1">
        <v>1750291.827</v>
      </c>
      <c r="U27" s="1">
        <v>1575236.0390000001</v>
      </c>
      <c r="V27" s="1">
        <v>1423897.5319999999</v>
      </c>
      <c r="W27" s="126">
        <v>2377657.0189999999</v>
      </c>
      <c r="X27" s="126">
        <v>2667344.4049999998</v>
      </c>
      <c r="Y27" s="126">
        <v>3163011.1430000002</v>
      </c>
      <c r="Z27" s="126">
        <v>3353571.1830000002</v>
      </c>
      <c r="AA27" s="126">
        <v>3477650.9479999999</v>
      </c>
      <c r="AB27" s="126">
        <v>3286944.4870000002</v>
      </c>
      <c r="AC27" s="126">
        <v>3620025</v>
      </c>
      <c r="AD27" s="1">
        <v>2944547.9730000002</v>
      </c>
      <c r="AE27" s="1">
        <v>2642987.5660000001</v>
      </c>
      <c r="AF27" s="1">
        <v>2255129.36</v>
      </c>
      <c r="AG27" s="1">
        <v>2328263.608</v>
      </c>
      <c r="AH27" s="1">
        <v>3398340.9279999998</v>
      </c>
      <c r="AI27" s="1">
        <v>3131987.6359999999</v>
      </c>
      <c r="AK27" s="1">
        <v>3670947.003</v>
      </c>
      <c r="AL27" s="1">
        <v>3791834.15</v>
      </c>
    </row>
    <row r="28" spans="1:38" ht="12.75" customHeight="1">
      <c r="A28" s="1" t="s">
        <v>42</v>
      </c>
      <c r="J28" s="126">
        <v>80621.755000000005</v>
      </c>
      <c r="M28" s="1">
        <v>90437.58</v>
      </c>
      <c r="O28" s="1">
        <v>103276.47</v>
      </c>
      <c r="R28" s="18">
        <v>128990.523</v>
      </c>
      <c r="S28" s="1">
        <v>133108.973</v>
      </c>
      <c r="T28" s="1">
        <v>125218.65300000001</v>
      </c>
      <c r="U28" s="1">
        <v>116233.068</v>
      </c>
      <c r="V28" s="1">
        <v>105247.845</v>
      </c>
      <c r="W28" s="126">
        <v>106962.444</v>
      </c>
      <c r="X28" s="126">
        <v>12601.933999999999</v>
      </c>
      <c r="Y28" s="126">
        <v>13668.050999999999</v>
      </c>
      <c r="Z28" s="126">
        <v>15590.198</v>
      </c>
      <c r="AA28" s="126">
        <v>13452.748</v>
      </c>
      <c r="AB28" s="126">
        <v>8500.0030000000006</v>
      </c>
      <c r="AC28" s="126">
        <v>12293</v>
      </c>
      <c r="AD28" s="1">
        <v>13833.313</v>
      </c>
      <c r="AE28" s="1">
        <v>13847.338</v>
      </c>
      <c r="AF28" s="1">
        <v>6990.9040000000005</v>
      </c>
      <c r="AG28" s="1">
        <v>7940.7870000000003</v>
      </c>
      <c r="AH28" s="1">
        <v>10510.638999999999</v>
      </c>
      <c r="AI28" s="1">
        <v>10613.106</v>
      </c>
      <c r="AK28" s="1">
        <v>14867.574000000001</v>
      </c>
      <c r="AL28" s="1">
        <v>16275.013000000001</v>
      </c>
    </row>
    <row r="29" spans="1:38" ht="12.75" customHeight="1">
      <c r="A29" s="1" t="s">
        <v>43</v>
      </c>
      <c r="J29" s="126">
        <v>79710.885999999999</v>
      </c>
      <c r="M29" s="1">
        <v>82745.259000000005</v>
      </c>
      <c r="O29" s="1">
        <v>62727.360999999997</v>
      </c>
      <c r="R29" s="18">
        <v>64345.838000000003</v>
      </c>
      <c r="S29" s="1">
        <v>65133.091</v>
      </c>
      <c r="T29" s="1">
        <v>69584.606</v>
      </c>
      <c r="U29" s="1">
        <v>73674.384999999995</v>
      </c>
      <c r="V29" s="1">
        <v>66318.612999999998</v>
      </c>
      <c r="W29" s="126">
        <v>68383.146999999997</v>
      </c>
      <c r="X29" s="126">
        <v>73891.437999999995</v>
      </c>
      <c r="Y29" s="126">
        <v>88009.304000000004</v>
      </c>
      <c r="Z29" s="126">
        <v>97004.769</v>
      </c>
      <c r="AA29" s="126">
        <v>122440.864</v>
      </c>
      <c r="AB29" s="126">
        <v>101983.879</v>
      </c>
      <c r="AC29" s="126">
        <v>99013</v>
      </c>
      <c r="AD29" s="1">
        <v>107133.63</v>
      </c>
      <c r="AE29" s="1">
        <v>104369.48</v>
      </c>
      <c r="AF29" s="1">
        <v>111693.37</v>
      </c>
      <c r="AG29" s="1">
        <v>115327.73299999999</v>
      </c>
      <c r="AH29" s="1">
        <v>122858.996</v>
      </c>
      <c r="AI29" s="1">
        <v>131695.02499999999</v>
      </c>
      <c r="AK29" s="1">
        <v>141831.80499999999</v>
      </c>
      <c r="AL29" s="1">
        <v>143706.31200000001</v>
      </c>
    </row>
    <row r="30" spans="1:38" ht="12.75" customHeight="1">
      <c r="A30" s="1" t="s">
        <v>44</v>
      </c>
      <c r="J30" s="126">
        <v>14289.692999999999</v>
      </c>
      <c r="M30" s="1">
        <v>16308.821</v>
      </c>
      <c r="O30" s="1">
        <v>22025.536</v>
      </c>
      <c r="R30" s="18">
        <v>27193.861000000001</v>
      </c>
      <c r="S30" s="1">
        <v>29955.256000000001</v>
      </c>
      <c r="T30" s="1">
        <v>35190.470999999998</v>
      </c>
      <c r="U30" s="1">
        <v>32471.743999999999</v>
      </c>
      <c r="V30" s="1">
        <v>34049.375999999997</v>
      </c>
      <c r="W30" s="126">
        <v>35446.688000000002</v>
      </c>
      <c r="X30" s="126">
        <v>36792.262999999999</v>
      </c>
      <c r="Y30" s="126">
        <v>39462.345000000001</v>
      </c>
      <c r="Z30" s="126">
        <v>43055.065000000002</v>
      </c>
      <c r="AA30" s="126">
        <v>43564.394999999997</v>
      </c>
      <c r="AB30" s="126">
        <v>38639.182000000001</v>
      </c>
      <c r="AC30" s="126">
        <v>38260</v>
      </c>
      <c r="AD30" s="1">
        <v>46971.692999999999</v>
      </c>
      <c r="AE30" s="1">
        <v>52447.258999999998</v>
      </c>
      <c r="AF30" s="1">
        <v>47137.569000000003</v>
      </c>
      <c r="AG30" s="1">
        <v>51210.978000000003</v>
      </c>
      <c r="AH30" s="1">
        <v>59490.252999999997</v>
      </c>
      <c r="AI30" s="1">
        <v>64936.398000000001</v>
      </c>
      <c r="AK30" s="1">
        <v>75674.100000000006</v>
      </c>
      <c r="AL30" s="1">
        <v>76586.566999999995</v>
      </c>
    </row>
    <row r="31" spans="1:38" ht="12.75" customHeight="1">
      <c r="A31" s="1" t="s">
        <v>45</v>
      </c>
      <c r="J31" s="126">
        <v>3670.2689999999998</v>
      </c>
      <c r="M31" s="1">
        <v>11860.811</v>
      </c>
      <c r="O31" s="1">
        <v>10301.754140000001</v>
      </c>
      <c r="R31" s="24">
        <v>10135.204</v>
      </c>
      <c r="S31" s="1">
        <v>10719.752</v>
      </c>
      <c r="T31" s="1">
        <v>11336.412</v>
      </c>
      <c r="U31" s="1">
        <v>11397.541999999999</v>
      </c>
      <c r="V31" s="1">
        <v>12992.628000000001</v>
      </c>
      <c r="W31" s="126">
        <v>13095.439</v>
      </c>
      <c r="X31" s="126">
        <v>15216.058000000001</v>
      </c>
      <c r="Y31" s="126">
        <v>15243.236999999999</v>
      </c>
      <c r="Z31" s="126">
        <v>18588.682000000001</v>
      </c>
      <c r="AA31" s="126">
        <v>19748.503000000001</v>
      </c>
      <c r="AB31" s="126">
        <v>20010.186000000002</v>
      </c>
      <c r="AC31" s="126">
        <v>19128</v>
      </c>
      <c r="AD31" s="1">
        <v>21929.727999999999</v>
      </c>
      <c r="AE31" s="1">
        <v>21617.838</v>
      </c>
      <c r="AF31" s="1">
        <v>25543.603999999999</v>
      </c>
      <c r="AG31" s="1">
        <v>26716.437000000002</v>
      </c>
      <c r="AH31" s="1">
        <v>26483.741999999998</v>
      </c>
      <c r="AI31" s="1">
        <v>26609.837</v>
      </c>
      <c r="AK31" s="1">
        <v>25705.702000000001</v>
      </c>
      <c r="AL31" s="1">
        <v>27444.073</v>
      </c>
    </row>
    <row r="32" spans="1:38" ht="12.75" customHeight="1">
      <c r="A32" s="1" t="s">
        <v>46</v>
      </c>
      <c r="J32" s="126">
        <v>41354.178999999996</v>
      </c>
      <c r="M32" s="1">
        <v>49683.332999999999</v>
      </c>
      <c r="O32" s="1">
        <v>61329</v>
      </c>
      <c r="R32" s="24">
        <v>86110</v>
      </c>
      <c r="S32" s="1">
        <v>91358</v>
      </c>
      <c r="T32" s="1">
        <v>92804</v>
      </c>
      <c r="U32" s="1">
        <v>96610</v>
      </c>
      <c r="V32" s="1">
        <v>46625</v>
      </c>
      <c r="W32" s="126">
        <v>48368</v>
      </c>
      <c r="X32" s="126">
        <v>53852</v>
      </c>
      <c r="Y32" s="126">
        <v>36876</v>
      </c>
      <c r="Z32" s="126">
        <v>40633</v>
      </c>
      <c r="AA32" s="126">
        <v>169232</v>
      </c>
      <c r="AB32" s="126">
        <v>100503</v>
      </c>
      <c r="AC32" s="126">
        <v>159880</v>
      </c>
      <c r="AD32" s="1">
        <v>137230</v>
      </c>
      <c r="AE32" s="1">
        <v>137227</v>
      </c>
      <c r="AF32" s="1">
        <v>141113</v>
      </c>
      <c r="AG32" s="1">
        <v>142357</v>
      </c>
      <c r="AH32" s="1">
        <v>146294</v>
      </c>
      <c r="AI32" s="1">
        <v>148639</v>
      </c>
      <c r="AK32" s="1">
        <v>170588</v>
      </c>
      <c r="AL32" s="1">
        <v>175104</v>
      </c>
    </row>
    <row r="33" spans="1:38" ht="12.75" customHeight="1">
      <c r="A33" s="1" t="s">
        <v>47</v>
      </c>
      <c r="J33" s="126">
        <v>56122.303999999996</v>
      </c>
      <c r="M33" s="1">
        <v>78060.004000000001</v>
      </c>
      <c r="O33" s="1">
        <v>103708.43584999999</v>
      </c>
      <c r="R33" s="24">
        <v>125964.91099999999</v>
      </c>
      <c r="S33" s="1">
        <v>133179.03099999999</v>
      </c>
      <c r="T33" s="1">
        <v>141609.068</v>
      </c>
      <c r="U33" s="1">
        <v>141572.323</v>
      </c>
      <c r="V33" s="1">
        <v>145017.321</v>
      </c>
      <c r="W33" s="126">
        <v>157894.74</v>
      </c>
      <c r="X33" s="126">
        <v>171499.701</v>
      </c>
      <c r="Y33" s="126">
        <v>187010.902</v>
      </c>
      <c r="Z33" s="126">
        <v>206009.255</v>
      </c>
      <c r="AA33" s="126">
        <v>215504.58499999999</v>
      </c>
      <c r="AB33" s="126">
        <v>201140.068</v>
      </c>
      <c r="AC33" s="126">
        <v>195694</v>
      </c>
      <c r="AD33" s="1">
        <v>178847.239</v>
      </c>
      <c r="AE33" s="1">
        <v>188062.878</v>
      </c>
      <c r="AF33" s="1">
        <v>118764.15399999999</v>
      </c>
      <c r="AG33" s="1">
        <v>123489.74099999999</v>
      </c>
      <c r="AH33" s="1">
        <v>213211.815</v>
      </c>
      <c r="AI33" s="1">
        <v>198628.76199999999</v>
      </c>
      <c r="AK33" s="1">
        <v>202335.43299999999</v>
      </c>
      <c r="AL33" s="1">
        <v>219939.549</v>
      </c>
    </row>
    <row r="34" spans="1:38" ht="12.75" customHeight="1">
      <c r="A34" s="1" t="s">
        <v>48</v>
      </c>
      <c r="J34" s="126">
        <v>83227.858999999997</v>
      </c>
      <c r="M34" s="1">
        <v>127637.647</v>
      </c>
      <c r="O34" s="1">
        <v>163733.39506000001</v>
      </c>
      <c r="R34" s="18">
        <v>202353.19</v>
      </c>
      <c r="S34" s="1">
        <v>207281.302</v>
      </c>
      <c r="T34" s="1">
        <v>219361.78</v>
      </c>
      <c r="U34" s="1">
        <v>144769.18</v>
      </c>
      <c r="V34" s="1">
        <v>243732.666</v>
      </c>
      <c r="W34" s="126">
        <v>157104.77799999999</v>
      </c>
      <c r="X34" s="126">
        <v>263941.42300000001</v>
      </c>
      <c r="Y34" s="126">
        <v>165662.06599999999</v>
      </c>
      <c r="Z34" s="126">
        <v>303000.14399999997</v>
      </c>
      <c r="AA34" s="126">
        <v>192092.74799999999</v>
      </c>
      <c r="AB34" s="126">
        <v>283377.53899999999</v>
      </c>
      <c r="AC34" s="126">
        <v>152189</v>
      </c>
      <c r="AD34" s="1">
        <v>255171.24</v>
      </c>
      <c r="AE34" s="1">
        <v>137348.41099999999</v>
      </c>
      <c r="AF34" s="1">
        <v>271869.42499999999</v>
      </c>
      <c r="AG34" s="1">
        <v>185124.364</v>
      </c>
      <c r="AH34" s="1">
        <v>332439.48100000003</v>
      </c>
      <c r="AI34" s="1">
        <v>211500.736</v>
      </c>
      <c r="AK34" s="1">
        <v>217483.12400000001</v>
      </c>
      <c r="AL34" s="1">
        <v>388616.81800000003</v>
      </c>
    </row>
    <row r="35" spans="1:38" ht="12.75" customHeight="1">
      <c r="A35" s="1" t="s">
        <v>49</v>
      </c>
      <c r="J35" s="126">
        <v>64777.947999999997</v>
      </c>
      <c r="M35" s="1">
        <v>64540.226999999999</v>
      </c>
      <c r="O35" s="1">
        <v>73851.839000000007</v>
      </c>
      <c r="R35" s="18">
        <v>74498.835999999996</v>
      </c>
      <c r="S35" s="1">
        <v>86864.171000000002</v>
      </c>
      <c r="T35" s="1">
        <v>83291.153000000006</v>
      </c>
      <c r="U35" s="1">
        <v>88551.638000000006</v>
      </c>
      <c r="V35" s="1">
        <v>104711.818</v>
      </c>
      <c r="W35" s="126">
        <v>108372.242</v>
      </c>
      <c r="X35" s="126">
        <v>114338.523</v>
      </c>
      <c r="Y35" s="126">
        <v>129728.73299999999</v>
      </c>
      <c r="Z35" s="126">
        <v>144134.02100000001</v>
      </c>
      <c r="AA35" s="126">
        <v>122721.567</v>
      </c>
      <c r="AB35" s="126">
        <v>123705.932</v>
      </c>
      <c r="AC35" s="126">
        <v>113183</v>
      </c>
      <c r="AD35" s="1">
        <v>84260.831000000006</v>
      </c>
      <c r="AE35" s="1">
        <v>115443.71</v>
      </c>
      <c r="AF35" s="1">
        <v>121174.14599999999</v>
      </c>
      <c r="AG35" s="1">
        <v>146600.815</v>
      </c>
      <c r="AH35" s="1">
        <v>119728.90399999999</v>
      </c>
      <c r="AI35" s="1">
        <v>122834.91</v>
      </c>
      <c r="AK35" s="1">
        <v>135216.01500000001</v>
      </c>
      <c r="AL35" s="1">
        <v>144722.85</v>
      </c>
    </row>
    <row r="36" spans="1:38" ht="12.75" customHeight="1">
      <c r="A36" s="1" t="s">
        <v>50</v>
      </c>
      <c r="J36" s="126">
        <v>290055.82500000001</v>
      </c>
      <c r="M36" s="1">
        <v>335005.40999999997</v>
      </c>
      <c r="O36" s="1">
        <v>390356.65893999999</v>
      </c>
      <c r="R36" s="18">
        <v>444726.57699999999</v>
      </c>
      <c r="S36" s="1">
        <v>498110.83399999997</v>
      </c>
      <c r="T36" s="1">
        <v>493904.20799999998</v>
      </c>
      <c r="U36" s="1">
        <v>515266.82900000003</v>
      </c>
      <c r="V36" s="1">
        <v>505617.03499999997</v>
      </c>
      <c r="W36" s="126">
        <v>524971.34400000004</v>
      </c>
      <c r="X36" s="126">
        <v>581528.21</v>
      </c>
      <c r="Y36" s="126">
        <v>537994.76800000004</v>
      </c>
      <c r="Z36" s="126">
        <v>605971.55799999996</v>
      </c>
      <c r="AA36" s="126">
        <v>711844.16599999997</v>
      </c>
      <c r="AB36" s="126">
        <v>672846.90700000001</v>
      </c>
      <c r="AC36" s="126">
        <v>673095</v>
      </c>
      <c r="AD36" s="1">
        <v>573690.86899999995</v>
      </c>
      <c r="AE36" s="1">
        <v>564347.39899999998</v>
      </c>
      <c r="AF36" s="1">
        <v>463079.85</v>
      </c>
      <c r="AG36" s="1">
        <v>460071.12</v>
      </c>
      <c r="AH36" s="1">
        <v>646443.98199999996</v>
      </c>
      <c r="AI36" s="1">
        <v>636237.43299999996</v>
      </c>
      <c r="AK36" s="1">
        <v>745995.12600000005</v>
      </c>
      <c r="AL36" s="1">
        <v>798371.27</v>
      </c>
    </row>
    <row r="37" spans="1:38" ht="12.75" customHeight="1">
      <c r="A37" s="27" t="s">
        <v>51</v>
      </c>
      <c r="B37" s="27"/>
      <c r="C37" s="27"/>
      <c r="D37" s="27"/>
      <c r="E37" s="27"/>
      <c r="F37" s="27"/>
      <c r="G37" s="27"/>
      <c r="H37" s="27"/>
      <c r="I37" s="27"/>
      <c r="J37" s="127">
        <v>43659.305</v>
      </c>
      <c r="K37" s="27"/>
      <c r="L37" s="27"/>
      <c r="M37" s="27">
        <v>43151.762999999999</v>
      </c>
      <c r="N37" s="27"/>
      <c r="O37" s="27">
        <v>44975.311999999998</v>
      </c>
      <c r="P37" s="27"/>
      <c r="Q37" s="27"/>
      <c r="R37" s="37">
        <v>44728.173999999999</v>
      </c>
      <c r="S37" s="27">
        <v>48084.997000000003</v>
      </c>
      <c r="T37" s="27">
        <v>57702.65</v>
      </c>
      <c r="U37" s="27">
        <v>64882.375999999997</v>
      </c>
      <c r="V37" s="27">
        <v>67774.430999999997</v>
      </c>
      <c r="W37" s="127">
        <v>70770.69</v>
      </c>
      <c r="X37" s="127">
        <v>79408.020999999993</v>
      </c>
      <c r="Y37" s="127">
        <v>87558.510999999999</v>
      </c>
      <c r="Z37" s="127">
        <v>100780.754</v>
      </c>
      <c r="AA37" s="127">
        <v>110321.07799999999</v>
      </c>
      <c r="AB37" s="127">
        <v>97845.016000000003</v>
      </c>
      <c r="AC37" s="127">
        <v>113312</v>
      </c>
      <c r="AD37" s="27">
        <v>115085.633</v>
      </c>
      <c r="AE37" s="27">
        <v>126265.855</v>
      </c>
      <c r="AF37" s="27">
        <v>111136.556</v>
      </c>
      <c r="AG37" s="27">
        <v>122236.86500000001</v>
      </c>
      <c r="AH37" s="27">
        <v>126818.83100000001</v>
      </c>
      <c r="AI37" s="27">
        <v>117604.16099999999</v>
      </c>
      <c r="AJ37" s="27"/>
      <c r="AK37" s="1">
        <v>114899.087</v>
      </c>
      <c r="AL37" s="1">
        <v>117725.337</v>
      </c>
    </row>
    <row r="38" spans="1:38" ht="12.75" customHeight="1">
      <c r="A38" s="6" t="s">
        <v>52</v>
      </c>
      <c r="B38" s="51">
        <f>SUM(B40:B51)</f>
        <v>0</v>
      </c>
      <c r="C38" s="51">
        <f t="shared" ref="C38:AK38" si="16">SUM(C40:C51)</f>
        <v>0</v>
      </c>
      <c r="D38" s="51">
        <f t="shared" si="16"/>
        <v>0</v>
      </c>
      <c r="E38" s="51">
        <f t="shared" si="16"/>
        <v>0</v>
      </c>
      <c r="F38" s="51">
        <f t="shared" si="16"/>
        <v>0</v>
      </c>
      <c r="G38" s="51">
        <f t="shared" si="16"/>
        <v>0</v>
      </c>
      <c r="H38" s="51">
        <f t="shared" si="16"/>
        <v>0</v>
      </c>
      <c r="I38" s="51">
        <f t="shared" si="16"/>
        <v>0</v>
      </c>
      <c r="J38" s="51">
        <f t="shared" si="16"/>
        <v>1315374.9169999999</v>
      </c>
      <c r="K38" s="51">
        <f t="shared" si="16"/>
        <v>0</v>
      </c>
      <c r="L38" s="51">
        <f t="shared" si="16"/>
        <v>0</v>
      </c>
      <c r="M38" s="51">
        <f t="shared" si="16"/>
        <v>1433847.2490000001</v>
      </c>
      <c r="N38" s="51">
        <f t="shared" si="16"/>
        <v>0</v>
      </c>
      <c r="O38" s="51">
        <f t="shared" si="16"/>
        <v>1665274.4393000002</v>
      </c>
      <c r="P38" s="51">
        <f t="shared" si="16"/>
        <v>0</v>
      </c>
      <c r="Q38" s="51">
        <f t="shared" si="16"/>
        <v>0</v>
      </c>
      <c r="R38" s="51">
        <f t="shared" si="16"/>
        <v>1947140.976</v>
      </c>
      <c r="S38" s="51">
        <f t="shared" si="16"/>
        <v>2112662.6290000002</v>
      </c>
      <c r="T38" s="51">
        <f t="shared" si="16"/>
        <v>1980952.4439999997</v>
      </c>
      <c r="U38" s="51">
        <f t="shared" si="16"/>
        <v>2004338.4160000002</v>
      </c>
      <c r="V38" s="51">
        <f t="shared" si="16"/>
        <v>1979027.98</v>
      </c>
      <c r="W38" s="51">
        <f t="shared" si="16"/>
        <v>1928110.5549999997</v>
      </c>
      <c r="X38" s="51">
        <f t="shared" si="16"/>
        <v>1990467.0489999999</v>
      </c>
      <c r="Y38" s="51">
        <f t="shared" si="16"/>
        <v>2050219.6459999999</v>
      </c>
      <c r="Z38" s="51">
        <f t="shared" si="16"/>
        <v>2247461.4629999995</v>
      </c>
      <c r="AA38" s="51">
        <f t="shared" si="16"/>
        <v>2358872.4609999997</v>
      </c>
      <c r="AB38" s="51">
        <f t="shared" si="16"/>
        <v>2201861.5219999999</v>
      </c>
      <c r="AC38" s="51">
        <f t="shared" si="16"/>
        <v>2274687</v>
      </c>
      <c r="AD38" s="51">
        <f t="shared" si="16"/>
        <v>2320623.3560000001</v>
      </c>
      <c r="AE38" s="51">
        <f t="shared" si="16"/>
        <v>2485980.6190000004</v>
      </c>
      <c r="AF38" s="51">
        <f t="shared" si="16"/>
        <v>2243142.8279999997</v>
      </c>
      <c r="AG38" s="51">
        <f t="shared" si="16"/>
        <v>2397737.7430000002</v>
      </c>
      <c r="AH38" s="51">
        <f t="shared" si="16"/>
        <v>3120917.7719999999</v>
      </c>
      <c r="AI38" s="51">
        <f t="shared" si="16"/>
        <v>3321822.5389999999</v>
      </c>
      <c r="AJ38" s="51">
        <f t="shared" si="16"/>
        <v>0</v>
      </c>
      <c r="AK38" s="131">
        <f t="shared" si="16"/>
        <v>3528259.827</v>
      </c>
      <c r="AL38" s="131">
        <f t="shared" ref="AL38" si="17">SUM(AL40:AL51)</f>
        <v>2319557.3740000003</v>
      </c>
    </row>
    <row r="39" spans="1:38" ht="12.75" customHeight="1">
      <c r="A39" s="6" t="s">
        <v>94</v>
      </c>
    </row>
    <row r="40" spans="1:38" ht="12.75" customHeight="1">
      <c r="A40" s="1" t="s">
        <v>53</v>
      </c>
      <c r="J40" s="126">
        <v>211557.25099999999</v>
      </c>
      <c r="M40" s="1">
        <v>246425.59700000001</v>
      </c>
      <c r="O40" s="1">
        <v>191134.66500000001</v>
      </c>
      <c r="R40" s="18">
        <v>278426.84000000003</v>
      </c>
      <c r="S40" s="1">
        <v>291277.47899999999</v>
      </c>
      <c r="T40" s="1">
        <v>300798.54700000002</v>
      </c>
      <c r="U40" s="1">
        <v>290924.91899999999</v>
      </c>
      <c r="V40" s="1">
        <v>344328.728</v>
      </c>
      <c r="W40" s="126">
        <v>222401.67199999999</v>
      </c>
      <c r="X40" s="126">
        <v>224269.34700000001</v>
      </c>
      <c r="Y40" s="126">
        <v>272115.99</v>
      </c>
      <c r="Z40" s="126">
        <v>272000.96299999999</v>
      </c>
      <c r="AA40" s="126">
        <v>275396.076</v>
      </c>
      <c r="AB40" s="126">
        <v>287711.56300000002</v>
      </c>
      <c r="AC40" s="126">
        <v>317275</v>
      </c>
      <c r="AD40" s="1">
        <v>329038.17</v>
      </c>
      <c r="AE40" s="1">
        <v>364482.30499999999</v>
      </c>
      <c r="AF40" s="1">
        <v>247891.57699999999</v>
      </c>
      <c r="AG40" s="1">
        <v>269909.57699999999</v>
      </c>
      <c r="AH40" s="1">
        <v>312855.58899999998</v>
      </c>
      <c r="AI40" s="1">
        <v>459558.245</v>
      </c>
      <c r="AK40" s="1">
        <v>570080.13399999996</v>
      </c>
      <c r="AL40" s="1">
        <v>457892.71100000001</v>
      </c>
    </row>
    <row r="41" spans="1:38" ht="12.75" customHeight="1">
      <c r="A41" s="1" t="s">
        <v>54</v>
      </c>
      <c r="J41" s="126">
        <v>72227.11</v>
      </c>
      <c r="M41" s="1">
        <v>80703.303</v>
      </c>
      <c r="O41" s="1">
        <v>106777.197</v>
      </c>
      <c r="R41" s="18">
        <v>117210.30100000001</v>
      </c>
      <c r="S41" s="1">
        <v>124210.274</v>
      </c>
      <c r="T41" s="1">
        <v>125557.376</v>
      </c>
      <c r="U41" s="1">
        <v>135680.83300000001</v>
      </c>
      <c r="V41" s="1">
        <v>113392.003</v>
      </c>
      <c r="W41" s="126">
        <v>124863.546</v>
      </c>
      <c r="X41" s="126">
        <v>129934.851</v>
      </c>
      <c r="Y41" s="126">
        <v>136632.58100000001</v>
      </c>
      <c r="Z41" s="126">
        <v>155393.81099999999</v>
      </c>
      <c r="AA41" s="126">
        <v>123344.00599999999</v>
      </c>
      <c r="AB41" s="126">
        <v>115001.072</v>
      </c>
      <c r="AC41" s="126">
        <v>102920</v>
      </c>
      <c r="AD41" s="1">
        <v>216235.174</v>
      </c>
      <c r="AE41" s="1">
        <v>259120.18700000001</v>
      </c>
      <c r="AF41" s="1">
        <v>279766.51</v>
      </c>
      <c r="AG41" s="1">
        <v>284182.46299999999</v>
      </c>
      <c r="AH41" s="1">
        <v>247064.144</v>
      </c>
      <c r="AI41" s="1">
        <v>254383.94399999999</v>
      </c>
      <c r="AK41" s="1">
        <v>330146.478</v>
      </c>
      <c r="AL41" s="1">
        <v>146862.932</v>
      </c>
    </row>
    <row r="42" spans="1:38" ht="12.75" customHeight="1">
      <c r="A42" s="1" t="s">
        <v>55</v>
      </c>
      <c r="J42" s="126">
        <v>116746.469</v>
      </c>
      <c r="M42" s="1">
        <v>119863.285</v>
      </c>
      <c r="O42" s="1">
        <v>131266.68299999999</v>
      </c>
      <c r="R42" s="18">
        <v>151318.27600000001</v>
      </c>
      <c r="S42" s="1">
        <v>157678.07399999999</v>
      </c>
      <c r="T42" s="1">
        <v>145386.15400000001</v>
      </c>
      <c r="U42" s="1">
        <v>148828.52100000001</v>
      </c>
      <c r="V42" s="1">
        <v>151443.02900000001</v>
      </c>
      <c r="W42" s="126">
        <v>154580.76999999999</v>
      </c>
      <c r="X42" s="126">
        <v>172470.973</v>
      </c>
      <c r="Y42" s="126">
        <v>180629.12899999999</v>
      </c>
      <c r="Z42" s="126">
        <v>200635.25599999999</v>
      </c>
      <c r="AA42" s="126">
        <v>213126.53700000001</v>
      </c>
      <c r="AB42" s="126">
        <v>178066.41</v>
      </c>
      <c r="AC42" s="126">
        <v>182705</v>
      </c>
      <c r="AD42" s="1">
        <v>188359.25</v>
      </c>
      <c r="AE42" s="1">
        <v>207872.853</v>
      </c>
      <c r="AF42" s="1">
        <v>225597.00200000001</v>
      </c>
      <c r="AG42" s="1">
        <v>239733.41699999999</v>
      </c>
      <c r="AH42" s="1">
        <v>250869.93900000001</v>
      </c>
      <c r="AI42" s="1">
        <v>247173.65599999999</v>
      </c>
      <c r="AK42" s="1">
        <v>250227.70199999999</v>
      </c>
      <c r="AL42" s="1">
        <v>157973.85500000001</v>
      </c>
    </row>
    <row r="43" spans="1:38" ht="12.75" customHeight="1">
      <c r="A43" s="1" t="s">
        <v>56</v>
      </c>
      <c r="J43" s="126">
        <v>49452.080999999998</v>
      </c>
      <c r="M43" s="1">
        <v>62916.154999999999</v>
      </c>
      <c r="O43" s="1">
        <v>79431.118290000013</v>
      </c>
      <c r="R43" s="18">
        <v>86332.703999999998</v>
      </c>
      <c r="S43" s="1">
        <v>102328.41</v>
      </c>
      <c r="T43" s="1">
        <v>110583.07</v>
      </c>
      <c r="U43" s="1">
        <v>106967.91099999999</v>
      </c>
      <c r="V43" s="1">
        <v>104282.70600000001</v>
      </c>
      <c r="W43" s="126">
        <v>109668.61</v>
      </c>
      <c r="X43" s="126">
        <v>119102.97100000001</v>
      </c>
      <c r="Y43" s="126">
        <v>130930.678</v>
      </c>
      <c r="Z43" s="126">
        <v>139953.50700000001</v>
      </c>
      <c r="AA43" s="126">
        <v>146126.89799999999</v>
      </c>
      <c r="AB43" s="126">
        <v>137346.66</v>
      </c>
      <c r="AC43" s="126">
        <v>137634</v>
      </c>
      <c r="AD43" s="1">
        <v>131023.939</v>
      </c>
      <c r="AE43" s="1">
        <v>148732.57199999999</v>
      </c>
      <c r="AF43" s="1">
        <v>108267.448</v>
      </c>
      <c r="AG43" s="1">
        <v>109910.54700000001</v>
      </c>
      <c r="AH43" s="1">
        <v>158620.69</v>
      </c>
      <c r="AI43" s="1">
        <v>154241.70199999999</v>
      </c>
      <c r="AK43" s="1">
        <v>166154.45300000001</v>
      </c>
      <c r="AL43" s="1">
        <v>125250.49099999999</v>
      </c>
    </row>
    <row r="44" spans="1:38" ht="12.75" customHeight="1">
      <c r="A44" s="1" t="s">
        <v>57</v>
      </c>
      <c r="J44" s="126">
        <v>245368.21</v>
      </c>
      <c r="M44" s="1">
        <v>219118.94899999999</v>
      </c>
      <c r="O44" s="1">
        <v>259967.47812000001</v>
      </c>
      <c r="R44" s="18">
        <v>295087.67099999997</v>
      </c>
      <c r="S44" s="1">
        <v>313057.136</v>
      </c>
      <c r="T44" s="1">
        <v>283547.565</v>
      </c>
      <c r="U44" s="1">
        <v>304969.09899999999</v>
      </c>
      <c r="V44" s="1">
        <v>273053.47399999999</v>
      </c>
      <c r="W44" s="126">
        <v>287047.799</v>
      </c>
      <c r="X44" s="126">
        <v>278703.50699999998</v>
      </c>
      <c r="Y44" s="126">
        <v>248991.481</v>
      </c>
      <c r="Z44" s="126">
        <v>317085.01899999997</v>
      </c>
      <c r="AA44" s="126">
        <v>294283.38799999998</v>
      </c>
      <c r="AB44" s="126">
        <v>294192.255</v>
      </c>
      <c r="AC44" s="126">
        <v>293546</v>
      </c>
      <c r="AD44" s="1">
        <v>283506.31800000003</v>
      </c>
      <c r="AE44" s="1">
        <v>308422.91100000002</v>
      </c>
      <c r="AF44" s="1">
        <v>312372.68</v>
      </c>
      <c r="AG44" s="1">
        <v>339582.72600000002</v>
      </c>
      <c r="AH44" s="1">
        <v>349310.16600000003</v>
      </c>
      <c r="AI44" s="1">
        <v>393945.75199999998</v>
      </c>
      <c r="AK44" s="1">
        <v>408666.37800000003</v>
      </c>
      <c r="AL44" s="1">
        <v>325735.81599999999</v>
      </c>
    </row>
    <row r="45" spans="1:38" ht="12.75" customHeight="1">
      <c r="A45" s="1" t="s">
        <v>58</v>
      </c>
      <c r="J45" s="126">
        <v>172213.15100000001</v>
      </c>
      <c r="M45" s="1">
        <v>237734.52499999999</v>
      </c>
      <c r="O45" s="1">
        <v>298883.37488999998</v>
      </c>
      <c r="R45" s="18">
        <v>313936.76400000002</v>
      </c>
      <c r="S45" s="1">
        <v>342804.42800000001</v>
      </c>
      <c r="T45" s="1">
        <v>343159.375</v>
      </c>
      <c r="U45" s="1">
        <v>341605.33</v>
      </c>
      <c r="V45" s="1">
        <v>320636.21899999998</v>
      </c>
      <c r="W45" s="126">
        <v>316220</v>
      </c>
      <c r="X45" s="126">
        <v>338840</v>
      </c>
      <c r="Y45" s="126">
        <v>353801</v>
      </c>
      <c r="Z45" s="126">
        <v>392145</v>
      </c>
      <c r="AA45" s="126">
        <v>397912</v>
      </c>
      <c r="AB45" s="126">
        <v>355654</v>
      </c>
      <c r="AC45" s="126">
        <v>352808</v>
      </c>
      <c r="AD45" s="1">
        <v>315292</v>
      </c>
      <c r="AE45" s="1">
        <v>314757</v>
      </c>
      <c r="AF45" s="1">
        <v>258440</v>
      </c>
      <c r="AG45" s="1">
        <v>275601</v>
      </c>
      <c r="AH45" s="1">
        <v>400158</v>
      </c>
      <c r="AI45" s="1">
        <v>397566</v>
      </c>
      <c r="AK45" s="1">
        <v>429099</v>
      </c>
      <c r="AL45" s="1">
        <v>228185.51</v>
      </c>
    </row>
    <row r="46" spans="1:38" ht="12.75" customHeight="1">
      <c r="A46" s="1" t="s">
        <v>59</v>
      </c>
      <c r="J46" s="126">
        <v>64891.307999999997</v>
      </c>
      <c r="M46" s="1">
        <v>30379.616000000002</v>
      </c>
      <c r="O46" s="1">
        <v>109236.958</v>
      </c>
      <c r="R46" s="18">
        <v>60747.264999999999</v>
      </c>
      <c r="S46" s="1">
        <v>76689.607000000004</v>
      </c>
      <c r="T46" s="1">
        <v>56537.4</v>
      </c>
      <c r="U46" s="1">
        <v>60024.686000000002</v>
      </c>
      <c r="V46" s="1">
        <v>59278.468999999997</v>
      </c>
      <c r="W46" s="126">
        <v>61455.697</v>
      </c>
      <c r="X46" s="126">
        <v>61376.095000000001</v>
      </c>
      <c r="Y46" s="126">
        <v>63633.033000000003</v>
      </c>
      <c r="Z46" s="126">
        <v>76721.231</v>
      </c>
      <c r="AA46" s="126">
        <v>72271.494999999995</v>
      </c>
      <c r="AB46" s="126">
        <v>73010.490999999995</v>
      </c>
      <c r="AC46" s="126">
        <v>112566</v>
      </c>
      <c r="AD46" s="1">
        <v>108494.534</v>
      </c>
      <c r="AE46" s="1">
        <v>107883.568</v>
      </c>
      <c r="AF46" s="1">
        <v>137890.128</v>
      </c>
      <c r="AG46" s="1">
        <v>147850.38099999999</v>
      </c>
      <c r="AH46" s="1">
        <v>159650.845</v>
      </c>
      <c r="AI46" s="1">
        <v>160368.70600000001</v>
      </c>
      <c r="AK46" s="1">
        <v>151986.16699999999</v>
      </c>
      <c r="AL46" s="1">
        <v>198991.84</v>
      </c>
    </row>
    <row r="47" spans="1:38" ht="12.75" customHeight="1">
      <c r="A47" s="1" t="s">
        <v>60</v>
      </c>
      <c r="J47" s="126">
        <v>25757.611000000001</v>
      </c>
      <c r="M47" s="1">
        <v>24836.01</v>
      </c>
      <c r="O47" s="1">
        <v>39467.71</v>
      </c>
      <c r="R47" s="24">
        <v>86187.822</v>
      </c>
      <c r="S47" s="1">
        <v>94264.123999999996</v>
      </c>
      <c r="T47" s="1">
        <v>67146.937000000005</v>
      </c>
      <c r="U47" s="1">
        <v>67474.842999999993</v>
      </c>
      <c r="V47" s="1">
        <v>64502.057999999997</v>
      </c>
      <c r="W47" s="126">
        <v>65036.349000000002</v>
      </c>
      <c r="X47" s="126">
        <v>67601.406000000003</v>
      </c>
      <c r="Y47" s="126">
        <v>70990.866999999998</v>
      </c>
      <c r="Z47" s="126">
        <v>86564.286999999997</v>
      </c>
      <c r="AA47" s="126">
        <v>89866.576000000001</v>
      </c>
      <c r="AB47" s="126">
        <v>89484.149000000005</v>
      </c>
      <c r="AC47" s="126">
        <v>89391</v>
      </c>
      <c r="AD47" s="1">
        <v>89367.892000000007</v>
      </c>
      <c r="AE47" s="1">
        <v>90503.854000000007</v>
      </c>
      <c r="AF47" s="1">
        <v>85476.481</v>
      </c>
      <c r="AG47" s="1">
        <v>88718.611000000004</v>
      </c>
      <c r="AH47" s="1">
        <v>101699.899</v>
      </c>
      <c r="AI47" s="1">
        <v>100360.148</v>
      </c>
      <c r="AK47" s="1">
        <v>101591.15300000001</v>
      </c>
      <c r="AL47" s="1">
        <v>66139.489000000001</v>
      </c>
    </row>
    <row r="48" spans="1:38" ht="12.75" customHeight="1">
      <c r="A48" s="1" t="s">
        <v>61</v>
      </c>
      <c r="J48" s="126">
        <v>16014.184999999999</v>
      </c>
      <c r="M48" s="1">
        <v>18710.338</v>
      </c>
      <c r="O48" s="1">
        <v>20414.848000000002</v>
      </c>
      <c r="R48" s="18">
        <v>24996.534</v>
      </c>
      <c r="S48" s="1">
        <v>26849.297999999999</v>
      </c>
      <c r="T48" s="1">
        <v>26262.888999999999</v>
      </c>
      <c r="U48" s="1">
        <v>28129.772000000001</v>
      </c>
      <c r="V48" s="1">
        <v>27016.248</v>
      </c>
      <c r="W48" s="126">
        <v>27241.776999999998</v>
      </c>
      <c r="X48" s="126">
        <v>29204.948</v>
      </c>
      <c r="Y48" s="126">
        <v>29155.838</v>
      </c>
      <c r="Z48" s="126">
        <v>22768.911</v>
      </c>
      <c r="AA48" s="126">
        <v>33169.754000000001</v>
      </c>
      <c r="AB48" s="126">
        <v>37974.232000000004</v>
      </c>
      <c r="AC48" s="126">
        <v>39421</v>
      </c>
      <c r="AD48" s="1">
        <v>43370.49</v>
      </c>
      <c r="AE48" s="1">
        <v>44511.33</v>
      </c>
      <c r="AF48" s="1">
        <v>57968.097999999998</v>
      </c>
      <c r="AG48" s="1">
        <v>53646.557000000001</v>
      </c>
      <c r="AH48" s="1">
        <v>54975.385999999999</v>
      </c>
      <c r="AI48" s="1">
        <v>52555.612999999998</v>
      </c>
      <c r="AK48" s="1">
        <v>47317.464</v>
      </c>
      <c r="AL48" s="1">
        <v>35417.014999999999</v>
      </c>
    </row>
    <row r="49" spans="1:38" ht="12.75" customHeight="1">
      <c r="A49" s="1" t="s">
        <v>62</v>
      </c>
      <c r="J49" s="126">
        <v>208597.23300000001</v>
      </c>
      <c r="M49" s="1">
        <v>242478.42</v>
      </c>
      <c r="O49" s="1">
        <v>275236.34100000001</v>
      </c>
      <c r="R49" s="18">
        <v>362249.68199999997</v>
      </c>
      <c r="S49" s="1">
        <v>400347.87300000002</v>
      </c>
      <c r="T49" s="1">
        <v>344440.83299999998</v>
      </c>
      <c r="U49" s="1">
        <v>352844.67300000001</v>
      </c>
      <c r="V49" s="1">
        <v>351178.36700000003</v>
      </c>
      <c r="W49" s="126">
        <v>388844.16600000003</v>
      </c>
      <c r="X49" s="126">
        <v>396924.73</v>
      </c>
      <c r="Y49" s="126">
        <v>402591.05499999999</v>
      </c>
      <c r="Z49" s="126">
        <v>427932.141</v>
      </c>
      <c r="AA49" s="126">
        <v>552824.277</v>
      </c>
      <c r="AB49" s="126">
        <v>460354.95799999998</v>
      </c>
      <c r="AC49" s="126">
        <v>470234</v>
      </c>
      <c r="AD49" s="1">
        <v>477991.64600000001</v>
      </c>
      <c r="AE49" s="1">
        <v>498918.86499999999</v>
      </c>
      <c r="AF49" s="1">
        <v>462348.74599999998</v>
      </c>
      <c r="AG49" s="1">
        <v>461865.22600000002</v>
      </c>
      <c r="AH49" s="1">
        <v>529964.56299999997</v>
      </c>
      <c r="AI49" s="1">
        <v>557871.60499999998</v>
      </c>
      <c r="AK49" s="1">
        <v>555603.78500000003</v>
      </c>
      <c r="AL49" s="1">
        <v>348153.18599999999</v>
      </c>
    </row>
    <row r="50" spans="1:38" ht="12.75" customHeight="1">
      <c r="A50" s="1" t="s">
        <v>63</v>
      </c>
      <c r="J50" s="126">
        <v>0</v>
      </c>
      <c r="M50" s="1">
        <v>0</v>
      </c>
      <c r="O50" s="1">
        <v>3435.029</v>
      </c>
      <c r="R50" s="18">
        <v>10571.973</v>
      </c>
      <c r="S50" s="1">
        <v>10638.546</v>
      </c>
      <c r="T50" s="1">
        <v>9811.6939999999995</v>
      </c>
      <c r="U50" s="1">
        <v>9988.9349999999995</v>
      </c>
      <c r="V50" s="1">
        <v>9289.6370000000006</v>
      </c>
      <c r="W50" s="126">
        <v>9592.5660000000007</v>
      </c>
      <c r="X50" s="126">
        <v>10858.275</v>
      </c>
      <c r="Y50" s="126">
        <v>11412.442999999999</v>
      </c>
      <c r="Z50" s="126">
        <v>12399.361000000001</v>
      </c>
      <c r="AA50" s="126">
        <v>12985.800999999999</v>
      </c>
      <c r="AB50" s="126">
        <v>11751.227000000001</v>
      </c>
      <c r="AC50" s="126">
        <v>13144</v>
      </c>
      <c r="AD50" s="1">
        <v>12652.383</v>
      </c>
      <c r="AE50" s="1">
        <v>13420.504000000001</v>
      </c>
      <c r="AF50" s="1">
        <v>14557.397000000001</v>
      </c>
      <c r="AG50" s="1">
        <v>18890.879000000001</v>
      </c>
      <c r="AH50" s="1">
        <v>26757.606</v>
      </c>
      <c r="AI50" s="1">
        <v>16563.118999999999</v>
      </c>
      <c r="AK50" s="1">
        <v>17554.125</v>
      </c>
      <c r="AL50" s="1">
        <v>46651.724999999999</v>
      </c>
    </row>
    <row r="51" spans="1:38" ht="12.75" customHeight="1">
      <c r="A51" s="27" t="s">
        <v>64</v>
      </c>
      <c r="B51" s="27"/>
      <c r="C51" s="27"/>
      <c r="D51" s="27"/>
      <c r="E51" s="27"/>
      <c r="F51" s="27"/>
      <c r="G51" s="27"/>
      <c r="H51" s="27"/>
      <c r="I51" s="27"/>
      <c r="J51" s="127">
        <v>132550.30799999999</v>
      </c>
      <c r="K51" s="27"/>
      <c r="L51" s="27"/>
      <c r="M51" s="27">
        <v>150681.05100000001</v>
      </c>
      <c r="N51" s="27"/>
      <c r="O51" s="27">
        <v>150023.03700000001</v>
      </c>
      <c r="P51" s="27"/>
      <c r="Q51" s="27"/>
      <c r="R51" s="37">
        <v>160075.144</v>
      </c>
      <c r="S51" s="27">
        <v>172517.38</v>
      </c>
      <c r="T51" s="27">
        <v>167720.60399999999</v>
      </c>
      <c r="U51" s="27">
        <v>156898.894</v>
      </c>
      <c r="V51" s="27">
        <v>160627.04199999999</v>
      </c>
      <c r="W51" s="127">
        <v>161157.603</v>
      </c>
      <c r="X51" s="127">
        <v>161179.946</v>
      </c>
      <c r="Y51" s="127">
        <v>149335.55100000001</v>
      </c>
      <c r="Z51" s="127">
        <v>143861.976</v>
      </c>
      <c r="AA51" s="127">
        <v>147565.65299999999</v>
      </c>
      <c r="AB51" s="127">
        <v>161314.505</v>
      </c>
      <c r="AC51" s="127">
        <v>163043</v>
      </c>
      <c r="AD51" s="27">
        <v>125291.56</v>
      </c>
      <c r="AE51" s="27">
        <v>127354.67</v>
      </c>
      <c r="AF51" s="27">
        <v>52566.760999999999</v>
      </c>
      <c r="AG51" s="27">
        <v>107846.359</v>
      </c>
      <c r="AH51" s="27">
        <v>528990.94499999995</v>
      </c>
      <c r="AI51" s="27">
        <v>527234.049</v>
      </c>
      <c r="AJ51" s="27"/>
      <c r="AK51" s="1">
        <v>499832.98800000001</v>
      </c>
      <c r="AL51" s="1">
        <v>182302.804</v>
      </c>
    </row>
    <row r="52" spans="1:38" ht="12.75" customHeight="1">
      <c r="A52" s="6" t="s">
        <v>65</v>
      </c>
      <c r="B52" s="51">
        <f>SUM(B54:B62)</f>
        <v>0</v>
      </c>
      <c r="C52" s="51">
        <f t="shared" ref="C52:AK52" si="18">SUM(C54:C62)</f>
        <v>0</v>
      </c>
      <c r="D52" s="51">
        <f t="shared" si="18"/>
        <v>0</v>
      </c>
      <c r="E52" s="51">
        <f t="shared" si="18"/>
        <v>0</v>
      </c>
      <c r="F52" s="51">
        <f t="shared" si="18"/>
        <v>0</v>
      </c>
      <c r="G52" s="51">
        <f t="shared" si="18"/>
        <v>0</v>
      </c>
      <c r="H52" s="51">
        <f t="shared" si="18"/>
        <v>0</v>
      </c>
      <c r="I52" s="51">
        <f t="shared" si="18"/>
        <v>0</v>
      </c>
      <c r="J52" s="51">
        <f t="shared" si="18"/>
        <v>784115.36600000004</v>
      </c>
      <c r="K52" s="51">
        <f t="shared" si="18"/>
        <v>0</v>
      </c>
      <c r="L52" s="51">
        <f t="shared" si="18"/>
        <v>0</v>
      </c>
      <c r="M52" s="51">
        <f t="shared" si="18"/>
        <v>921719.38699999999</v>
      </c>
      <c r="N52" s="51">
        <f t="shared" si="18"/>
        <v>0</v>
      </c>
      <c r="O52" s="51">
        <f t="shared" si="18"/>
        <v>999493.95926000003</v>
      </c>
      <c r="P52" s="51">
        <f t="shared" si="18"/>
        <v>0</v>
      </c>
      <c r="Q52" s="51">
        <f t="shared" si="18"/>
        <v>0</v>
      </c>
      <c r="R52" s="51">
        <f t="shared" si="18"/>
        <v>1115288.3709999998</v>
      </c>
      <c r="S52" s="51">
        <f t="shared" si="18"/>
        <v>1267692.82</v>
      </c>
      <c r="T52" s="51">
        <f t="shared" si="18"/>
        <v>1343998.4579999999</v>
      </c>
      <c r="U52" s="51">
        <f t="shared" si="18"/>
        <v>1333265.071</v>
      </c>
      <c r="V52" s="51">
        <f t="shared" si="18"/>
        <v>1366178.96</v>
      </c>
      <c r="W52" s="51">
        <f t="shared" si="18"/>
        <v>1409387.3199999998</v>
      </c>
      <c r="X52" s="51">
        <f t="shared" si="18"/>
        <v>1511033.709</v>
      </c>
      <c r="Y52" s="51">
        <f t="shared" si="18"/>
        <v>1608301.8650000002</v>
      </c>
      <c r="Z52" s="51">
        <f t="shared" si="18"/>
        <v>1715646.912</v>
      </c>
      <c r="AA52" s="51">
        <f t="shared" si="18"/>
        <v>1714741.1429999999</v>
      </c>
      <c r="AB52" s="51">
        <f t="shared" si="18"/>
        <v>1589308.9539999999</v>
      </c>
      <c r="AC52" s="51">
        <f t="shared" si="18"/>
        <v>1560910</v>
      </c>
      <c r="AD52" s="51">
        <f t="shared" si="18"/>
        <v>1578772.1740000001</v>
      </c>
      <c r="AE52" s="51">
        <f t="shared" si="18"/>
        <v>1707839.3800000001</v>
      </c>
      <c r="AF52" s="51">
        <f t="shared" si="18"/>
        <v>1811095.9210000001</v>
      </c>
      <c r="AG52" s="51">
        <f t="shared" si="18"/>
        <v>1842421.1350000005</v>
      </c>
      <c r="AH52" s="51">
        <f t="shared" si="18"/>
        <v>1833333.6330000001</v>
      </c>
      <c r="AI52" s="51">
        <f t="shared" si="18"/>
        <v>1879172.9169999997</v>
      </c>
      <c r="AJ52" s="51">
        <f t="shared" si="18"/>
        <v>0</v>
      </c>
      <c r="AK52" s="131">
        <f t="shared" si="18"/>
        <v>1937905.7919999999</v>
      </c>
      <c r="AL52" s="131">
        <f t="shared" ref="AL52" si="19">SUM(AL54:AL62)</f>
        <v>1633973.7959999999</v>
      </c>
    </row>
    <row r="53" spans="1:38" ht="12.75" customHeight="1">
      <c r="A53" s="6" t="s">
        <v>94</v>
      </c>
    </row>
    <row r="54" spans="1:38" ht="12.75" customHeight="1">
      <c r="A54" s="1" t="s">
        <v>66</v>
      </c>
      <c r="J54" s="126">
        <v>76090.073999999993</v>
      </c>
      <c r="M54" s="1">
        <v>80315.760999999999</v>
      </c>
      <c r="O54" s="1">
        <v>128011.32245000001</v>
      </c>
      <c r="R54" s="18">
        <v>142975.28400000001</v>
      </c>
      <c r="S54" s="1">
        <v>145003.174</v>
      </c>
      <c r="T54" s="1">
        <v>197932.44099999999</v>
      </c>
      <c r="U54" s="1">
        <v>161572.18599999999</v>
      </c>
      <c r="V54" s="1">
        <v>157393.492</v>
      </c>
      <c r="W54" s="126">
        <v>179761.26199999999</v>
      </c>
      <c r="X54" s="126">
        <v>190035.56599999999</v>
      </c>
      <c r="Y54" s="126">
        <v>209026.88</v>
      </c>
      <c r="Z54" s="126">
        <v>222613.394</v>
      </c>
      <c r="AA54" s="126">
        <v>221881.552</v>
      </c>
      <c r="AB54" s="126">
        <v>220218.554</v>
      </c>
      <c r="AC54" s="126">
        <v>225432</v>
      </c>
      <c r="AD54" s="1">
        <v>202562.424</v>
      </c>
      <c r="AE54" s="1">
        <v>209922.69699999999</v>
      </c>
      <c r="AF54" s="1">
        <v>237642.47</v>
      </c>
      <c r="AG54" s="1">
        <v>242971.57399999999</v>
      </c>
      <c r="AH54" s="1">
        <v>268655.18300000002</v>
      </c>
      <c r="AI54" s="1">
        <v>260557.58199999999</v>
      </c>
      <c r="AK54" s="1">
        <v>259181.084</v>
      </c>
      <c r="AL54" s="1">
        <v>96205.520999999993</v>
      </c>
    </row>
    <row r="55" spans="1:38" ht="12.75" customHeight="1">
      <c r="A55" s="1" t="s">
        <v>67</v>
      </c>
      <c r="J55" s="126">
        <v>21372.800999999999</v>
      </c>
      <c r="M55" s="1">
        <v>21710.403999999999</v>
      </c>
      <c r="O55" s="1">
        <v>25984.078000000001</v>
      </c>
      <c r="R55" s="18">
        <v>31072.558000000001</v>
      </c>
      <c r="S55" s="1">
        <v>35434.550000000003</v>
      </c>
      <c r="T55" s="1">
        <v>36274.324000000001</v>
      </c>
      <c r="U55" s="1">
        <v>37971.942000000003</v>
      </c>
      <c r="V55" s="1">
        <v>37119.052000000003</v>
      </c>
      <c r="W55" s="126">
        <v>39655.533000000003</v>
      </c>
      <c r="X55" s="126">
        <v>39653.483</v>
      </c>
      <c r="Y55" s="126">
        <v>43341.557999999997</v>
      </c>
      <c r="Z55" s="126">
        <v>47430.91</v>
      </c>
      <c r="AA55" s="126">
        <v>48280.824000000001</v>
      </c>
      <c r="AB55" s="126">
        <v>47421.252999999997</v>
      </c>
      <c r="AC55" s="126">
        <v>48991</v>
      </c>
      <c r="AD55" s="1">
        <v>49250.213000000003</v>
      </c>
      <c r="AE55" s="1">
        <v>53315.584999999999</v>
      </c>
      <c r="AF55" s="1">
        <v>51169.608999999997</v>
      </c>
      <c r="AG55" s="1">
        <v>50842.909</v>
      </c>
      <c r="AH55" s="1">
        <v>53057.010999999999</v>
      </c>
      <c r="AI55" s="1">
        <v>55997.222999999998</v>
      </c>
      <c r="AK55" s="1">
        <v>58924.819000000003</v>
      </c>
      <c r="AL55" s="1">
        <v>40443.580999999998</v>
      </c>
    </row>
    <row r="56" spans="1:38" ht="12.75" customHeight="1">
      <c r="A56" s="1" t="s">
        <v>68</v>
      </c>
      <c r="J56" s="126">
        <v>91667.811000000002</v>
      </c>
      <c r="M56" s="1">
        <v>152291.516</v>
      </c>
      <c r="O56" s="1">
        <v>199017.04699999999</v>
      </c>
      <c r="R56" s="18">
        <v>250573.06200000001</v>
      </c>
      <c r="S56" s="1">
        <v>294024.08</v>
      </c>
      <c r="T56" s="1">
        <v>287449.40999999997</v>
      </c>
      <c r="U56" s="1">
        <v>257143.33900000001</v>
      </c>
      <c r="V56" s="1">
        <v>228977.15599999999</v>
      </c>
      <c r="W56" s="126">
        <v>242617.84400000001</v>
      </c>
      <c r="X56" s="126">
        <v>271470.228</v>
      </c>
      <c r="Y56" s="126">
        <v>297082.48200000002</v>
      </c>
      <c r="Z56" s="126">
        <v>319803.81599999999</v>
      </c>
      <c r="AA56" s="126">
        <v>278539.06400000001</v>
      </c>
      <c r="AB56" s="126">
        <v>234001.473</v>
      </c>
      <c r="AC56" s="126">
        <v>273278</v>
      </c>
      <c r="AD56" s="1">
        <v>277887.19699999999</v>
      </c>
      <c r="AE56" s="1">
        <v>268970.69</v>
      </c>
      <c r="AF56" s="1">
        <v>310755.30599999998</v>
      </c>
      <c r="AG56" s="1">
        <v>329922.266</v>
      </c>
      <c r="AH56" s="1">
        <v>345721.83500000002</v>
      </c>
      <c r="AI56" s="1">
        <v>366789.663</v>
      </c>
      <c r="AK56" s="1">
        <v>394775.33199999999</v>
      </c>
      <c r="AL56" s="1">
        <v>185519.09299999999</v>
      </c>
    </row>
    <row r="57" spans="1:38" ht="12.75" customHeight="1">
      <c r="A57" s="1" t="s">
        <v>69</v>
      </c>
      <c r="J57" s="126">
        <v>15379.05</v>
      </c>
      <c r="M57" s="1">
        <v>14990.29</v>
      </c>
      <c r="O57" s="1">
        <v>19745.130710000001</v>
      </c>
      <c r="R57" s="24">
        <v>20635.651999999998</v>
      </c>
      <c r="S57" s="1">
        <v>20791.648000000001</v>
      </c>
      <c r="T57" s="1">
        <v>22344.596000000001</v>
      </c>
      <c r="U57" s="1">
        <v>21637.566999999999</v>
      </c>
      <c r="V57" s="1">
        <v>23314.843000000001</v>
      </c>
      <c r="W57" s="126">
        <v>24851.923999999999</v>
      </c>
      <c r="X57" s="126">
        <v>18941.822</v>
      </c>
      <c r="Y57" s="126">
        <v>26827.71</v>
      </c>
      <c r="Z57" s="126">
        <v>31667.092000000001</v>
      </c>
      <c r="AA57" s="126">
        <v>34297.46</v>
      </c>
      <c r="AB57" s="126">
        <v>33581.945</v>
      </c>
      <c r="AC57" s="126">
        <v>34592</v>
      </c>
      <c r="AD57" s="1">
        <v>29242.036</v>
      </c>
      <c r="AE57" s="1">
        <v>40724.415000000001</v>
      </c>
      <c r="AF57" s="1">
        <v>36639.203000000001</v>
      </c>
      <c r="AG57" s="1">
        <v>33226.908000000003</v>
      </c>
      <c r="AH57" s="1">
        <v>42500</v>
      </c>
      <c r="AI57" s="1">
        <v>43775</v>
      </c>
      <c r="AK57" s="1">
        <v>47075</v>
      </c>
      <c r="AL57" s="1">
        <v>20644.023000000001</v>
      </c>
    </row>
    <row r="58" spans="1:38" ht="12.75" customHeight="1">
      <c r="A58" s="1" t="s">
        <v>70</v>
      </c>
      <c r="J58" s="126">
        <v>82546.922999999995</v>
      </c>
      <c r="M58" s="1">
        <v>98051.775999999998</v>
      </c>
      <c r="O58" s="1">
        <v>100679.103</v>
      </c>
      <c r="R58" s="24">
        <v>132121.10699999999</v>
      </c>
      <c r="S58" s="1">
        <v>146294.72200000001</v>
      </c>
      <c r="T58" s="1">
        <v>156570.77799999999</v>
      </c>
      <c r="U58" s="1">
        <v>155272.78700000001</v>
      </c>
      <c r="V58" s="1">
        <v>165030.049</v>
      </c>
      <c r="W58" s="126">
        <v>163028.587</v>
      </c>
      <c r="X58" s="126">
        <v>162782.82500000001</v>
      </c>
      <c r="Y58" s="126">
        <v>158023.81400000001</v>
      </c>
      <c r="Z58" s="126">
        <v>169567.63500000001</v>
      </c>
      <c r="AA58" s="126">
        <v>151001.179</v>
      </c>
      <c r="AB58" s="126">
        <v>139358.20300000001</v>
      </c>
      <c r="AC58" s="126">
        <v>136820</v>
      </c>
      <c r="AD58" s="1">
        <v>135743.63</v>
      </c>
      <c r="AE58" s="1">
        <v>135744.60999999999</v>
      </c>
      <c r="AF58" s="1">
        <v>134949.204</v>
      </c>
      <c r="AG58" s="1">
        <v>134949.783</v>
      </c>
      <c r="AH58" s="1">
        <v>135021.158</v>
      </c>
      <c r="AI58" s="1">
        <v>137019.65599999999</v>
      </c>
      <c r="AK58" s="1">
        <v>145505.28700000001</v>
      </c>
      <c r="AL58" s="1">
        <v>308572.636</v>
      </c>
    </row>
    <row r="59" spans="1:38" ht="12.75" customHeight="1">
      <c r="A59" s="1" t="s">
        <v>71</v>
      </c>
      <c r="J59" s="126">
        <v>344403.56</v>
      </c>
      <c r="M59" s="1">
        <v>392636.55200000003</v>
      </c>
      <c r="O59" s="1">
        <v>363375.38299999997</v>
      </c>
      <c r="R59" s="24">
        <v>353317.89</v>
      </c>
      <c r="S59" s="1">
        <v>425555.55</v>
      </c>
      <c r="T59" s="1">
        <v>415285.17599999998</v>
      </c>
      <c r="U59" s="1">
        <v>450540.90899999999</v>
      </c>
      <c r="V59" s="1">
        <v>498056.51400000002</v>
      </c>
      <c r="W59" s="126">
        <v>489987.158</v>
      </c>
      <c r="X59" s="126">
        <v>533938.01500000001</v>
      </c>
      <c r="Y59" s="126">
        <v>565094.10499999998</v>
      </c>
      <c r="Z59" s="126">
        <v>612267.37399999995</v>
      </c>
      <c r="AA59" s="126">
        <v>657995.09199999995</v>
      </c>
      <c r="AB59" s="126">
        <v>625869.74199999997</v>
      </c>
      <c r="AC59" s="126">
        <v>554721</v>
      </c>
      <c r="AD59" s="1">
        <v>599927.69700000004</v>
      </c>
      <c r="AE59" s="1">
        <v>707353.84</v>
      </c>
      <c r="AF59" s="1">
        <v>748603.04500000004</v>
      </c>
      <c r="AG59" s="1">
        <v>751503.57299999997</v>
      </c>
      <c r="AH59" s="1">
        <v>681899.32400000002</v>
      </c>
      <c r="AI59" s="1">
        <v>700512.179</v>
      </c>
      <c r="AK59" s="1">
        <v>705466.66200000001</v>
      </c>
      <c r="AL59" s="1">
        <v>676456.86899999995</v>
      </c>
    </row>
    <row r="60" spans="1:38" ht="12.75" customHeight="1">
      <c r="A60" s="1" t="s">
        <v>72</v>
      </c>
      <c r="J60" s="126">
        <v>123679.22199999999</v>
      </c>
      <c r="M60" s="1">
        <v>133332.78700000001</v>
      </c>
      <c r="O60" s="1">
        <v>132382.4241</v>
      </c>
      <c r="R60" s="18">
        <v>147906.69500000001</v>
      </c>
      <c r="S60" s="1">
        <v>163465.073</v>
      </c>
      <c r="T60" s="1">
        <v>183670.283</v>
      </c>
      <c r="U60" s="1">
        <v>205471.16899999999</v>
      </c>
      <c r="V60" s="1">
        <v>212036.408</v>
      </c>
      <c r="W60" s="126">
        <v>223303.524</v>
      </c>
      <c r="X60" s="126">
        <v>244362.80600000001</v>
      </c>
      <c r="Y60" s="126">
        <v>257162.09700000001</v>
      </c>
      <c r="Z60" s="126">
        <v>259736.38200000001</v>
      </c>
      <c r="AA60" s="126">
        <v>266249.89500000002</v>
      </c>
      <c r="AB60" s="126">
        <v>240723.67199999999</v>
      </c>
      <c r="AC60" s="126">
        <v>239096</v>
      </c>
      <c r="AD60" s="1">
        <v>234971.15900000001</v>
      </c>
      <c r="AE60" s="1">
        <v>236232.598</v>
      </c>
      <c r="AF60" s="1">
        <v>234436.84599999999</v>
      </c>
      <c r="AG60" s="1">
        <v>240890.573</v>
      </c>
      <c r="AH60" s="1">
        <v>253932.611</v>
      </c>
      <c r="AI60" s="1">
        <v>260646.065</v>
      </c>
      <c r="AK60" s="1">
        <v>270984.95500000002</v>
      </c>
      <c r="AL60" s="1">
        <v>261818.522</v>
      </c>
    </row>
    <row r="61" spans="1:38" ht="12.75" customHeight="1">
      <c r="A61" s="1" t="s">
        <v>73</v>
      </c>
      <c r="J61" s="126">
        <v>24097.424999999999</v>
      </c>
      <c r="M61" s="1">
        <v>27246.800999999999</v>
      </c>
      <c r="O61" s="1">
        <v>29068.571</v>
      </c>
      <c r="R61" s="18">
        <v>35215.923000000003</v>
      </c>
      <c r="S61" s="1">
        <v>35215.923000000003</v>
      </c>
      <c r="T61" s="1">
        <v>40743.15</v>
      </c>
      <c r="U61" s="1">
        <v>39601.400999999998</v>
      </c>
      <c r="V61" s="1">
        <v>40114.595999999998</v>
      </c>
      <c r="W61" s="126">
        <v>41928.112000000001</v>
      </c>
      <c r="X61" s="126">
        <v>45445.377999999997</v>
      </c>
      <c r="Y61" s="126">
        <v>47113.49</v>
      </c>
      <c r="Z61" s="126">
        <v>47820.29</v>
      </c>
      <c r="AA61" s="126">
        <v>44808.724999999999</v>
      </c>
      <c r="AB61" s="126">
        <v>42719.728999999999</v>
      </c>
      <c r="AC61" s="126">
        <v>42884</v>
      </c>
      <c r="AD61" s="1">
        <v>44482.656999999999</v>
      </c>
      <c r="AE61" s="1">
        <v>44169.98</v>
      </c>
      <c r="AF61" s="1">
        <v>44433.286</v>
      </c>
      <c r="AG61" s="1">
        <v>45542.769</v>
      </c>
      <c r="AH61" s="1">
        <v>47721.998</v>
      </c>
      <c r="AI61" s="1">
        <v>48936.035000000003</v>
      </c>
      <c r="AK61" s="1">
        <v>50528.14</v>
      </c>
      <c r="AL61" s="1">
        <v>34405.305999999997</v>
      </c>
    </row>
    <row r="62" spans="1:38" ht="12.75" customHeight="1">
      <c r="A62" s="27" t="s">
        <v>74</v>
      </c>
      <c r="B62" s="27"/>
      <c r="C62" s="27"/>
      <c r="D62" s="27"/>
      <c r="E62" s="27"/>
      <c r="F62" s="27"/>
      <c r="G62" s="27"/>
      <c r="H62" s="27"/>
      <c r="I62" s="27"/>
      <c r="J62" s="127">
        <v>4878.5</v>
      </c>
      <c r="K62" s="27"/>
      <c r="L62" s="27"/>
      <c r="M62" s="27">
        <v>1143.5</v>
      </c>
      <c r="N62" s="27"/>
      <c r="O62" s="27">
        <v>1230.9000000000001</v>
      </c>
      <c r="P62" s="27"/>
      <c r="Q62" s="27"/>
      <c r="R62" s="37">
        <v>1470.2</v>
      </c>
      <c r="S62" s="27">
        <v>1908.1</v>
      </c>
      <c r="T62" s="27">
        <v>3728.3</v>
      </c>
      <c r="U62" s="27">
        <v>4053.7710000000002</v>
      </c>
      <c r="V62" s="27">
        <v>4136.8500000000004</v>
      </c>
      <c r="W62" s="127">
        <v>4253.3760000000002</v>
      </c>
      <c r="X62" s="127">
        <v>4403.5860000000002</v>
      </c>
      <c r="Y62" s="127">
        <v>4629.7290000000003</v>
      </c>
      <c r="Z62" s="127">
        <v>4740.0190000000002</v>
      </c>
      <c r="AA62" s="127">
        <v>11687.352000000001</v>
      </c>
      <c r="AB62" s="127">
        <v>5414.3829999999998</v>
      </c>
      <c r="AC62" s="127">
        <v>5096</v>
      </c>
      <c r="AD62" s="1">
        <v>4705.1610000000001</v>
      </c>
      <c r="AE62" s="1">
        <v>11404.965</v>
      </c>
      <c r="AF62" s="27">
        <v>12466.951999999999</v>
      </c>
      <c r="AG62" s="27">
        <v>12570.78</v>
      </c>
      <c r="AH62" s="27">
        <v>4824.5129999999999</v>
      </c>
      <c r="AI62" s="27">
        <v>4939.5140000000001</v>
      </c>
      <c r="AJ62" s="27"/>
      <c r="AK62" s="27">
        <v>5464.5129999999999</v>
      </c>
      <c r="AL62" s="1">
        <v>9908.2450000000008</v>
      </c>
    </row>
    <row r="63" spans="1:38">
      <c r="A63" s="49" t="s">
        <v>75</v>
      </c>
      <c r="B63" s="46"/>
      <c r="C63" s="46"/>
      <c r="D63" s="46"/>
      <c r="E63" s="46"/>
      <c r="F63" s="46"/>
      <c r="G63" s="46"/>
      <c r="H63" s="46"/>
      <c r="I63" s="46"/>
      <c r="J63" s="128">
        <v>0</v>
      </c>
      <c r="K63" s="46"/>
      <c r="L63" s="46"/>
      <c r="M63" s="46">
        <v>0</v>
      </c>
      <c r="N63" s="46"/>
      <c r="O63" s="46">
        <v>0</v>
      </c>
      <c r="P63" s="46"/>
      <c r="Q63" s="46"/>
      <c r="R63" s="47">
        <v>0</v>
      </c>
      <c r="S63" s="46">
        <v>0</v>
      </c>
      <c r="T63" s="46">
        <v>0</v>
      </c>
      <c r="U63" s="46">
        <v>0</v>
      </c>
      <c r="V63" s="46">
        <v>0</v>
      </c>
      <c r="W63" s="128">
        <v>0</v>
      </c>
      <c r="X63" s="128">
        <v>0</v>
      </c>
      <c r="Y63" s="128">
        <v>0</v>
      </c>
      <c r="Z63" s="128">
        <v>0</v>
      </c>
      <c r="AA63" s="128">
        <v>0</v>
      </c>
      <c r="AB63" s="128">
        <v>0</v>
      </c>
      <c r="AC63" s="128">
        <v>0</v>
      </c>
      <c r="AD63" s="128">
        <v>0</v>
      </c>
      <c r="AE63" s="128">
        <v>0</v>
      </c>
      <c r="AF63" s="27"/>
      <c r="AG63" s="27"/>
      <c r="AH63" s="27"/>
      <c r="AI63" s="27"/>
      <c r="AJ63" s="27"/>
      <c r="AK63" s="27"/>
      <c r="AL63" s="130"/>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1" ht="9.9499999999999993" customHeight="1"/>
    <row r="82" spans="2:211" ht="9.9499999999999993" customHeight="1">
      <c r="GU82" s="4"/>
      <c r="GV82" s="4"/>
      <c r="GW82" s="4"/>
      <c r="GX82" s="4"/>
      <c r="GY82" s="4"/>
      <c r="GZ82" s="4"/>
      <c r="HA82" s="4"/>
      <c r="HB82" s="4"/>
      <c r="HC82" s="4"/>
    </row>
    <row r="83" spans="2:211">
      <c r="GS83" s="4"/>
      <c r="GT83" s="4"/>
      <c r="GU83" s="4"/>
      <c r="GV83" s="4"/>
      <c r="GW83" s="4"/>
      <c r="GX83" s="4"/>
      <c r="GY83" s="4"/>
      <c r="GZ83" s="4"/>
      <c r="HA83" s="4"/>
      <c r="HB83" s="4"/>
      <c r="HC83" s="4"/>
    </row>
    <row r="84" spans="2:211">
      <c r="GS84" s="4"/>
      <c r="GT84" s="4"/>
      <c r="GU84" s="4"/>
      <c r="GV84" s="4"/>
      <c r="GW84" s="4"/>
      <c r="GX84" s="4"/>
      <c r="GY84" s="4"/>
      <c r="GZ84" s="4"/>
      <c r="HA84" s="4"/>
      <c r="HB84" s="4"/>
      <c r="HC84" s="4"/>
    </row>
    <row r="85" spans="2:211">
      <c r="GU85" s="4"/>
      <c r="GV85" s="4"/>
      <c r="GW85" s="4"/>
      <c r="GX85" s="4"/>
      <c r="GY85" s="4"/>
      <c r="GZ85" s="4"/>
      <c r="HA85" s="4"/>
    </row>
    <row r="86" spans="2:211">
      <c r="GU86" s="4"/>
      <c r="GV86" s="4"/>
      <c r="GW86" s="4"/>
      <c r="GX86" s="4"/>
      <c r="GY86" s="4"/>
      <c r="GZ86" s="4"/>
      <c r="HA86" s="4"/>
    </row>
    <row r="87" spans="2:211">
      <c r="GU87" s="4"/>
      <c r="GV87" s="4"/>
      <c r="GW87" s="4"/>
      <c r="GX87" s="4"/>
      <c r="GY87" s="4"/>
      <c r="GZ87" s="4"/>
      <c r="HA87" s="4"/>
    </row>
    <row r="92" spans="2:211">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8"/>
  </sheetPr>
  <dimension ref="A1:HB92"/>
  <sheetViews>
    <sheetView zoomScaleNormal="100" workbookViewId="0">
      <pane xSplit="1" ySplit="3" topLeftCell="Z4" activePane="bottomRight" state="frozen"/>
      <selection pane="bottomRight" activeCell="AM1" sqref="AM1"/>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2" width="13.42578125" style="1" bestFit="1" customWidth="1"/>
    <col min="33" max="38" width="13.42578125" style="1" customWidth="1"/>
    <col min="39" max="174" width="9.7109375" style="1"/>
    <col min="175" max="175" width="11.7109375" style="1" customWidth="1"/>
    <col min="176" max="199" width="9.7109375" style="1"/>
    <col min="200" max="200" width="5.7109375" style="1" customWidth="1"/>
    <col min="201" max="201" width="6.7109375" style="1" customWidth="1"/>
    <col min="202" max="203" width="8.7109375" style="1" customWidth="1"/>
    <col min="204" max="205" width="6.7109375" style="1" customWidth="1"/>
    <col min="206" max="207" width="8.7109375" style="1" customWidth="1"/>
    <col min="208" max="209" width="6.7109375" style="1" customWidth="1"/>
    <col min="210" max="210" width="1.7109375" style="1" customWidth="1"/>
    <col min="211" max="16384" width="9.7109375" style="1"/>
  </cols>
  <sheetData>
    <row r="1" spans="1:38">
      <c r="A1" s="36" t="s">
        <v>92</v>
      </c>
      <c r="B1" s="11"/>
      <c r="C1" s="11"/>
      <c r="D1" s="11"/>
      <c r="E1" s="11"/>
      <c r="F1" s="11"/>
      <c r="G1" s="11"/>
      <c r="H1" s="11"/>
      <c r="I1" s="11"/>
      <c r="J1" s="11"/>
      <c r="K1" s="11"/>
      <c r="L1" s="11"/>
    </row>
    <row r="2" spans="1:38">
      <c r="A2" s="1" t="s">
        <v>154</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108">
        <v>2012</v>
      </c>
      <c r="AE3" s="108">
        <v>2013</v>
      </c>
      <c r="AF3" s="29">
        <v>2014</v>
      </c>
      <c r="AG3" s="29">
        <v>2015</v>
      </c>
      <c r="AH3" s="29">
        <v>2016</v>
      </c>
      <c r="AI3" s="29">
        <v>2017</v>
      </c>
      <c r="AJ3" s="29">
        <v>2018</v>
      </c>
      <c r="AK3" s="29">
        <v>2019</v>
      </c>
      <c r="AL3" s="105">
        <v>2020</v>
      </c>
    </row>
    <row r="4" spans="1:38" ht="12.75" customHeight="1">
      <c r="A4" s="46" t="s">
        <v>20</v>
      </c>
      <c r="B4" s="1">
        <v>898324</v>
      </c>
      <c r="C4" s="1">
        <v>992222</v>
      </c>
      <c r="D4" s="1">
        <v>1117216</v>
      </c>
      <c r="I4" s="1">
        <v>1704829.773</v>
      </c>
      <c r="J4" s="52">
        <f>+J5+J23+J38+J52+J63</f>
        <v>2068856.58</v>
      </c>
      <c r="K4" s="39">
        <v>2442939.13</v>
      </c>
      <c r="L4" s="39">
        <v>2651255.0619999999</v>
      </c>
      <c r="M4" s="52">
        <f>+M5+M23+M38+M52+M63</f>
        <v>2659359.392</v>
      </c>
      <c r="N4" s="39">
        <v>2848305.4029999999</v>
      </c>
      <c r="O4" s="52">
        <f>+O5+O23+O38+O52+O63</f>
        <v>1157457.70952</v>
      </c>
      <c r="R4" s="52">
        <f t="shared" ref="R4:AA4" si="0">+R5+R23+R38+R52+R63</f>
        <v>3411293.8030000003</v>
      </c>
      <c r="S4" s="52">
        <f t="shared" si="0"/>
        <v>3818988.4030000004</v>
      </c>
      <c r="T4" s="52">
        <f t="shared" si="0"/>
        <v>4512717.8310000002</v>
      </c>
      <c r="U4" s="52">
        <f t="shared" si="0"/>
        <v>5127696.9479999999</v>
      </c>
      <c r="V4" s="52">
        <f t="shared" si="0"/>
        <v>5515588.0360000003</v>
      </c>
      <c r="W4" s="52">
        <f t="shared" si="0"/>
        <v>5936569.7419999996</v>
      </c>
      <c r="X4" s="52">
        <f t="shared" si="0"/>
        <v>5894667.5269999988</v>
      </c>
      <c r="Y4" s="52">
        <f t="shared" si="0"/>
        <v>6011850.1610000003</v>
      </c>
      <c r="Z4" s="52">
        <f t="shared" si="0"/>
        <v>6884936.3039999995</v>
      </c>
      <c r="AA4" s="52">
        <f t="shared" si="0"/>
        <v>8533506.6970000006</v>
      </c>
      <c r="AB4" s="52">
        <f t="shared" ref="AB4:AC4" si="1">+AB5+AB23+AB38+AB52+AB63</f>
        <v>13470924.762</v>
      </c>
      <c r="AC4" s="52">
        <f t="shared" si="1"/>
        <v>15977864</v>
      </c>
      <c r="AD4" s="52">
        <f t="shared" ref="AD4:AE4" si="2">+AD5+AD23+AD38+AD52+AD63</f>
        <v>15213054.206</v>
      </c>
      <c r="AE4" s="52">
        <f t="shared" si="2"/>
        <v>14481746.776999999</v>
      </c>
      <c r="AF4" s="52">
        <f t="shared" ref="AF4" si="3">+AF5+AF23+AF38+AF52+AF63</f>
        <v>12147026.231999999</v>
      </c>
      <c r="AG4" s="52">
        <f t="shared" ref="AG4:AI4" si="4">+AG5+AG23+AG38+AG52+AG63</f>
        <v>11680360.425999999</v>
      </c>
      <c r="AH4" s="52">
        <f t="shared" si="4"/>
        <v>12335608.412</v>
      </c>
      <c r="AI4" s="52">
        <f t="shared" si="4"/>
        <v>11299359.982000001</v>
      </c>
      <c r="AJ4" s="52">
        <f t="shared" ref="AJ4:AK4" si="5">+AJ5+AJ23+AJ38+AJ52+AJ63</f>
        <v>0</v>
      </c>
      <c r="AK4" s="52">
        <f t="shared" si="5"/>
        <v>11384683.273999998</v>
      </c>
      <c r="AL4" s="52">
        <f t="shared" ref="AL4" si="6">+AL5+AL23+AL38+AL52+AL63</f>
        <v>12670592.204000002</v>
      </c>
    </row>
    <row r="5" spans="1:38" ht="12.75" customHeight="1">
      <c r="A5" s="1" t="s">
        <v>21</v>
      </c>
      <c r="B5" s="51">
        <f>SUM(B7:B22)</f>
        <v>282887</v>
      </c>
      <c r="C5" s="51">
        <f t="shared" ref="C5:AA5" si="7">SUM(C7:C22)</f>
        <v>311891</v>
      </c>
      <c r="D5" s="51">
        <f t="shared" si="7"/>
        <v>359305</v>
      </c>
      <c r="E5" s="51">
        <f t="shared" si="7"/>
        <v>0</v>
      </c>
      <c r="F5" s="51">
        <f t="shared" si="7"/>
        <v>0</v>
      </c>
      <c r="G5" s="51">
        <f t="shared" si="7"/>
        <v>0</v>
      </c>
      <c r="H5" s="51">
        <f t="shared" si="7"/>
        <v>0</v>
      </c>
      <c r="I5" s="51">
        <f t="shared" si="7"/>
        <v>596363.00300000003</v>
      </c>
      <c r="J5" s="51">
        <f t="shared" si="7"/>
        <v>739050.73</v>
      </c>
      <c r="K5" s="51">
        <f t="shared" si="7"/>
        <v>889230.35100000014</v>
      </c>
      <c r="L5" s="51">
        <f t="shared" si="7"/>
        <v>975010.00800000003</v>
      </c>
      <c r="M5" s="51">
        <f t="shared" si="7"/>
        <v>1017738.9809999999</v>
      </c>
      <c r="N5" s="51">
        <f t="shared" si="7"/>
        <v>1042147.9620000002</v>
      </c>
      <c r="O5" s="51">
        <f t="shared" si="7"/>
        <v>443580.71166999999</v>
      </c>
      <c r="P5" s="51">
        <f t="shared" si="7"/>
        <v>0</v>
      </c>
      <c r="Q5" s="51">
        <f t="shared" si="7"/>
        <v>0</v>
      </c>
      <c r="R5" s="51">
        <f t="shared" si="7"/>
        <v>1456393.669</v>
      </c>
      <c r="S5" s="51">
        <f t="shared" si="7"/>
        <v>1623847.3140000002</v>
      </c>
      <c r="T5" s="51">
        <f t="shared" si="7"/>
        <v>1889603.0390000001</v>
      </c>
      <c r="U5" s="51">
        <f t="shared" si="7"/>
        <v>2096672.5499999998</v>
      </c>
      <c r="V5" s="51">
        <f t="shared" si="7"/>
        <v>2262596.608</v>
      </c>
      <c r="W5" s="51">
        <f t="shared" si="7"/>
        <v>2380632.0120000001</v>
      </c>
      <c r="X5" s="51">
        <f t="shared" si="7"/>
        <v>2357671.1759999995</v>
      </c>
      <c r="Y5" s="51">
        <f t="shared" si="7"/>
        <v>2463090.5869999998</v>
      </c>
      <c r="Z5" s="51">
        <f t="shared" si="7"/>
        <v>2785088.304</v>
      </c>
      <c r="AA5" s="51">
        <f t="shared" si="7"/>
        <v>3302060.0989999999</v>
      </c>
      <c r="AB5" s="51">
        <f t="shared" ref="AB5:AC5" si="8">SUM(AB7:AB22)</f>
        <v>5582804.9270000001</v>
      </c>
      <c r="AC5" s="51">
        <f t="shared" si="8"/>
        <v>6488814</v>
      </c>
      <c r="AD5" s="51">
        <f t="shared" ref="AD5:AE5" si="9">SUM(AD7:AD22)</f>
        <v>6172054.2070000004</v>
      </c>
      <c r="AE5" s="51">
        <f t="shared" si="9"/>
        <v>5771034.0729999999</v>
      </c>
      <c r="AF5" s="51">
        <f t="shared" ref="AF5" si="10">SUM(AF7:AF22)</f>
        <v>5241842.8919999991</v>
      </c>
      <c r="AG5" s="51">
        <f t="shared" ref="AG5:AI5" si="11">SUM(AG7:AG22)</f>
        <v>5010369.9050000003</v>
      </c>
      <c r="AH5" s="51">
        <f t="shared" si="11"/>
        <v>4926321.523000001</v>
      </c>
      <c r="AI5" s="51">
        <f t="shared" si="11"/>
        <v>4357386.4730000002</v>
      </c>
      <c r="AJ5" s="51">
        <f t="shared" ref="AJ5:AK5" si="12">SUM(AJ7:AJ22)</f>
        <v>0</v>
      </c>
      <c r="AK5" s="51">
        <f t="shared" si="12"/>
        <v>4506671.2589999996</v>
      </c>
      <c r="AL5" s="51">
        <f t="shared" ref="AL5" si="13">SUM(AL7:AL22)</f>
        <v>5001172.4240000006</v>
      </c>
    </row>
    <row r="6" spans="1:38" ht="12.75" customHeight="1">
      <c r="A6" s="6" t="s">
        <v>94</v>
      </c>
      <c r="J6" s="126"/>
      <c r="R6" s="18"/>
      <c r="T6" s="44"/>
    </row>
    <row r="7" spans="1:38" ht="12.75" customHeight="1">
      <c r="A7" s="1" t="s">
        <v>22</v>
      </c>
      <c r="B7" s="1">
        <v>16791</v>
      </c>
      <c r="C7" s="1">
        <v>21805</v>
      </c>
      <c r="D7" s="1">
        <v>27500</v>
      </c>
      <c r="I7" s="1">
        <v>48340.067999999999</v>
      </c>
      <c r="J7" s="126">
        <v>59880.464999999997</v>
      </c>
      <c r="K7" s="1">
        <v>68793.161999999997</v>
      </c>
      <c r="L7" s="1">
        <v>68904.409</v>
      </c>
      <c r="M7" s="1">
        <v>76516.107000000004</v>
      </c>
      <c r="N7" s="1">
        <v>78583.104000000007</v>
      </c>
      <c r="O7" s="1">
        <v>33834.970179999997</v>
      </c>
      <c r="R7" s="24">
        <v>106099.236</v>
      </c>
      <c r="S7" s="1">
        <v>123210.048</v>
      </c>
      <c r="T7" s="44">
        <v>140089.43799999999</v>
      </c>
      <c r="U7" s="1">
        <v>158092.51699999999</v>
      </c>
      <c r="V7" s="1">
        <v>172331.01300000001</v>
      </c>
      <c r="W7" s="126">
        <v>166381.489</v>
      </c>
      <c r="X7" s="126">
        <v>166804.177</v>
      </c>
      <c r="Y7" s="126">
        <v>164708.511</v>
      </c>
      <c r="Z7" s="126">
        <v>183009.49799999999</v>
      </c>
      <c r="AA7" s="126">
        <v>219026.77600000001</v>
      </c>
      <c r="AB7" s="126">
        <v>357178.05800000002</v>
      </c>
      <c r="AC7" s="126">
        <v>373942</v>
      </c>
      <c r="AD7" s="1">
        <v>305097.63500000001</v>
      </c>
      <c r="AE7" s="1">
        <v>275364.20400000003</v>
      </c>
      <c r="AF7" s="1">
        <v>251967.459</v>
      </c>
      <c r="AG7" s="1">
        <v>231566.29199999999</v>
      </c>
      <c r="AH7" s="1">
        <v>223962.14499999999</v>
      </c>
      <c r="AI7" s="1">
        <v>202176.56099999999</v>
      </c>
      <c r="AK7" s="1">
        <v>214459.96599999999</v>
      </c>
      <c r="AL7" s="1">
        <v>225854.75399999999</v>
      </c>
    </row>
    <row r="8" spans="1:38" ht="12.75" customHeight="1">
      <c r="A8" s="1" t="s">
        <v>23</v>
      </c>
      <c r="B8" s="1">
        <v>5271</v>
      </c>
      <c r="C8" s="1">
        <v>5506</v>
      </c>
      <c r="D8" s="1">
        <v>5394</v>
      </c>
      <c r="I8" s="1">
        <v>10203.766</v>
      </c>
      <c r="J8" s="126">
        <v>13352.663</v>
      </c>
      <c r="K8" s="1">
        <v>14474.331</v>
      </c>
      <c r="L8" s="1">
        <v>15145.637000000001</v>
      </c>
      <c r="M8" s="1">
        <v>16868.38</v>
      </c>
      <c r="N8" s="1">
        <v>22613.844000000001</v>
      </c>
      <c r="O8" s="1">
        <v>8908.66</v>
      </c>
      <c r="R8" s="24">
        <v>35504.879000000001</v>
      </c>
      <c r="S8" s="1">
        <v>40184.910000000003</v>
      </c>
      <c r="T8" s="44">
        <v>57615.167000000001</v>
      </c>
      <c r="U8" s="1">
        <v>68808.544999999998</v>
      </c>
      <c r="V8" s="1">
        <v>78584.574999999997</v>
      </c>
      <c r="W8" s="126">
        <v>78603.885999999999</v>
      </c>
      <c r="X8" s="126">
        <v>80825.356</v>
      </c>
      <c r="Y8" s="126">
        <v>96024.524000000005</v>
      </c>
      <c r="Z8" s="126">
        <v>116039.49099999999</v>
      </c>
      <c r="AA8" s="126">
        <v>117844.424</v>
      </c>
      <c r="AB8" s="126">
        <v>176416.421</v>
      </c>
      <c r="AC8" s="126">
        <v>205146</v>
      </c>
      <c r="AD8" s="1">
        <v>196926.84</v>
      </c>
      <c r="AE8" s="1">
        <v>182588.508</v>
      </c>
      <c r="AF8" s="1">
        <v>160320.321</v>
      </c>
      <c r="AG8" s="1">
        <v>151320.52299999999</v>
      </c>
      <c r="AH8" s="1">
        <v>135380.204</v>
      </c>
      <c r="AI8" s="1">
        <v>126716.137</v>
      </c>
      <c r="AK8" s="1">
        <v>122532.545</v>
      </c>
      <c r="AL8" s="1">
        <v>137327.28599999999</v>
      </c>
    </row>
    <row r="9" spans="1:38" ht="12.75" customHeight="1">
      <c r="A9" s="1" t="s">
        <v>24</v>
      </c>
      <c r="D9" s="1">
        <v>3423</v>
      </c>
      <c r="I9" s="1">
        <v>3659.9070000000002</v>
      </c>
      <c r="J9" s="126">
        <v>5895.75</v>
      </c>
      <c r="M9" s="1">
        <v>5952.424</v>
      </c>
      <c r="N9" s="1">
        <v>5300.7910000000002</v>
      </c>
      <c r="O9" s="1">
        <v>4214.9110000000001</v>
      </c>
      <c r="R9" s="24">
        <v>6977.5879999999997</v>
      </c>
      <c r="S9" s="35">
        <v>8741.5560000000005</v>
      </c>
      <c r="T9" s="45">
        <v>9242.1689999999999</v>
      </c>
      <c r="U9" s="35">
        <v>10606.538</v>
      </c>
      <c r="V9" s="35">
        <v>11036.425999999999</v>
      </c>
      <c r="W9" s="126">
        <v>11240.156999999999</v>
      </c>
      <c r="X9" s="126">
        <v>10277.687</v>
      </c>
      <c r="Y9" s="126">
        <v>11090.058000000001</v>
      </c>
      <c r="Z9" s="126">
        <v>11784.25</v>
      </c>
      <c r="AA9" s="126">
        <v>14924.436</v>
      </c>
      <c r="AB9" s="126">
        <v>21720.352999999999</v>
      </c>
      <c r="AC9" s="126">
        <v>30484</v>
      </c>
      <c r="AD9" s="1">
        <v>33681.336000000003</v>
      </c>
      <c r="AE9" s="1">
        <v>28612.805</v>
      </c>
      <c r="AF9" s="1">
        <v>29118.895</v>
      </c>
      <c r="AG9" s="1">
        <v>27225.987000000001</v>
      </c>
      <c r="AH9" s="1">
        <v>25868.332999999999</v>
      </c>
      <c r="AI9" s="1">
        <v>24815.563999999998</v>
      </c>
      <c r="AK9" s="1">
        <v>25693.876</v>
      </c>
      <c r="AL9" s="1">
        <v>35584.434000000001</v>
      </c>
    </row>
    <row r="10" spans="1:38" ht="12.75" customHeight="1">
      <c r="A10" s="1" t="s">
        <v>25</v>
      </c>
      <c r="B10" s="1">
        <v>44390</v>
      </c>
      <c r="C10" s="1">
        <v>47530</v>
      </c>
      <c r="D10" s="1">
        <v>52213</v>
      </c>
      <c r="I10" s="1">
        <v>92050.104000000007</v>
      </c>
      <c r="J10" s="126">
        <v>127022.227</v>
      </c>
      <c r="K10" s="1">
        <v>154364.12700000001</v>
      </c>
      <c r="L10" s="1">
        <v>159841.44</v>
      </c>
      <c r="M10" s="1">
        <v>174862.89</v>
      </c>
      <c r="N10" s="1">
        <v>175818.823</v>
      </c>
      <c r="O10" s="1">
        <v>89985.085000000006</v>
      </c>
      <c r="R10" s="24">
        <v>271329.73499999999</v>
      </c>
      <c r="S10" s="1">
        <v>325838.489</v>
      </c>
      <c r="T10" s="44">
        <v>283064.25900000002</v>
      </c>
      <c r="U10" s="1">
        <v>211357.81200000001</v>
      </c>
      <c r="V10" s="1">
        <v>215989.34899999999</v>
      </c>
      <c r="W10" s="126">
        <v>210440.51500000001</v>
      </c>
      <c r="X10" s="126">
        <v>211518.739</v>
      </c>
      <c r="Y10" s="126">
        <v>317525.80599999998</v>
      </c>
      <c r="Z10" s="126">
        <v>378990.59299999999</v>
      </c>
      <c r="AA10" s="126">
        <v>550781.48100000003</v>
      </c>
      <c r="AB10" s="126">
        <v>875659.34499999997</v>
      </c>
      <c r="AC10" s="126">
        <v>1100001</v>
      </c>
      <c r="AD10" s="1">
        <v>1094036.32</v>
      </c>
      <c r="AE10" s="1">
        <v>1025158.459</v>
      </c>
      <c r="AF10" s="1">
        <v>1018765.755</v>
      </c>
      <c r="AG10" s="1">
        <v>1001276.964</v>
      </c>
      <c r="AH10" s="1">
        <v>938349.45900000003</v>
      </c>
      <c r="AI10" s="1">
        <v>851274.40899999999</v>
      </c>
      <c r="AK10" s="1">
        <v>928265.11899999995</v>
      </c>
      <c r="AL10" s="1">
        <v>980943.18799999997</v>
      </c>
    </row>
    <row r="11" spans="1:38" ht="12.75" customHeight="1">
      <c r="A11" s="1" t="s">
        <v>26</v>
      </c>
      <c r="B11" s="1">
        <v>8535</v>
      </c>
      <c r="C11" s="1">
        <v>8751</v>
      </c>
      <c r="D11" s="1">
        <v>8812</v>
      </c>
      <c r="I11" s="1">
        <v>22182.195</v>
      </c>
      <c r="J11" s="126">
        <v>36066.877</v>
      </c>
      <c r="K11" s="1">
        <v>44758.57</v>
      </c>
      <c r="L11" s="1">
        <v>51152.381000000001</v>
      </c>
      <c r="M11" s="1">
        <v>51359.248</v>
      </c>
      <c r="N11" s="1">
        <v>41312.703999999998</v>
      </c>
      <c r="O11" s="1">
        <v>14074.785019999999</v>
      </c>
      <c r="R11" s="24">
        <v>71513.919999999998</v>
      </c>
      <c r="S11" s="1">
        <v>78884.789999999994</v>
      </c>
      <c r="T11" s="44">
        <v>144201.89799999999</v>
      </c>
      <c r="U11" s="1">
        <v>154966.42499999999</v>
      </c>
      <c r="V11" s="1">
        <v>171458.18700000001</v>
      </c>
      <c r="W11" s="126">
        <v>171408.66099999999</v>
      </c>
      <c r="X11" s="126">
        <v>169798.38399999999</v>
      </c>
      <c r="Y11" s="126">
        <v>169497.09299999999</v>
      </c>
      <c r="Z11" s="126">
        <v>190123.57</v>
      </c>
      <c r="AA11" s="126">
        <v>122126.712</v>
      </c>
      <c r="AB11" s="126">
        <v>466789.29200000002</v>
      </c>
      <c r="AC11" s="126">
        <v>528278</v>
      </c>
      <c r="AD11" s="1">
        <v>550086.10199999996</v>
      </c>
      <c r="AE11" s="1">
        <v>440174.41600000003</v>
      </c>
      <c r="AF11" s="1">
        <v>168462.41399999999</v>
      </c>
      <c r="AG11" s="1">
        <v>163744.06</v>
      </c>
      <c r="AH11" s="1">
        <v>364953.94300000003</v>
      </c>
      <c r="AI11" s="1">
        <v>121790.238</v>
      </c>
      <c r="AK11" s="1">
        <v>103707.768</v>
      </c>
      <c r="AL11" s="1">
        <v>130017.905</v>
      </c>
    </row>
    <row r="12" spans="1:38" ht="12.75" customHeight="1">
      <c r="A12" s="1" t="s">
        <v>27</v>
      </c>
      <c r="B12" s="1">
        <v>6990</v>
      </c>
      <c r="C12" s="1">
        <v>7760</v>
      </c>
      <c r="D12" s="1">
        <v>8029</v>
      </c>
      <c r="I12" s="1">
        <v>17345.361000000001</v>
      </c>
      <c r="J12" s="126">
        <v>23126.214</v>
      </c>
      <c r="K12" s="1">
        <v>26962.016</v>
      </c>
      <c r="L12" s="1">
        <v>29998.574000000001</v>
      </c>
      <c r="M12" s="1">
        <v>28793.755000000001</v>
      </c>
      <c r="N12" s="1">
        <v>27701.592000000001</v>
      </c>
      <c r="O12" s="1">
        <v>6100.3040000000001</v>
      </c>
      <c r="R12" s="18">
        <v>59661.792999999998</v>
      </c>
      <c r="S12" s="1">
        <v>47810.957000000002</v>
      </c>
      <c r="T12" s="44">
        <v>6817.6729999999998</v>
      </c>
      <c r="U12" s="1">
        <v>7722.5990000000002</v>
      </c>
      <c r="V12" s="1">
        <v>8487.8040000000001</v>
      </c>
      <c r="W12" s="126">
        <v>99007.577999999994</v>
      </c>
      <c r="X12" s="126">
        <v>105158.745</v>
      </c>
      <c r="Y12" s="126">
        <v>106731.867</v>
      </c>
      <c r="Z12" s="126">
        <v>121708.406</v>
      </c>
      <c r="AA12" s="126">
        <v>130275.21</v>
      </c>
      <c r="AB12" s="126">
        <v>213952.47899999999</v>
      </c>
      <c r="AC12" s="126">
        <v>253256</v>
      </c>
      <c r="AD12" s="1">
        <v>242453.51199999999</v>
      </c>
      <c r="AE12" s="1">
        <v>235093.516</v>
      </c>
      <c r="AF12" s="1">
        <v>200480.04399999999</v>
      </c>
      <c r="AG12" s="1">
        <v>190581.98</v>
      </c>
      <c r="AH12" s="1">
        <v>189381.00599999999</v>
      </c>
      <c r="AI12" s="1">
        <v>160697.65900000001</v>
      </c>
      <c r="AK12" s="1">
        <v>166788.89000000001</v>
      </c>
      <c r="AL12" s="1">
        <v>174218.851</v>
      </c>
    </row>
    <row r="13" spans="1:38" ht="12.75" customHeight="1">
      <c r="A13" s="1" t="s">
        <v>28</v>
      </c>
      <c r="B13" s="1">
        <v>4142</v>
      </c>
      <c r="C13" s="1">
        <v>4843</v>
      </c>
      <c r="D13" s="1">
        <v>5558</v>
      </c>
      <c r="I13" s="1">
        <v>12173.244000000001</v>
      </c>
      <c r="J13" s="126">
        <v>15810.272000000001</v>
      </c>
      <c r="K13" s="1">
        <v>17595.804</v>
      </c>
      <c r="L13" s="1">
        <v>19627.314999999999</v>
      </c>
      <c r="M13" s="1">
        <v>22133.912</v>
      </c>
      <c r="N13" s="1">
        <v>26797.166000000001</v>
      </c>
      <c r="O13" s="1">
        <v>9690.5023800000017</v>
      </c>
      <c r="R13" s="18">
        <v>41465.877</v>
      </c>
      <c r="S13" s="1">
        <v>49947.035000000003</v>
      </c>
      <c r="T13" s="44">
        <v>63117.987000000001</v>
      </c>
      <c r="U13" s="1">
        <v>91763.506999999998</v>
      </c>
      <c r="V13" s="1">
        <v>99660.361999999994</v>
      </c>
      <c r="W13" s="126">
        <v>92363.133000000002</v>
      </c>
      <c r="X13" s="126">
        <v>93038.543999999994</v>
      </c>
      <c r="Y13" s="126">
        <v>97889.471000000005</v>
      </c>
      <c r="Z13" s="126">
        <v>118478.87699999999</v>
      </c>
      <c r="AA13" s="126">
        <v>73801.122000000003</v>
      </c>
      <c r="AB13" s="126">
        <v>187774.77499999999</v>
      </c>
      <c r="AC13" s="126">
        <v>212111</v>
      </c>
      <c r="AD13" s="1">
        <v>197321.11</v>
      </c>
      <c r="AE13" s="1">
        <v>182627.11</v>
      </c>
      <c r="AF13" s="1">
        <v>155801.21400000001</v>
      </c>
      <c r="AG13" s="1">
        <v>164575.212</v>
      </c>
      <c r="AH13" s="1">
        <v>181540.66399999999</v>
      </c>
      <c r="AI13" s="1">
        <v>138171.37</v>
      </c>
      <c r="AK13" s="1">
        <v>164234.94399999999</v>
      </c>
      <c r="AL13" s="1">
        <v>188296.88</v>
      </c>
    </row>
    <row r="14" spans="1:38" ht="12.75" customHeight="1">
      <c r="A14" s="1" t="s">
        <v>29</v>
      </c>
      <c r="B14" s="1">
        <v>21108</v>
      </c>
      <c r="C14" s="1">
        <v>21599</v>
      </c>
      <c r="D14" s="1">
        <v>24109</v>
      </c>
      <c r="I14" s="1">
        <v>31151.095000000001</v>
      </c>
      <c r="J14" s="126">
        <v>34036.076999999997</v>
      </c>
      <c r="K14" s="1">
        <v>45492.463000000003</v>
      </c>
      <c r="L14" s="1">
        <v>49098.815999999999</v>
      </c>
      <c r="M14" s="1">
        <v>44619.928999999996</v>
      </c>
      <c r="N14" s="1">
        <v>50406.353999999999</v>
      </c>
      <c r="O14" s="1">
        <v>19554.251</v>
      </c>
      <c r="R14" s="18">
        <v>60285.83</v>
      </c>
      <c r="S14" s="1">
        <v>64922.021999999997</v>
      </c>
      <c r="T14" s="44">
        <v>76041.19</v>
      </c>
      <c r="U14" s="1">
        <v>88964.948000000004</v>
      </c>
      <c r="V14" s="1">
        <v>94231.762000000002</v>
      </c>
      <c r="W14" s="126">
        <v>98219.372000000003</v>
      </c>
      <c r="X14" s="126">
        <v>95560.259000000005</v>
      </c>
      <c r="Y14" s="126">
        <v>95059.611000000004</v>
      </c>
      <c r="Z14" s="126">
        <v>109986.643</v>
      </c>
      <c r="AA14" s="126">
        <v>144933.99400000001</v>
      </c>
      <c r="AB14" s="126">
        <v>196421.054</v>
      </c>
      <c r="AC14" s="126">
        <v>237152</v>
      </c>
      <c r="AD14" s="1">
        <v>244764.83499999999</v>
      </c>
      <c r="AE14" s="1">
        <v>237623.74900000001</v>
      </c>
      <c r="AF14" s="1">
        <v>231932.54500000001</v>
      </c>
      <c r="AG14" s="1">
        <v>217260.68900000001</v>
      </c>
      <c r="AH14" s="1">
        <v>200921.93400000001</v>
      </c>
      <c r="AI14" s="1">
        <v>188240.79300000001</v>
      </c>
      <c r="AK14" s="1">
        <v>177104.016</v>
      </c>
      <c r="AL14" s="1">
        <v>191165.89</v>
      </c>
    </row>
    <row r="15" spans="1:38" ht="12.75" customHeight="1">
      <c r="A15" s="1" t="s">
        <v>30</v>
      </c>
      <c r="B15" s="1">
        <v>20820</v>
      </c>
      <c r="C15" s="1">
        <v>21395</v>
      </c>
      <c r="D15" s="1">
        <v>23821</v>
      </c>
      <c r="I15" s="1">
        <v>40727.853000000003</v>
      </c>
      <c r="J15" s="126">
        <v>46397.231</v>
      </c>
      <c r="K15" s="1">
        <v>54199.222000000002</v>
      </c>
      <c r="L15" s="1">
        <v>59928.468999999997</v>
      </c>
      <c r="M15" s="1">
        <v>57740.152999999998</v>
      </c>
      <c r="N15" s="1">
        <v>59624.271000000001</v>
      </c>
      <c r="O15" s="1">
        <v>23484.609</v>
      </c>
      <c r="R15" s="18">
        <v>81390.635999999999</v>
      </c>
      <c r="S15" s="1">
        <v>84449.811000000002</v>
      </c>
      <c r="T15" s="44">
        <v>116459.091</v>
      </c>
      <c r="U15" s="1">
        <v>138722.07</v>
      </c>
      <c r="V15" s="1">
        <v>157998.478</v>
      </c>
      <c r="W15" s="126">
        <v>157820.06099999999</v>
      </c>
      <c r="X15" s="126">
        <v>166682.33900000001</v>
      </c>
      <c r="Y15" s="126">
        <v>172684.35</v>
      </c>
      <c r="Z15" s="126">
        <v>176688.85500000001</v>
      </c>
      <c r="AA15" s="126">
        <v>222379.93799999999</v>
      </c>
      <c r="AB15" s="126">
        <v>348902.71</v>
      </c>
      <c r="AC15" s="126">
        <v>411377</v>
      </c>
      <c r="AD15" s="1">
        <v>321143.37800000003</v>
      </c>
      <c r="AE15" s="1">
        <v>278999.63099999999</v>
      </c>
      <c r="AF15" s="1">
        <v>261433.16500000001</v>
      </c>
      <c r="AG15" s="1">
        <v>238053.579</v>
      </c>
      <c r="AH15" s="1">
        <v>229003.981</v>
      </c>
      <c r="AI15" s="1">
        <v>216953.75599999999</v>
      </c>
      <c r="AK15" s="1">
        <v>229823.372</v>
      </c>
      <c r="AL15" s="1">
        <v>275626.75599999999</v>
      </c>
    </row>
    <row r="16" spans="1:38" ht="12.75" customHeight="1">
      <c r="A16" s="1" t="s">
        <v>31</v>
      </c>
      <c r="B16" s="1">
        <v>19697</v>
      </c>
      <c r="C16" s="1">
        <v>19712</v>
      </c>
      <c r="D16" s="1">
        <v>22106</v>
      </c>
      <c r="I16" s="1">
        <v>33966.851000000002</v>
      </c>
      <c r="J16" s="126">
        <v>45194.004999999997</v>
      </c>
      <c r="K16" s="1">
        <v>54844.851000000002</v>
      </c>
      <c r="L16" s="1">
        <v>63419.326000000001</v>
      </c>
      <c r="M16" s="1">
        <v>65888.875</v>
      </c>
      <c r="N16" s="1">
        <v>64721.614999999998</v>
      </c>
      <c r="O16" s="1">
        <v>18402.839690000001</v>
      </c>
      <c r="R16" s="18">
        <v>108857.2</v>
      </c>
      <c r="S16" s="1">
        <v>120413.11500000001</v>
      </c>
      <c r="T16" s="1">
        <v>168635.01300000001</v>
      </c>
      <c r="U16" s="1">
        <v>199358.16899999999</v>
      </c>
      <c r="V16" s="1">
        <v>224575.37299999999</v>
      </c>
      <c r="W16" s="126">
        <v>236619.02</v>
      </c>
      <c r="X16" s="126">
        <v>222926.03</v>
      </c>
      <c r="Y16" s="126">
        <v>217894.62700000001</v>
      </c>
      <c r="Z16" s="126">
        <v>236550.86199999999</v>
      </c>
      <c r="AA16" s="126">
        <v>307714.00300000003</v>
      </c>
      <c r="AB16" s="126">
        <v>515522.18</v>
      </c>
      <c r="AC16" s="126">
        <v>606139</v>
      </c>
      <c r="AD16" s="1">
        <v>586194.78099999996</v>
      </c>
      <c r="AE16" s="1">
        <v>572570.91399999999</v>
      </c>
      <c r="AF16" s="1">
        <v>554628.96499999997</v>
      </c>
      <c r="AG16" s="1">
        <v>525971.54799999995</v>
      </c>
      <c r="AH16" s="1">
        <v>468332.16899999999</v>
      </c>
      <c r="AI16" s="1">
        <v>432228.64299999998</v>
      </c>
      <c r="AK16" s="1">
        <v>406143.90899999999</v>
      </c>
      <c r="AL16" s="1">
        <v>436578.924</v>
      </c>
    </row>
    <row r="17" spans="1:38" ht="12.75" customHeight="1">
      <c r="A17" s="1" t="s">
        <v>32</v>
      </c>
      <c r="B17" s="1">
        <v>9362</v>
      </c>
      <c r="C17" s="1">
        <v>10755</v>
      </c>
      <c r="D17" s="1">
        <v>12890</v>
      </c>
      <c r="I17" s="1">
        <v>25856.292000000001</v>
      </c>
      <c r="J17" s="126">
        <v>31077.562999999998</v>
      </c>
      <c r="K17" s="1">
        <v>33254.514999999999</v>
      </c>
      <c r="L17" s="1">
        <v>35912.504999999997</v>
      </c>
      <c r="M17" s="1">
        <v>36489.364000000001</v>
      </c>
      <c r="N17" s="1">
        <v>36546.798999999999</v>
      </c>
      <c r="O17" s="1">
        <v>10743.11637</v>
      </c>
      <c r="R17" s="18">
        <v>41293.921000000002</v>
      </c>
      <c r="S17" s="1">
        <v>51143.421999999999</v>
      </c>
      <c r="T17" s="1">
        <v>65006.154999999999</v>
      </c>
      <c r="U17" s="1">
        <v>73373.032000000007</v>
      </c>
      <c r="V17" s="1">
        <v>78827.680999999997</v>
      </c>
      <c r="W17" s="126">
        <v>81012.489000000001</v>
      </c>
      <c r="X17" s="126">
        <v>80419.974000000002</v>
      </c>
      <c r="Y17" s="126">
        <v>65307.932999999997</v>
      </c>
      <c r="Z17" s="126">
        <v>74789.739000000001</v>
      </c>
      <c r="AA17" s="126">
        <v>96007.097999999998</v>
      </c>
      <c r="AB17" s="126">
        <v>144381.85500000001</v>
      </c>
      <c r="AC17" s="126">
        <v>171083</v>
      </c>
      <c r="AD17" s="1">
        <v>169835.19899999999</v>
      </c>
      <c r="AE17" s="1">
        <v>162505.77499999999</v>
      </c>
      <c r="AF17" s="1">
        <v>149071.992</v>
      </c>
      <c r="AG17" s="1">
        <v>147518.046</v>
      </c>
      <c r="AH17" s="1">
        <v>167585.51199999999</v>
      </c>
      <c r="AI17" s="1">
        <v>150254.954</v>
      </c>
      <c r="AK17" s="1">
        <v>164464.785</v>
      </c>
      <c r="AL17" s="1">
        <v>160879.152</v>
      </c>
    </row>
    <row r="18" spans="1:38" ht="12.75" customHeight="1">
      <c r="A18" s="1" t="s">
        <v>33</v>
      </c>
      <c r="B18" s="1">
        <v>24559</v>
      </c>
      <c r="C18" s="1">
        <v>24330</v>
      </c>
      <c r="D18" s="1">
        <v>24393</v>
      </c>
      <c r="I18" s="1">
        <v>33847.216999999997</v>
      </c>
      <c r="J18" s="126">
        <v>42580.449000000001</v>
      </c>
      <c r="K18" s="1">
        <v>47608.372000000003</v>
      </c>
      <c r="L18" s="1">
        <v>48966.705000000002</v>
      </c>
      <c r="M18" s="1">
        <v>50227.182999999997</v>
      </c>
      <c r="N18" s="1">
        <v>51562.824999999997</v>
      </c>
      <c r="O18" s="1">
        <v>27593.816999999999</v>
      </c>
      <c r="R18" s="18">
        <v>70065.278000000006</v>
      </c>
      <c r="S18" s="1">
        <v>77203.801999999996</v>
      </c>
      <c r="T18" s="1">
        <v>104865.234</v>
      </c>
      <c r="U18" s="1">
        <v>130015.785</v>
      </c>
      <c r="V18" s="1">
        <v>141528.86499999999</v>
      </c>
      <c r="W18" s="126">
        <v>129926.40399999999</v>
      </c>
      <c r="X18" s="126">
        <v>123580.47900000001</v>
      </c>
      <c r="Y18" s="126">
        <v>128794.95299999999</v>
      </c>
      <c r="Z18" s="126">
        <v>148275.19200000001</v>
      </c>
      <c r="AA18" s="126">
        <v>179969.84099999999</v>
      </c>
      <c r="AB18" s="126">
        <v>291678.37199999997</v>
      </c>
      <c r="AC18" s="126">
        <v>322407</v>
      </c>
      <c r="AD18" s="1">
        <v>296779.27600000001</v>
      </c>
      <c r="AE18" s="1">
        <v>294753.33</v>
      </c>
      <c r="AF18" s="1">
        <v>288424.04300000001</v>
      </c>
      <c r="AG18" s="1">
        <v>257193.13800000001</v>
      </c>
      <c r="AH18" s="1">
        <v>221423.071</v>
      </c>
      <c r="AI18" s="1">
        <v>194983.27499999999</v>
      </c>
      <c r="AK18" s="1">
        <v>186275.486</v>
      </c>
      <c r="AL18" s="1">
        <v>216024.79699999999</v>
      </c>
    </row>
    <row r="19" spans="1:38" ht="12.75" customHeight="1">
      <c r="A19" s="1" t="s">
        <v>34</v>
      </c>
      <c r="B19" s="1">
        <v>29130</v>
      </c>
      <c r="C19" s="1">
        <v>41459</v>
      </c>
      <c r="D19" s="1">
        <v>49279</v>
      </c>
      <c r="I19" s="1">
        <v>52478.427000000003</v>
      </c>
      <c r="J19" s="126">
        <v>55840.163999999997</v>
      </c>
      <c r="K19" s="1">
        <v>64889.466</v>
      </c>
      <c r="L19" s="1">
        <v>66185.332999999999</v>
      </c>
      <c r="M19" s="1">
        <v>64188.510999999999</v>
      </c>
      <c r="N19" s="1">
        <v>59780.898000000001</v>
      </c>
      <c r="O19" s="1">
        <v>30520.863000000001</v>
      </c>
      <c r="R19" s="24">
        <v>82175.661999999997</v>
      </c>
      <c r="S19" s="1">
        <v>74739.981</v>
      </c>
      <c r="T19" s="1">
        <v>85209.650999999998</v>
      </c>
      <c r="U19" s="1">
        <v>93742.922999999995</v>
      </c>
      <c r="V19" s="1">
        <v>94293.740999999995</v>
      </c>
      <c r="W19" s="126">
        <v>101081.946</v>
      </c>
      <c r="X19" s="126">
        <v>92740.763999999996</v>
      </c>
      <c r="Y19" s="126">
        <v>94903.027000000002</v>
      </c>
      <c r="Z19" s="126">
        <v>98963.32</v>
      </c>
      <c r="AA19" s="126">
        <v>128009.27899999999</v>
      </c>
      <c r="AB19" s="126">
        <v>232018.45</v>
      </c>
      <c r="AC19" s="126">
        <v>236754</v>
      </c>
      <c r="AD19" s="1">
        <v>220966.58499999999</v>
      </c>
      <c r="AE19" s="1">
        <v>206442.66399999999</v>
      </c>
      <c r="AF19" s="1">
        <v>193808.80300000001</v>
      </c>
      <c r="AG19" s="1">
        <v>185581.01</v>
      </c>
      <c r="AH19" s="1">
        <v>180659.43900000001</v>
      </c>
      <c r="AI19" s="1">
        <v>163107.628</v>
      </c>
      <c r="AK19" s="1">
        <v>179147.74799999999</v>
      </c>
      <c r="AL19" s="1">
        <v>201229.88500000001</v>
      </c>
    </row>
    <row r="20" spans="1:38" ht="12.75" customHeight="1">
      <c r="A20" s="1" t="s">
        <v>35</v>
      </c>
      <c r="B20" s="1">
        <v>49513</v>
      </c>
      <c r="C20" s="1">
        <v>52184</v>
      </c>
      <c r="D20" s="1">
        <v>64299</v>
      </c>
      <c r="I20" s="1">
        <v>135038.976</v>
      </c>
      <c r="J20" s="126">
        <v>155387.033</v>
      </c>
      <c r="K20" s="1">
        <v>204072.66699999999</v>
      </c>
      <c r="L20" s="1">
        <v>244823.17800000001</v>
      </c>
      <c r="M20" s="1">
        <v>258742.073</v>
      </c>
      <c r="N20" s="1">
        <v>278982.32699999999</v>
      </c>
      <c r="O20" s="1">
        <v>120973.75900000001</v>
      </c>
      <c r="R20" s="18">
        <v>343317.68800000002</v>
      </c>
      <c r="S20" s="1">
        <v>390196.23100000003</v>
      </c>
      <c r="T20" s="1">
        <v>465736.64299999998</v>
      </c>
      <c r="U20" s="1">
        <v>547675.09199999995</v>
      </c>
      <c r="V20" s="1">
        <v>587136.35199999996</v>
      </c>
      <c r="W20" s="126">
        <v>615917.72400000005</v>
      </c>
      <c r="X20" s="126">
        <v>612900.45900000003</v>
      </c>
      <c r="Y20" s="126">
        <v>601788.02899999998</v>
      </c>
      <c r="Z20" s="126">
        <v>672400.46900000004</v>
      </c>
      <c r="AA20" s="126">
        <v>813128.20900000003</v>
      </c>
      <c r="AB20" s="126">
        <v>1255627.439</v>
      </c>
      <c r="AC20" s="126">
        <v>1433404</v>
      </c>
      <c r="AD20" s="1">
        <v>1340815.8670000001</v>
      </c>
      <c r="AE20" s="1">
        <v>1286263.1340000001</v>
      </c>
      <c r="AF20" s="1">
        <v>1216124.388</v>
      </c>
      <c r="AG20" s="1">
        <v>1150602.297</v>
      </c>
      <c r="AH20" s="1">
        <v>1067073.922</v>
      </c>
      <c r="AI20" s="1">
        <v>1091794.3570000001</v>
      </c>
      <c r="AK20" s="1">
        <v>1161843.04</v>
      </c>
      <c r="AL20" s="1">
        <v>1342467.453</v>
      </c>
    </row>
    <row r="21" spans="1:38" ht="12.75" customHeight="1">
      <c r="A21" s="1" t="s">
        <v>36</v>
      </c>
      <c r="B21" s="1">
        <v>20590</v>
      </c>
      <c r="C21" s="1">
        <v>22096</v>
      </c>
      <c r="D21" s="1">
        <v>24833</v>
      </c>
      <c r="I21" s="1">
        <v>33599.076999999997</v>
      </c>
      <c r="J21" s="126">
        <v>43287.457999999999</v>
      </c>
      <c r="K21" s="1">
        <v>53585.737999999998</v>
      </c>
      <c r="L21" s="1">
        <v>56470.356</v>
      </c>
      <c r="M21" s="1">
        <v>57426.667000000001</v>
      </c>
      <c r="N21" s="1">
        <v>56426.059000000001</v>
      </c>
      <c r="O21" s="1">
        <v>24227.651000000002</v>
      </c>
      <c r="R21" s="18">
        <v>70443.070999999996</v>
      </c>
      <c r="S21" s="1">
        <v>78199.043000000005</v>
      </c>
      <c r="T21" s="1">
        <v>95997.016000000003</v>
      </c>
      <c r="U21" s="1">
        <v>111831.17</v>
      </c>
      <c r="V21" s="1">
        <v>117637.652</v>
      </c>
      <c r="W21" s="126">
        <v>113094.557</v>
      </c>
      <c r="X21" s="126">
        <v>110682.076</v>
      </c>
      <c r="Y21" s="126">
        <v>103617.113</v>
      </c>
      <c r="Z21" s="126">
        <v>120280.577</v>
      </c>
      <c r="AA21" s="126">
        <v>151711.61300000001</v>
      </c>
      <c r="AB21" s="126">
        <v>243430.40900000001</v>
      </c>
      <c r="AC21" s="126">
        <v>302519</v>
      </c>
      <c r="AD21" s="1">
        <v>312244.973</v>
      </c>
      <c r="AE21" s="1">
        <v>306886.20199999999</v>
      </c>
      <c r="AF21" s="1">
        <v>310014.141</v>
      </c>
      <c r="AG21" s="1">
        <v>305943.06699999998</v>
      </c>
      <c r="AH21" s="1">
        <v>278513.15899999999</v>
      </c>
      <c r="AI21" s="1">
        <v>247489.79</v>
      </c>
      <c r="AK21" s="1">
        <v>239684.53899999999</v>
      </c>
      <c r="AL21" s="1">
        <v>266689.67300000001</v>
      </c>
    </row>
    <row r="22" spans="1:38" ht="12.75" customHeight="1">
      <c r="A22" s="27" t="s">
        <v>37</v>
      </c>
      <c r="B22" s="27">
        <v>1989</v>
      </c>
      <c r="C22" s="27">
        <v>2166</v>
      </c>
      <c r="D22" s="27">
        <v>2646</v>
      </c>
      <c r="E22" s="27"/>
      <c r="F22" s="27"/>
      <c r="G22" s="27"/>
      <c r="H22" s="27"/>
      <c r="I22" s="27">
        <v>3742.57</v>
      </c>
      <c r="J22" s="127">
        <v>4096.2820000000002</v>
      </c>
      <c r="K22" s="27">
        <v>4335.0469999999996</v>
      </c>
      <c r="L22" s="27">
        <v>5535.5640000000003</v>
      </c>
      <c r="M22" s="27">
        <v>5929.51</v>
      </c>
      <c r="N22" s="27">
        <v>5968.79</v>
      </c>
      <c r="O22" s="27">
        <v>1270.5880300000001</v>
      </c>
      <c r="P22" s="27"/>
      <c r="Q22" s="27"/>
      <c r="R22" s="27">
        <v>6011.3549999999996</v>
      </c>
      <c r="S22" s="27">
        <v>7962.1019999999999</v>
      </c>
      <c r="T22" s="27">
        <v>7504.4549999999999</v>
      </c>
      <c r="U22" s="27">
        <v>9671.4179999999997</v>
      </c>
      <c r="V22" s="27">
        <v>8818.9879999999994</v>
      </c>
      <c r="W22" s="127">
        <v>17495.02</v>
      </c>
      <c r="X22" s="127">
        <v>14757.164000000001</v>
      </c>
      <c r="Y22" s="127">
        <v>19573.614000000001</v>
      </c>
      <c r="Z22" s="127">
        <v>27017.962</v>
      </c>
      <c r="AA22" s="127">
        <v>29425.963</v>
      </c>
      <c r="AB22" s="127">
        <v>55331.735000000001</v>
      </c>
      <c r="AC22" s="127">
        <v>64761</v>
      </c>
      <c r="AD22" s="27">
        <v>59706.457999999999</v>
      </c>
      <c r="AE22" s="27">
        <v>55369.656000000003</v>
      </c>
      <c r="AF22" s="27">
        <v>51488.748</v>
      </c>
      <c r="AG22" s="27">
        <v>51955.512999999999</v>
      </c>
      <c r="AH22" s="27">
        <v>53372.582000000002</v>
      </c>
      <c r="AI22" s="27">
        <v>46691.339</v>
      </c>
      <c r="AJ22" s="27"/>
      <c r="AK22" s="1">
        <v>36501.256000000001</v>
      </c>
      <c r="AL22" s="1">
        <v>38266.595999999998</v>
      </c>
    </row>
    <row r="23" spans="1:38" ht="12.75" customHeight="1">
      <c r="A23" s="6" t="s">
        <v>38</v>
      </c>
      <c r="B23" s="51">
        <f>SUM(B25:B37)</f>
        <v>0</v>
      </c>
      <c r="C23" s="51">
        <f t="shared" ref="C23:Z23" si="14">SUM(C25:C37)</f>
        <v>0</v>
      </c>
      <c r="D23" s="51">
        <f t="shared" si="14"/>
        <v>0</v>
      </c>
      <c r="E23" s="51">
        <f t="shared" si="14"/>
        <v>0</v>
      </c>
      <c r="F23" s="51">
        <f t="shared" si="14"/>
        <v>0</v>
      </c>
      <c r="G23" s="51">
        <f t="shared" si="14"/>
        <v>0</v>
      </c>
      <c r="H23" s="51">
        <f t="shared" si="14"/>
        <v>0</v>
      </c>
      <c r="I23" s="51">
        <f t="shared" si="14"/>
        <v>0</v>
      </c>
      <c r="J23" s="51">
        <f t="shared" si="14"/>
        <v>494759.83099999995</v>
      </c>
      <c r="K23" s="51">
        <f t="shared" si="14"/>
        <v>0</v>
      </c>
      <c r="L23" s="51">
        <f t="shared" si="14"/>
        <v>0</v>
      </c>
      <c r="M23" s="51">
        <f t="shared" si="14"/>
        <v>685530.77800000005</v>
      </c>
      <c r="N23" s="51">
        <f t="shared" si="14"/>
        <v>0</v>
      </c>
      <c r="O23" s="51">
        <f t="shared" si="14"/>
        <v>347061.26502000005</v>
      </c>
      <c r="P23" s="51">
        <f t="shared" si="14"/>
        <v>0</v>
      </c>
      <c r="Q23" s="51">
        <f t="shared" si="14"/>
        <v>0</v>
      </c>
      <c r="R23" s="51">
        <f t="shared" si="14"/>
        <v>845225.07600000012</v>
      </c>
      <c r="S23" s="51">
        <f t="shared" si="14"/>
        <v>937197.16799999995</v>
      </c>
      <c r="T23" s="51">
        <f t="shared" si="14"/>
        <v>1122436.9599999997</v>
      </c>
      <c r="U23" s="51">
        <f t="shared" si="14"/>
        <v>1235909.9709999999</v>
      </c>
      <c r="V23" s="51">
        <f t="shared" si="14"/>
        <v>1305680.3420000002</v>
      </c>
      <c r="W23" s="51">
        <f t="shared" si="14"/>
        <v>1566660.443</v>
      </c>
      <c r="X23" s="51">
        <f t="shared" si="14"/>
        <v>1560079.8310000002</v>
      </c>
      <c r="Y23" s="51">
        <f t="shared" si="14"/>
        <v>1520530.111</v>
      </c>
      <c r="Z23" s="51">
        <f t="shared" si="14"/>
        <v>1804664.6040000001</v>
      </c>
      <c r="AA23" s="51">
        <f>SUM(AA25:AA37)</f>
        <v>2359636.3140000002</v>
      </c>
      <c r="AB23" s="51">
        <f>SUM(AB25:AB37)</f>
        <v>3442741.8929999992</v>
      </c>
      <c r="AC23" s="51">
        <f>SUM(AC25:AC37)</f>
        <v>4281960</v>
      </c>
      <c r="AD23" s="51">
        <f t="shared" ref="AD23:AK23" si="15">SUM(AD25:AD37)</f>
        <v>4007370.8870000001</v>
      </c>
      <c r="AE23" s="51">
        <f t="shared" si="15"/>
        <v>3821623.8769999999</v>
      </c>
      <c r="AF23" s="51">
        <f t="shared" si="15"/>
        <v>2792552.3430000003</v>
      </c>
      <c r="AG23" s="51">
        <f t="shared" si="15"/>
        <v>2738894.0219999999</v>
      </c>
      <c r="AH23" s="51">
        <f t="shared" si="15"/>
        <v>3382790.0279999995</v>
      </c>
      <c r="AI23" s="51">
        <f t="shared" si="15"/>
        <v>3211057.9879999999</v>
      </c>
      <c r="AJ23" s="51">
        <f t="shared" si="15"/>
        <v>0</v>
      </c>
      <c r="AK23" s="131">
        <f t="shared" si="15"/>
        <v>3264791.8289999999</v>
      </c>
      <c r="AL23" s="131">
        <f t="shared" ref="AL23" si="16">SUM(AL25:AL37)</f>
        <v>3715888.6100000003</v>
      </c>
    </row>
    <row r="24" spans="1:38" ht="12.75" customHeight="1">
      <c r="A24" s="6" t="s">
        <v>94</v>
      </c>
    </row>
    <row r="25" spans="1:38" ht="12.75" customHeight="1">
      <c r="A25" s="1" t="s">
        <v>39</v>
      </c>
      <c r="J25" s="126">
        <v>385.51600000000002</v>
      </c>
      <c r="M25" s="1">
        <v>0</v>
      </c>
      <c r="O25" s="1">
        <v>143.42099999999999</v>
      </c>
      <c r="R25" s="18">
        <v>1408.673</v>
      </c>
      <c r="S25" s="1">
        <v>9.923</v>
      </c>
      <c r="T25" s="1">
        <v>1476.838</v>
      </c>
      <c r="U25" s="1">
        <v>3384.944</v>
      </c>
      <c r="V25" s="1">
        <v>4178.3280000000004</v>
      </c>
      <c r="W25" s="126">
        <v>599.15800000000002</v>
      </c>
      <c r="X25" s="126">
        <v>2791.6019999999999</v>
      </c>
      <c r="Y25" s="126">
        <v>3338.3049999999998</v>
      </c>
      <c r="Z25" s="126">
        <v>2814.857</v>
      </c>
      <c r="AA25" s="126">
        <v>2610.8980000000001</v>
      </c>
      <c r="AB25" s="126">
        <v>2777.989</v>
      </c>
      <c r="AC25" s="126">
        <v>520</v>
      </c>
      <c r="AD25" s="1">
        <v>3877.7579999999998</v>
      </c>
      <c r="AE25" s="1">
        <v>2999.136</v>
      </c>
      <c r="AF25" s="1">
        <v>0</v>
      </c>
      <c r="AG25" s="1">
        <v>0</v>
      </c>
      <c r="AH25" s="1">
        <v>2578.1550000000002</v>
      </c>
      <c r="AI25" s="1">
        <v>2352.0590000000002</v>
      </c>
      <c r="AK25" s="1">
        <v>2914.74</v>
      </c>
      <c r="AL25" s="1">
        <v>3939.5770000000002</v>
      </c>
    </row>
    <row r="26" spans="1:38" ht="12.75" customHeight="1">
      <c r="A26" s="1" t="s">
        <v>40</v>
      </c>
      <c r="J26" s="126">
        <v>41747.489000000001</v>
      </c>
      <c r="M26" s="1">
        <v>57800.667000000001</v>
      </c>
      <c r="O26" s="1">
        <v>26723.002840000001</v>
      </c>
      <c r="R26" s="18">
        <v>76524.206000000006</v>
      </c>
      <c r="S26" s="1">
        <v>84770.368000000002</v>
      </c>
      <c r="T26" s="1">
        <v>99206.423999999999</v>
      </c>
      <c r="U26" s="1">
        <v>76519.433999999994</v>
      </c>
      <c r="V26" s="1">
        <v>89795.023000000001</v>
      </c>
      <c r="W26" s="126">
        <v>97491.161999999997</v>
      </c>
      <c r="X26" s="126">
        <v>86980.759000000005</v>
      </c>
      <c r="Y26" s="126">
        <v>84317.001999999993</v>
      </c>
      <c r="Z26" s="126">
        <v>137280.16200000001</v>
      </c>
      <c r="AA26" s="126">
        <v>178744.35800000001</v>
      </c>
      <c r="AB26" s="126">
        <v>285978.40899999999</v>
      </c>
      <c r="AC26" s="126">
        <v>362636</v>
      </c>
      <c r="AD26" s="1">
        <v>377707.92599999998</v>
      </c>
      <c r="AE26" s="1">
        <v>350718.576</v>
      </c>
      <c r="AF26" s="1">
        <v>81180.28</v>
      </c>
      <c r="AG26" s="1">
        <v>76812.422000000006</v>
      </c>
      <c r="AH26" s="1">
        <v>294533.05099999998</v>
      </c>
      <c r="AI26" s="1">
        <v>283196.43800000002</v>
      </c>
      <c r="AK26" s="1">
        <v>272462.25400000002</v>
      </c>
      <c r="AL26" s="1">
        <v>308066.32400000002</v>
      </c>
    </row>
    <row r="27" spans="1:38" ht="12.75" customHeight="1">
      <c r="A27" s="1" t="s">
        <v>41</v>
      </c>
      <c r="J27" s="126">
        <v>217932.609</v>
      </c>
      <c r="M27" s="1">
        <v>345808.91100000002</v>
      </c>
      <c r="O27" s="1">
        <v>157809.93425999998</v>
      </c>
      <c r="R27" s="18">
        <v>395694.80200000003</v>
      </c>
      <c r="S27" s="1">
        <v>427173.58100000001</v>
      </c>
      <c r="T27" s="1">
        <v>505303.52399999998</v>
      </c>
      <c r="U27" s="1">
        <v>560758.24199999997</v>
      </c>
      <c r="V27" s="1">
        <v>599030.16700000002</v>
      </c>
      <c r="W27" s="126">
        <v>852597.91799999995</v>
      </c>
      <c r="X27" s="126">
        <v>860314.47400000005</v>
      </c>
      <c r="Y27" s="126">
        <v>868241.67099999997</v>
      </c>
      <c r="Z27" s="126">
        <v>1062320.898</v>
      </c>
      <c r="AA27" s="126">
        <v>1386451.807</v>
      </c>
      <c r="AB27" s="126">
        <v>1894452.8149999999</v>
      </c>
      <c r="AC27" s="126">
        <v>2341628</v>
      </c>
      <c r="AD27" s="1">
        <v>2168133.9679999999</v>
      </c>
      <c r="AE27" s="1">
        <v>2076886.939</v>
      </c>
      <c r="AF27" s="1">
        <v>1629466.081</v>
      </c>
      <c r="AG27" s="1">
        <v>1622316.996</v>
      </c>
      <c r="AH27" s="1">
        <v>1968764.3540000001</v>
      </c>
      <c r="AI27" s="1">
        <v>1879404.702</v>
      </c>
      <c r="AK27" s="1">
        <v>1965581.459</v>
      </c>
      <c r="AL27" s="1">
        <v>2284099.7790000001</v>
      </c>
    </row>
    <row r="28" spans="1:38" ht="12.75" customHeight="1">
      <c r="A28" s="1" t="s">
        <v>42</v>
      </c>
      <c r="J28" s="126">
        <v>34632.154999999999</v>
      </c>
      <c r="M28" s="1">
        <v>41709.997000000003</v>
      </c>
      <c r="O28" s="1">
        <v>25942.577000000001</v>
      </c>
      <c r="R28" s="18">
        <v>51764.951999999997</v>
      </c>
      <c r="S28" s="1">
        <v>56536.55</v>
      </c>
      <c r="T28" s="1">
        <v>68746.721000000005</v>
      </c>
      <c r="U28" s="1">
        <v>75467.410999999993</v>
      </c>
      <c r="V28" s="1">
        <v>85444.218999999997</v>
      </c>
      <c r="W28" s="126">
        <v>87642.716</v>
      </c>
      <c r="X28" s="126">
        <v>78696.244999999995</v>
      </c>
      <c r="Y28" s="126">
        <v>73425.092000000004</v>
      </c>
      <c r="Z28" s="126">
        <v>80742.953999999998</v>
      </c>
      <c r="AA28" s="126">
        <v>101491.005</v>
      </c>
      <c r="AB28" s="126">
        <v>173361.12100000001</v>
      </c>
      <c r="AC28" s="126">
        <v>188197</v>
      </c>
      <c r="AD28" s="1">
        <v>183578.946</v>
      </c>
      <c r="AE28" s="1">
        <v>186590.40599999999</v>
      </c>
      <c r="AF28" s="1">
        <v>76352.584000000003</v>
      </c>
      <c r="AG28" s="1">
        <v>71603.851999999999</v>
      </c>
      <c r="AH28" s="1">
        <v>135777.31899999999</v>
      </c>
      <c r="AI28" s="1">
        <v>121976.371</v>
      </c>
      <c r="AK28" s="1">
        <v>118616.849</v>
      </c>
      <c r="AL28" s="1">
        <v>130511.554</v>
      </c>
    </row>
    <row r="29" spans="1:38" ht="12.75" customHeight="1">
      <c r="A29" s="1" t="s">
        <v>43</v>
      </c>
      <c r="J29" s="126">
        <v>5462.2460000000001</v>
      </c>
      <c r="M29" s="1">
        <v>11754.977000000001</v>
      </c>
      <c r="O29" s="1">
        <v>5361.25</v>
      </c>
      <c r="R29" s="18">
        <v>17153.511999999999</v>
      </c>
      <c r="S29" s="1">
        <v>18953.285</v>
      </c>
      <c r="T29" s="1">
        <v>22057.538</v>
      </c>
      <c r="U29" s="1">
        <v>26385.257000000001</v>
      </c>
      <c r="V29" s="1">
        <v>23197.784</v>
      </c>
      <c r="W29" s="126">
        <v>21157.510999999999</v>
      </c>
      <c r="X29" s="126">
        <v>20708.483</v>
      </c>
      <c r="Y29" s="126">
        <v>20896.545999999998</v>
      </c>
      <c r="Z29" s="126">
        <v>22393.437999999998</v>
      </c>
      <c r="AA29" s="126">
        <v>38165.402000000002</v>
      </c>
      <c r="AB29" s="126">
        <v>59316.159</v>
      </c>
      <c r="AC29" s="126">
        <v>67153</v>
      </c>
      <c r="AD29" s="1">
        <v>63362.345000000001</v>
      </c>
      <c r="AE29" s="1">
        <v>66372.89</v>
      </c>
      <c r="AF29" s="1">
        <v>74064.572</v>
      </c>
      <c r="AG29" s="1">
        <v>70393.752999999997</v>
      </c>
      <c r="AH29" s="1">
        <v>64985.834999999999</v>
      </c>
      <c r="AI29" s="1">
        <v>55014.794999999998</v>
      </c>
      <c r="AK29" s="1">
        <v>56384.421000000002</v>
      </c>
      <c r="AL29" s="1">
        <v>52647.574999999997</v>
      </c>
    </row>
    <row r="30" spans="1:38" ht="12.75" customHeight="1">
      <c r="A30" s="1" t="s">
        <v>44</v>
      </c>
      <c r="J30" s="126">
        <v>8119.3019999999997</v>
      </c>
      <c r="M30" s="1">
        <v>6929.0249999999996</v>
      </c>
      <c r="O30" s="1">
        <v>7380.8559999999998</v>
      </c>
      <c r="R30" s="18">
        <v>11068.88</v>
      </c>
      <c r="S30" s="1">
        <v>15186.556</v>
      </c>
      <c r="T30" s="1">
        <v>18473.493999999999</v>
      </c>
      <c r="U30" s="1">
        <v>28002.241999999998</v>
      </c>
      <c r="V30" s="1">
        <v>30127.65</v>
      </c>
      <c r="W30" s="126">
        <v>31476.133000000002</v>
      </c>
      <c r="X30" s="126">
        <v>28887.756000000001</v>
      </c>
      <c r="Y30" s="126">
        <v>27589.355</v>
      </c>
      <c r="Z30" s="126">
        <v>28893.292000000001</v>
      </c>
      <c r="AA30" s="126">
        <v>34786.639999999999</v>
      </c>
      <c r="AB30" s="126">
        <v>74633.426999999996</v>
      </c>
      <c r="AC30" s="126">
        <v>100838</v>
      </c>
      <c r="AD30" s="1">
        <v>111889.56600000001</v>
      </c>
      <c r="AE30" s="1">
        <v>57228.822</v>
      </c>
      <c r="AF30" s="1">
        <v>50418.313000000002</v>
      </c>
      <c r="AG30" s="1">
        <v>56599.578999999998</v>
      </c>
      <c r="AH30" s="1">
        <v>52570.913999999997</v>
      </c>
      <c r="AI30" s="1">
        <v>47892.701999999997</v>
      </c>
      <c r="AK30" s="1">
        <v>51264.54</v>
      </c>
      <c r="AL30" s="1">
        <v>56448.394</v>
      </c>
    </row>
    <row r="31" spans="1:38" ht="12.75" customHeight="1">
      <c r="A31" s="1" t="s">
        <v>45</v>
      </c>
      <c r="J31" s="126">
        <v>18684.670999999998</v>
      </c>
      <c r="M31" s="1">
        <v>12522.620999999999</v>
      </c>
      <c r="O31" s="1">
        <v>5821.9862400000002</v>
      </c>
      <c r="R31" s="24">
        <v>15367.414000000001</v>
      </c>
      <c r="S31" s="1">
        <v>16375.529</v>
      </c>
      <c r="T31" s="1">
        <v>26837.938999999998</v>
      </c>
      <c r="U31" s="1">
        <v>28132.813999999998</v>
      </c>
      <c r="V31" s="1">
        <v>29308.89</v>
      </c>
      <c r="W31" s="126">
        <v>41259.934999999998</v>
      </c>
      <c r="X31" s="126">
        <v>38251.822</v>
      </c>
      <c r="Y31" s="126">
        <v>35986.712</v>
      </c>
      <c r="Z31" s="126">
        <v>33880.552000000003</v>
      </c>
      <c r="AA31" s="126">
        <v>38898.591</v>
      </c>
      <c r="AB31" s="126">
        <v>46367.449000000001</v>
      </c>
      <c r="AC31" s="126">
        <v>56973</v>
      </c>
      <c r="AD31" s="1">
        <v>57051.453999999998</v>
      </c>
      <c r="AE31" s="1">
        <v>45462.34</v>
      </c>
      <c r="AF31" s="1">
        <v>42239.425000000003</v>
      </c>
      <c r="AG31" s="1">
        <v>43103.43</v>
      </c>
      <c r="AH31" s="1">
        <v>49408.784</v>
      </c>
      <c r="AI31" s="1">
        <v>45164.461000000003</v>
      </c>
      <c r="AK31" s="1">
        <v>40740.578999999998</v>
      </c>
      <c r="AL31" s="1">
        <v>43586.474000000002</v>
      </c>
    </row>
    <row r="32" spans="1:38" ht="12.75" customHeight="1">
      <c r="A32" s="1" t="s">
        <v>46</v>
      </c>
      <c r="J32" s="126">
        <v>6029.0219999999999</v>
      </c>
      <c r="M32" s="1">
        <v>6149.0559999999996</v>
      </c>
      <c r="O32" s="1">
        <v>2107</v>
      </c>
      <c r="R32" s="24">
        <v>11490</v>
      </c>
      <c r="S32" s="1">
        <v>12625</v>
      </c>
      <c r="T32" s="1">
        <v>18036</v>
      </c>
      <c r="U32" s="1">
        <v>20916</v>
      </c>
      <c r="V32" s="1">
        <v>6780</v>
      </c>
      <c r="W32" s="126">
        <v>7668</v>
      </c>
      <c r="X32" s="126">
        <v>7377</v>
      </c>
      <c r="Y32" s="126">
        <v>5372</v>
      </c>
      <c r="Z32" s="126">
        <v>6164</v>
      </c>
      <c r="AA32" s="126">
        <v>29633</v>
      </c>
      <c r="AB32" s="126">
        <v>64303</v>
      </c>
      <c r="AC32" s="126">
        <v>73253</v>
      </c>
      <c r="AD32" s="1">
        <v>80036</v>
      </c>
      <c r="AE32" s="1">
        <v>76442</v>
      </c>
      <c r="AF32" s="1">
        <v>78507</v>
      </c>
      <c r="AG32" s="1">
        <v>85983</v>
      </c>
      <c r="AH32" s="1">
        <v>76966</v>
      </c>
      <c r="AI32" s="1">
        <v>68342</v>
      </c>
      <c r="AK32" s="1">
        <v>68472</v>
      </c>
      <c r="AL32" s="1">
        <v>80123</v>
      </c>
    </row>
    <row r="33" spans="1:38" ht="12.75" customHeight="1">
      <c r="A33" s="1" t="s">
        <v>47</v>
      </c>
      <c r="J33" s="126">
        <v>18803.821</v>
      </c>
      <c r="M33" s="1">
        <v>30016.16</v>
      </c>
      <c r="O33" s="1">
        <v>22861.326649999999</v>
      </c>
      <c r="R33" s="24">
        <v>49793.01</v>
      </c>
      <c r="S33" s="1">
        <v>57350.656000000003</v>
      </c>
      <c r="T33" s="1">
        <v>68291.331000000006</v>
      </c>
      <c r="U33" s="1">
        <v>77626.153999999995</v>
      </c>
      <c r="V33" s="1">
        <v>82096.120999999999</v>
      </c>
      <c r="W33" s="126">
        <v>82241.345000000001</v>
      </c>
      <c r="X33" s="126">
        <v>81041.661999999997</v>
      </c>
      <c r="Y33" s="126">
        <v>77613.048999999999</v>
      </c>
      <c r="Z33" s="126">
        <v>88881.732000000004</v>
      </c>
      <c r="AA33" s="126">
        <v>113089.412</v>
      </c>
      <c r="AB33" s="126">
        <v>153319.12700000001</v>
      </c>
      <c r="AC33" s="126">
        <v>184255</v>
      </c>
      <c r="AD33" s="1">
        <v>185234.18299999999</v>
      </c>
      <c r="AE33" s="1">
        <v>186094.12400000001</v>
      </c>
      <c r="AF33" s="1">
        <v>117559.44</v>
      </c>
      <c r="AG33" s="1">
        <v>108117.99099999999</v>
      </c>
      <c r="AH33" s="1">
        <v>157964.976</v>
      </c>
      <c r="AI33" s="1">
        <v>143173.443</v>
      </c>
      <c r="AK33" s="1">
        <v>142558.601</v>
      </c>
      <c r="AL33" s="1">
        <v>142970.09899999999</v>
      </c>
    </row>
    <row r="34" spans="1:38" ht="12.75" customHeight="1">
      <c r="A34" s="1" t="s">
        <v>48</v>
      </c>
      <c r="J34" s="126">
        <v>52045.841</v>
      </c>
      <c r="M34" s="1">
        <v>66459.206999999995</v>
      </c>
      <c r="O34" s="1">
        <v>45157.867709999999</v>
      </c>
      <c r="R34" s="18">
        <v>83704.774000000005</v>
      </c>
      <c r="S34" s="1">
        <v>100102.567</v>
      </c>
      <c r="T34" s="1">
        <v>124329.83199999999</v>
      </c>
      <c r="U34" s="1">
        <v>138757.98199999999</v>
      </c>
      <c r="V34" s="1">
        <v>142881.43100000001</v>
      </c>
      <c r="W34" s="126">
        <v>156833.28400000001</v>
      </c>
      <c r="X34" s="126">
        <v>150000.48000000001</v>
      </c>
      <c r="Y34" s="126">
        <v>147064.12299999999</v>
      </c>
      <c r="Z34" s="126">
        <v>152640.579</v>
      </c>
      <c r="AA34" s="126">
        <v>184593.43299999999</v>
      </c>
      <c r="AB34" s="126">
        <v>272249.60700000002</v>
      </c>
      <c r="AC34" s="126">
        <v>404505</v>
      </c>
      <c r="AD34" s="1">
        <v>308882.36</v>
      </c>
      <c r="AE34" s="1">
        <v>302046.56</v>
      </c>
      <c r="AF34" s="1">
        <v>273657.76699999999</v>
      </c>
      <c r="AG34" s="1">
        <v>250094.467</v>
      </c>
      <c r="AH34" s="1">
        <v>207992.86900000001</v>
      </c>
      <c r="AI34" s="1">
        <v>210404.655</v>
      </c>
      <c r="AK34" s="1">
        <v>182285.054</v>
      </c>
      <c r="AL34" s="1">
        <v>204300.68</v>
      </c>
    </row>
    <row r="35" spans="1:38" ht="12.75" customHeight="1">
      <c r="A35" s="1" t="s">
        <v>49</v>
      </c>
      <c r="J35" s="126">
        <v>23015.473999999998</v>
      </c>
      <c r="M35" s="1">
        <v>18431.264999999999</v>
      </c>
      <c r="O35" s="1">
        <v>10877.074000000001</v>
      </c>
      <c r="R35" s="18">
        <v>16604.079000000002</v>
      </c>
      <c r="S35" s="1">
        <v>18788.48</v>
      </c>
      <c r="T35" s="1">
        <v>22250.645</v>
      </c>
      <c r="U35" s="1">
        <v>26635.794000000002</v>
      </c>
      <c r="V35" s="1">
        <v>32025.855</v>
      </c>
      <c r="W35" s="126">
        <v>34195.605000000003</v>
      </c>
      <c r="X35" s="126">
        <v>30719.935000000001</v>
      </c>
      <c r="Y35" s="126">
        <v>29053.544000000002</v>
      </c>
      <c r="Z35" s="126">
        <v>28808.817999999999</v>
      </c>
      <c r="AA35" s="126">
        <v>33534.057000000001</v>
      </c>
      <c r="AB35" s="126">
        <v>81514.558999999994</v>
      </c>
      <c r="AC35" s="126">
        <v>72445</v>
      </c>
      <c r="AD35" s="1">
        <v>57375.701999999997</v>
      </c>
      <c r="AE35" s="1">
        <v>75701.675000000003</v>
      </c>
      <c r="AF35" s="1">
        <v>71666.839000000007</v>
      </c>
      <c r="AG35" s="1">
        <v>66298.656000000003</v>
      </c>
      <c r="AH35" s="1">
        <v>42544.963000000003</v>
      </c>
      <c r="AI35" s="1">
        <v>39727.546000000002</v>
      </c>
      <c r="AK35" s="1">
        <v>39080.709000000003</v>
      </c>
      <c r="AL35" s="1">
        <v>42565.069000000003</v>
      </c>
    </row>
    <row r="36" spans="1:38" ht="12.75" customHeight="1">
      <c r="A36" s="1" t="s">
        <v>50</v>
      </c>
      <c r="J36" s="126">
        <v>59982.548999999999</v>
      </c>
      <c r="M36" s="1">
        <v>78240.694000000003</v>
      </c>
      <c r="O36" s="1">
        <v>33917.291320000004</v>
      </c>
      <c r="R36" s="18">
        <v>102119.49099999999</v>
      </c>
      <c r="S36" s="1">
        <v>114965.06299999999</v>
      </c>
      <c r="T36" s="1">
        <v>131162.22399999999</v>
      </c>
      <c r="U36" s="1">
        <v>156228.41</v>
      </c>
      <c r="V36" s="1">
        <v>162587.196</v>
      </c>
      <c r="W36" s="126">
        <v>135848.38</v>
      </c>
      <c r="X36" s="126">
        <v>157075.15400000001</v>
      </c>
      <c r="Y36" s="126">
        <v>129055.444</v>
      </c>
      <c r="Z36" s="126">
        <v>141794.35999999999</v>
      </c>
      <c r="AA36" s="126">
        <v>196061.95800000001</v>
      </c>
      <c r="AB36" s="126">
        <v>301457.45899999997</v>
      </c>
      <c r="AC36" s="126">
        <v>370379</v>
      </c>
      <c r="AD36" s="1">
        <v>366023.72700000001</v>
      </c>
      <c r="AE36" s="1">
        <v>360640.73</v>
      </c>
      <c r="AF36" s="1">
        <v>265101.674</v>
      </c>
      <c r="AG36" s="1">
        <v>255240.48199999999</v>
      </c>
      <c r="AH36" s="1">
        <v>298448.408</v>
      </c>
      <c r="AI36" s="1">
        <v>282834.97600000002</v>
      </c>
      <c r="AK36" s="1">
        <v>291878.71000000002</v>
      </c>
      <c r="AL36" s="1">
        <v>331812.75199999998</v>
      </c>
    </row>
    <row r="37" spans="1:38" ht="12.75" customHeight="1">
      <c r="A37" s="27" t="s">
        <v>51</v>
      </c>
      <c r="B37" s="27"/>
      <c r="C37" s="27"/>
      <c r="D37" s="27"/>
      <c r="E37" s="27"/>
      <c r="F37" s="27"/>
      <c r="G37" s="27"/>
      <c r="H37" s="27"/>
      <c r="I37" s="27"/>
      <c r="J37" s="127">
        <v>7919.1360000000004</v>
      </c>
      <c r="K37" s="27"/>
      <c r="L37" s="27"/>
      <c r="M37" s="27">
        <v>9708.1980000000003</v>
      </c>
      <c r="N37" s="27"/>
      <c r="O37" s="27">
        <v>2957.6779999999999</v>
      </c>
      <c r="P37" s="27"/>
      <c r="Q37" s="27"/>
      <c r="R37" s="37">
        <v>12531.282999999999</v>
      </c>
      <c r="S37" s="27">
        <v>14359.61</v>
      </c>
      <c r="T37" s="27">
        <v>16264.45</v>
      </c>
      <c r="U37" s="27">
        <v>17095.287</v>
      </c>
      <c r="V37" s="27">
        <v>18227.678</v>
      </c>
      <c r="W37" s="127">
        <v>17649.295999999998</v>
      </c>
      <c r="X37" s="127">
        <v>17234.458999999999</v>
      </c>
      <c r="Y37" s="127">
        <v>18577.268</v>
      </c>
      <c r="Z37" s="127">
        <v>18048.962</v>
      </c>
      <c r="AA37" s="127">
        <v>21575.753000000001</v>
      </c>
      <c r="AB37" s="127">
        <v>33010.771999999997</v>
      </c>
      <c r="AC37" s="127">
        <v>59178</v>
      </c>
      <c r="AD37" s="27">
        <v>44216.951999999997</v>
      </c>
      <c r="AE37" s="27">
        <v>34439.678999999996</v>
      </c>
      <c r="AF37" s="27">
        <v>32338.367999999999</v>
      </c>
      <c r="AG37" s="27">
        <v>32329.394</v>
      </c>
      <c r="AH37" s="27">
        <v>30254.400000000001</v>
      </c>
      <c r="AI37" s="27">
        <v>31573.84</v>
      </c>
      <c r="AJ37" s="27"/>
      <c r="AK37" s="27">
        <v>32551.913</v>
      </c>
      <c r="AL37" s="1">
        <v>34817.332999999999</v>
      </c>
    </row>
    <row r="38" spans="1:38" ht="12.75" customHeight="1">
      <c r="A38" s="6" t="s">
        <v>52</v>
      </c>
      <c r="B38" s="51">
        <f>SUM(B40:B51)</f>
        <v>0</v>
      </c>
      <c r="C38" s="51">
        <f t="shared" ref="C38:AK38" si="17">SUM(C40:C51)</f>
        <v>0</v>
      </c>
      <c r="D38" s="51">
        <f t="shared" si="17"/>
        <v>0</v>
      </c>
      <c r="E38" s="51">
        <f t="shared" si="17"/>
        <v>0</v>
      </c>
      <c r="F38" s="51">
        <f t="shared" si="17"/>
        <v>0</v>
      </c>
      <c r="G38" s="51">
        <f t="shared" si="17"/>
        <v>0</v>
      </c>
      <c r="H38" s="51">
        <f t="shared" si="17"/>
        <v>0</v>
      </c>
      <c r="I38" s="51">
        <f t="shared" si="17"/>
        <v>0</v>
      </c>
      <c r="J38" s="51">
        <f t="shared" si="17"/>
        <v>546744.09100000001</v>
      </c>
      <c r="K38" s="51">
        <f t="shared" si="17"/>
        <v>0</v>
      </c>
      <c r="L38" s="51">
        <f t="shared" si="17"/>
        <v>0</v>
      </c>
      <c r="M38" s="51">
        <f t="shared" si="17"/>
        <v>586464.71299999999</v>
      </c>
      <c r="N38" s="51">
        <f t="shared" si="17"/>
        <v>0</v>
      </c>
      <c r="O38" s="51">
        <f t="shared" si="17"/>
        <v>253797.06130999999</v>
      </c>
      <c r="P38" s="51">
        <f t="shared" si="17"/>
        <v>0</v>
      </c>
      <c r="Q38" s="51">
        <f t="shared" si="17"/>
        <v>0</v>
      </c>
      <c r="R38" s="51">
        <f t="shared" si="17"/>
        <v>690020.41300000006</v>
      </c>
      <c r="S38" s="51">
        <f t="shared" si="17"/>
        <v>781006.26</v>
      </c>
      <c r="T38" s="51">
        <f t="shared" si="17"/>
        <v>917937.22700000007</v>
      </c>
      <c r="U38" s="51">
        <f t="shared" si="17"/>
        <v>1127270.99</v>
      </c>
      <c r="V38" s="51">
        <f t="shared" si="17"/>
        <v>1227304.9580000001</v>
      </c>
      <c r="W38" s="51">
        <f t="shared" si="17"/>
        <v>1260452.4809999999</v>
      </c>
      <c r="X38" s="51">
        <f t="shared" si="17"/>
        <v>1264539.7379999999</v>
      </c>
      <c r="Y38" s="51">
        <f t="shared" si="17"/>
        <v>1311238.7280000001</v>
      </c>
      <c r="Z38" s="51">
        <f t="shared" si="17"/>
        <v>1464014.5589999999</v>
      </c>
      <c r="AA38" s="51">
        <f t="shared" si="17"/>
        <v>1853729.534</v>
      </c>
      <c r="AB38" s="51">
        <f t="shared" si="17"/>
        <v>2911577.4719999996</v>
      </c>
      <c r="AC38" s="51">
        <f t="shared" si="17"/>
        <v>3448641</v>
      </c>
      <c r="AD38" s="51">
        <f t="shared" si="17"/>
        <v>3266593.7680000002</v>
      </c>
      <c r="AE38" s="51">
        <f t="shared" si="17"/>
        <v>3104806.1540000001</v>
      </c>
      <c r="AF38" s="51">
        <f t="shared" si="17"/>
        <v>2334750.0179999997</v>
      </c>
      <c r="AG38" s="51">
        <f t="shared" si="17"/>
        <v>2186569.4480000003</v>
      </c>
      <c r="AH38" s="51">
        <f t="shared" si="17"/>
        <v>2406356.6159999999</v>
      </c>
      <c r="AI38" s="51">
        <f t="shared" si="17"/>
        <v>2223765.3260000004</v>
      </c>
      <c r="AJ38" s="51">
        <f t="shared" si="17"/>
        <v>0</v>
      </c>
      <c r="AK38" s="51">
        <f t="shared" si="17"/>
        <v>2126242.7819999997</v>
      </c>
      <c r="AL38" s="131">
        <f t="shared" ref="AL38" si="18">SUM(AL40:AL51)</f>
        <v>2319557.3740000003</v>
      </c>
    </row>
    <row r="39" spans="1:38" ht="12.75" customHeight="1">
      <c r="A39" s="6" t="s">
        <v>94</v>
      </c>
    </row>
    <row r="40" spans="1:38" ht="12.75" customHeight="1">
      <c r="A40" s="1" t="s">
        <v>53</v>
      </c>
      <c r="J40" s="126">
        <v>108745.629</v>
      </c>
      <c r="M40" s="1">
        <v>141478.12700000001</v>
      </c>
      <c r="O40" s="1">
        <v>64577.818450000006</v>
      </c>
      <c r="R40" s="18">
        <v>153293.44899999999</v>
      </c>
      <c r="S40" s="1">
        <v>171636.799</v>
      </c>
      <c r="T40" s="1">
        <v>211613.95300000001</v>
      </c>
      <c r="U40" s="1">
        <v>234151.06200000001</v>
      </c>
      <c r="V40" s="1">
        <v>260486.70699999999</v>
      </c>
      <c r="W40" s="126">
        <v>265396.21999999997</v>
      </c>
      <c r="X40" s="126">
        <v>265252.408</v>
      </c>
      <c r="Y40" s="126">
        <v>255786.18299999999</v>
      </c>
      <c r="Z40" s="126">
        <v>296725.79100000003</v>
      </c>
      <c r="AA40" s="126">
        <v>348634.36900000001</v>
      </c>
      <c r="AB40" s="126">
        <v>533031.55799999996</v>
      </c>
      <c r="AC40" s="126">
        <v>636363</v>
      </c>
      <c r="AD40" s="1">
        <v>601778.82700000005</v>
      </c>
      <c r="AE40" s="1">
        <v>575156.44200000004</v>
      </c>
      <c r="AF40" s="1">
        <v>320210.94400000002</v>
      </c>
      <c r="AG40" s="1">
        <v>302362.48300000001</v>
      </c>
      <c r="AH40" s="1">
        <v>458526.01199999999</v>
      </c>
      <c r="AI40" s="1">
        <v>433056.98499999999</v>
      </c>
      <c r="AK40" s="1">
        <v>422993.12</v>
      </c>
      <c r="AL40" s="1">
        <v>457892.71100000001</v>
      </c>
    </row>
    <row r="41" spans="1:38" ht="12.75" customHeight="1">
      <c r="A41" s="1" t="s">
        <v>54</v>
      </c>
      <c r="J41" s="126">
        <v>35561.392999999996</v>
      </c>
      <c r="M41" s="1">
        <v>32945.097999999998</v>
      </c>
      <c r="O41" s="1">
        <v>10297.362999999999</v>
      </c>
      <c r="R41" s="18">
        <v>38305.533000000003</v>
      </c>
      <c r="S41" s="1">
        <v>42185.99</v>
      </c>
      <c r="T41" s="1">
        <v>58753.322</v>
      </c>
      <c r="U41" s="1">
        <v>73004.971000000005</v>
      </c>
      <c r="V41" s="1">
        <v>64728.358999999997</v>
      </c>
      <c r="W41" s="126">
        <v>67338.735000000001</v>
      </c>
      <c r="X41" s="126">
        <v>66446.679999999993</v>
      </c>
      <c r="Y41" s="126">
        <v>61871.317000000003</v>
      </c>
      <c r="Z41" s="126">
        <v>81600.929999999993</v>
      </c>
      <c r="AA41" s="126">
        <v>109010.048</v>
      </c>
      <c r="AB41" s="126">
        <v>208969.34400000001</v>
      </c>
      <c r="AC41" s="126">
        <v>256082</v>
      </c>
      <c r="AD41" s="1">
        <v>252157.087</v>
      </c>
      <c r="AE41" s="1">
        <v>259142.704</v>
      </c>
      <c r="AF41" s="1">
        <v>227389.47</v>
      </c>
      <c r="AG41" s="1">
        <v>200151.408</v>
      </c>
      <c r="AH41" s="1">
        <v>140988.052</v>
      </c>
      <c r="AI41" s="1">
        <v>120938.74400000001</v>
      </c>
      <c r="AK41" s="1">
        <v>134817.63200000001</v>
      </c>
      <c r="AL41" s="1">
        <v>146862.932</v>
      </c>
    </row>
    <row r="42" spans="1:38" ht="12.75" customHeight="1">
      <c r="A42" s="1" t="s">
        <v>55</v>
      </c>
      <c r="J42" s="126">
        <v>47528.247000000003</v>
      </c>
      <c r="M42" s="1">
        <v>46175.250999999997</v>
      </c>
      <c r="O42" s="1">
        <v>15260.868</v>
      </c>
      <c r="R42" s="18">
        <v>50337.093999999997</v>
      </c>
      <c r="S42" s="1">
        <v>61342.266000000003</v>
      </c>
      <c r="T42" s="1">
        <v>73494.436000000002</v>
      </c>
      <c r="U42" s="1">
        <v>115061.88400000001</v>
      </c>
      <c r="V42" s="1">
        <v>124623.735</v>
      </c>
      <c r="W42" s="126">
        <v>129230.29399999999</v>
      </c>
      <c r="X42" s="126">
        <v>124724.514</v>
      </c>
      <c r="Y42" s="126">
        <v>128130.15</v>
      </c>
      <c r="Z42" s="126">
        <v>151696.24799999999</v>
      </c>
      <c r="AA42" s="126">
        <v>177618.78700000001</v>
      </c>
      <c r="AB42" s="126">
        <v>264773.63099999999</v>
      </c>
      <c r="AC42" s="126">
        <v>270937</v>
      </c>
      <c r="AD42" s="1">
        <v>237229.96</v>
      </c>
      <c r="AE42" s="1">
        <v>213020.46799999999</v>
      </c>
      <c r="AF42" s="1">
        <v>182872.891</v>
      </c>
      <c r="AG42" s="1">
        <v>172632.389</v>
      </c>
      <c r="AH42" s="1">
        <v>168507.97700000001</v>
      </c>
      <c r="AI42" s="1">
        <v>156753.73499999999</v>
      </c>
      <c r="AK42" s="1">
        <v>140411.842</v>
      </c>
      <c r="AL42" s="1">
        <v>157973.85500000001</v>
      </c>
    </row>
    <row r="43" spans="1:38" ht="12.75" customHeight="1">
      <c r="A43" s="1" t="s">
        <v>56</v>
      </c>
      <c r="J43" s="126">
        <v>26934.864000000001</v>
      </c>
      <c r="M43" s="1">
        <v>33414.446000000004</v>
      </c>
      <c r="O43" s="1">
        <v>16897.011690000003</v>
      </c>
      <c r="R43" s="18">
        <v>37772.406000000003</v>
      </c>
      <c r="S43" s="1">
        <v>43488.061000000002</v>
      </c>
      <c r="T43" s="1">
        <v>50240.472999999998</v>
      </c>
      <c r="U43" s="1">
        <v>53996.667999999998</v>
      </c>
      <c r="V43" s="1">
        <v>57193.932999999997</v>
      </c>
      <c r="W43" s="126">
        <v>60160.95</v>
      </c>
      <c r="X43" s="126">
        <v>59939.885999999999</v>
      </c>
      <c r="Y43" s="126">
        <v>59341.737000000001</v>
      </c>
      <c r="Z43" s="126">
        <v>68337.633000000002</v>
      </c>
      <c r="AA43" s="126">
        <v>83355.490999999995</v>
      </c>
      <c r="AB43" s="126">
        <v>127966.27499999999</v>
      </c>
      <c r="AC43" s="126">
        <v>158994</v>
      </c>
      <c r="AD43" s="1">
        <v>151497.97200000001</v>
      </c>
      <c r="AE43" s="1">
        <v>149063.91500000001</v>
      </c>
      <c r="AF43" s="1">
        <v>97943.017000000007</v>
      </c>
      <c r="AG43" s="1">
        <v>99229.748000000007</v>
      </c>
      <c r="AH43" s="1">
        <v>118158.821</v>
      </c>
      <c r="AI43" s="1">
        <v>112116.019</v>
      </c>
      <c r="AK43" s="1">
        <v>112636.37699999999</v>
      </c>
      <c r="AL43" s="1">
        <v>125250.49099999999</v>
      </c>
    </row>
    <row r="44" spans="1:38" ht="12.75" customHeight="1">
      <c r="A44" s="1" t="s">
        <v>57</v>
      </c>
      <c r="J44" s="126">
        <v>89401.790999999997</v>
      </c>
      <c r="M44" s="1">
        <v>94883.778999999995</v>
      </c>
      <c r="O44" s="1">
        <v>31387.020210000002</v>
      </c>
      <c r="R44" s="18">
        <v>94176.56</v>
      </c>
      <c r="S44" s="1">
        <v>102828.897</v>
      </c>
      <c r="T44" s="1">
        <v>129016.769</v>
      </c>
      <c r="U44" s="1">
        <v>186218.34400000001</v>
      </c>
      <c r="V44" s="1">
        <v>205072.321</v>
      </c>
      <c r="W44" s="126">
        <v>220013.35399999999</v>
      </c>
      <c r="X44" s="126">
        <v>232111.84700000001</v>
      </c>
      <c r="Y44" s="126">
        <v>260311.45300000001</v>
      </c>
      <c r="Z44" s="126">
        <v>260664.38699999999</v>
      </c>
      <c r="AA44" s="126">
        <v>327611.19500000001</v>
      </c>
      <c r="AB44" s="126">
        <v>530263.44999999995</v>
      </c>
      <c r="AC44" s="126">
        <v>596290</v>
      </c>
      <c r="AD44" s="1">
        <v>557526.07200000004</v>
      </c>
      <c r="AE44" s="1">
        <v>501447.853</v>
      </c>
      <c r="AF44" s="1">
        <v>434228.20799999998</v>
      </c>
      <c r="AG44" s="1">
        <v>401106.12400000001</v>
      </c>
      <c r="AH44" s="1">
        <v>366222.49699999997</v>
      </c>
      <c r="AI44" s="1">
        <v>325722.86700000003</v>
      </c>
      <c r="AK44" s="1">
        <v>305914.23300000001</v>
      </c>
      <c r="AL44" s="1">
        <v>325735.81599999999</v>
      </c>
    </row>
    <row r="45" spans="1:38" ht="12.75" customHeight="1">
      <c r="A45" s="1" t="s">
        <v>58</v>
      </c>
      <c r="J45" s="126">
        <v>53814.387999999999</v>
      </c>
      <c r="M45" s="1">
        <v>61333.974000000002</v>
      </c>
      <c r="O45" s="1">
        <v>26405.186510000003</v>
      </c>
      <c r="R45" s="18">
        <v>69756.906000000003</v>
      </c>
      <c r="S45" s="1">
        <v>80500.721999999994</v>
      </c>
      <c r="T45" s="1">
        <v>92934.411999999997</v>
      </c>
      <c r="U45" s="1">
        <v>107347.192</v>
      </c>
      <c r="V45" s="1">
        <v>113100.37300000001</v>
      </c>
      <c r="W45" s="126">
        <v>111193.399</v>
      </c>
      <c r="X45" s="126">
        <v>107977.344</v>
      </c>
      <c r="Y45" s="126">
        <v>115783.18</v>
      </c>
      <c r="Z45" s="126">
        <v>130704.18399999999</v>
      </c>
      <c r="AA45" s="126">
        <v>151719.39499999999</v>
      </c>
      <c r="AB45" s="126">
        <v>254088.24799999999</v>
      </c>
      <c r="AC45" s="126">
        <v>296990</v>
      </c>
      <c r="AD45" s="1">
        <v>275014.00099999999</v>
      </c>
      <c r="AE45" s="1">
        <v>272029.57</v>
      </c>
      <c r="AF45" s="1">
        <v>199436.29800000001</v>
      </c>
      <c r="AG45" s="1">
        <v>193042.96400000001</v>
      </c>
      <c r="AH45" s="1">
        <v>229592.41899999999</v>
      </c>
      <c r="AI45" s="1">
        <v>213628.94899999999</v>
      </c>
      <c r="AK45" s="1">
        <v>198386.576</v>
      </c>
      <c r="AL45" s="1">
        <v>228185.51</v>
      </c>
    </row>
    <row r="46" spans="1:38" ht="12.75" customHeight="1">
      <c r="A46" s="1" t="s">
        <v>59</v>
      </c>
      <c r="J46" s="126">
        <v>33433.639000000003</v>
      </c>
      <c r="M46" s="1">
        <v>18863.377</v>
      </c>
      <c r="O46" s="1">
        <v>18215.952000000001</v>
      </c>
      <c r="R46" s="18">
        <v>31666.221000000001</v>
      </c>
      <c r="S46" s="1">
        <v>40248.714999999997</v>
      </c>
      <c r="T46" s="1">
        <v>40686.989000000001</v>
      </c>
      <c r="U46" s="1">
        <v>45440.88</v>
      </c>
      <c r="V46" s="1">
        <v>51008.773999999998</v>
      </c>
      <c r="W46" s="126">
        <v>54154.237999999998</v>
      </c>
      <c r="X46" s="126">
        <v>56148.769</v>
      </c>
      <c r="Y46" s="126">
        <v>59571.182000000001</v>
      </c>
      <c r="Z46" s="126">
        <v>68776.362999999998</v>
      </c>
      <c r="AA46" s="126">
        <v>87302.46</v>
      </c>
      <c r="AB46" s="126">
        <v>139355.11499999999</v>
      </c>
      <c r="AC46" s="126">
        <v>251853</v>
      </c>
      <c r="AD46" s="1">
        <v>255054.29300000001</v>
      </c>
      <c r="AE46" s="1">
        <v>233996.55300000001</v>
      </c>
      <c r="AF46" s="1">
        <v>260432.06099999999</v>
      </c>
      <c r="AG46" s="1">
        <v>238385.97399999999</v>
      </c>
      <c r="AH46" s="1">
        <v>208091.91200000001</v>
      </c>
      <c r="AI46" s="1">
        <v>197278.50700000001</v>
      </c>
      <c r="AK46" s="1">
        <v>180908.861</v>
      </c>
      <c r="AL46" s="1">
        <v>198991.84</v>
      </c>
    </row>
    <row r="47" spans="1:38" ht="12.75" customHeight="1">
      <c r="A47" s="1" t="s">
        <v>60</v>
      </c>
      <c r="J47" s="126">
        <v>12744.531999999999</v>
      </c>
      <c r="M47" s="1">
        <v>12609.706</v>
      </c>
      <c r="O47" s="1">
        <v>9970.2690000000002</v>
      </c>
      <c r="R47" s="24">
        <v>26968.14</v>
      </c>
      <c r="S47" s="1">
        <v>28305.882000000001</v>
      </c>
      <c r="T47" s="1">
        <v>32263.309000000001</v>
      </c>
      <c r="U47" s="1">
        <v>29960.296999999999</v>
      </c>
      <c r="V47" s="1">
        <v>35386.080000000002</v>
      </c>
      <c r="W47" s="126">
        <v>31200.478999999999</v>
      </c>
      <c r="X47" s="126">
        <v>31465.998</v>
      </c>
      <c r="Y47" s="126">
        <v>33618.775000000001</v>
      </c>
      <c r="Z47" s="126">
        <v>35778.856</v>
      </c>
      <c r="AA47" s="126">
        <v>45188.91</v>
      </c>
      <c r="AB47" s="126">
        <v>73111.616999999998</v>
      </c>
      <c r="AC47" s="126">
        <v>86642</v>
      </c>
      <c r="AD47" s="1">
        <v>89130.559999999998</v>
      </c>
      <c r="AE47" s="1">
        <v>79464.813999999998</v>
      </c>
      <c r="AF47" s="1">
        <v>63447.284</v>
      </c>
      <c r="AG47" s="1">
        <v>61664.27</v>
      </c>
      <c r="AH47" s="1">
        <v>61959.16</v>
      </c>
      <c r="AI47" s="1">
        <v>59696.62</v>
      </c>
      <c r="AK47" s="1">
        <v>59328.245000000003</v>
      </c>
      <c r="AL47" s="1">
        <v>66139.489000000001</v>
      </c>
    </row>
    <row r="48" spans="1:38" ht="12.75" customHeight="1">
      <c r="A48" s="1" t="s">
        <v>61</v>
      </c>
      <c r="J48" s="126">
        <v>14169.52</v>
      </c>
      <c r="M48" s="1">
        <v>11092.477999999999</v>
      </c>
      <c r="O48" s="1">
        <v>5481.9861799999999</v>
      </c>
      <c r="R48" s="18">
        <v>20593.184000000001</v>
      </c>
      <c r="S48" s="1">
        <v>19608.973999999998</v>
      </c>
      <c r="T48" s="1">
        <v>15429.111999999999</v>
      </c>
      <c r="U48" s="1">
        <v>19688.571</v>
      </c>
      <c r="V48" s="1">
        <v>14672.201999999999</v>
      </c>
      <c r="W48" s="126">
        <v>20789.692999999999</v>
      </c>
      <c r="X48" s="126">
        <v>19747.133000000002</v>
      </c>
      <c r="Y48" s="126">
        <v>18803.990000000002</v>
      </c>
      <c r="Z48" s="126">
        <v>16677.821</v>
      </c>
      <c r="AA48" s="126">
        <v>30908.067999999999</v>
      </c>
      <c r="AB48" s="126">
        <v>43771.796999999999</v>
      </c>
      <c r="AC48" s="126">
        <v>42167</v>
      </c>
      <c r="AD48" s="1">
        <v>42468.627999999997</v>
      </c>
      <c r="AE48" s="1">
        <v>36237.196000000004</v>
      </c>
      <c r="AF48" s="1">
        <v>43046.73</v>
      </c>
      <c r="AG48" s="1">
        <v>45472.963000000003</v>
      </c>
      <c r="AH48" s="1">
        <v>44415.21</v>
      </c>
      <c r="AI48" s="1">
        <v>40306.214999999997</v>
      </c>
      <c r="AK48" s="1">
        <v>33684.656999999999</v>
      </c>
      <c r="AL48" s="1">
        <v>35417.014999999999</v>
      </c>
    </row>
    <row r="49" spans="1:38" ht="12.75" customHeight="1">
      <c r="A49" s="1" t="s">
        <v>62</v>
      </c>
      <c r="J49" s="126">
        <v>65473.47</v>
      </c>
      <c r="M49" s="1">
        <v>72457.665999999997</v>
      </c>
      <c r="O49" s="1">
        <v>20247.008000000002</v>
      </c>
      <c r="R49" s="18">
        <v>92924.868000000002</v>
      </c>
      <c r="S49" s="1">
        <v>109554.97500000001</v>
      </c>
      <c r="T49" s="1">
        <v>117348.155</v>
      </c>
      <c r="U49" s="1">
        <v>146452.17499999999</v>
      </c>
      <c r="V49" s="1">
        <v>158664.55900000001</v>
      </c>
      <c r="W49" s="126">
        <v>165306.71900000001</v>
      </c>
      <c r="X49" s="126">
        <v>174145.66500000001</v>
      </c>
      <c r="Y49" s="126">
        <v>190185.057</v>
      </c>
      <c r="Z49" s="126">
        <v>212725.21299999999</v>
      </c>
      <c r="AA49" s="126">
        <v>303439.68199999997</v>
      </c>
      <c r="AB49" s="126">
        <v>493106.88799999998</v>
      </c>
      <c r="AC49" s="126">
        <v>557766</v>
      </c>
      <c r="AD49" s="1">
        <v>517765.65</v>
      </c>
      <c r="AE49" s="1">
        <v>474547.41800000001</v>
      </c>
      <c r="AF49" s="1">
        <v>389505.60600000003</v>
      </c>
      <c r="AG49" s="1">
        <v>357139.87300000002</v>
      </c>
      <c r="AH49" s="1">
        <v>338957.18300000002</v>
      </c>
      <c r="AI49" s="1">
        <v>317249.70799999998</v>
      </c>
      <c r="AK49" s="1">
        <v>316906.565</v>
      </c>
      <c r="AL49" s="1">
        <v>348153.18599999999</v>
      </c>
    </row>
    <row r="50" spans="1:38" ht="12.75" customHeight="1">
      <c r="A50" s="1" t="s">
        <v>63</v>
      </c>
      <c r="J50" s="126">
        <v>1188.24</v>
      </c>
      <c r="M50" s="1">
        <v>837.29899999999998</v>
      </c>
      <c r="O50" s="1">
        <v>3280.9102699999999</v>
      </c>
      <c r="R50" s="18">
        <v>6559.3590000000004</v>
      </c>
      <c r="S50" s="1">
        <v>7073.3040000000001</v>
      </c>
      <c r="T50" s="1">
        <v>5530.8829999999998</v>
      </c>
      <c r="U50" s="1">
        <v>3852.703</v>
      </c>
      <c r="V50" s="1">
        <v>8819.5570000000007</v>
      </c>
      <c r="W50" s="126">
        <v>6903.5249999999996</v>
      </c>
      <c r="X50" s="126">
        <v>3618.373</v>
      </c>
      <c r="Y50" s="126">
        <v>7960.2020000000002</v>
      </c>
      <c r="Z50" s="126">
        <v>13427.683999999999</v>
      </c>
      <c r="AA50" s="126">
        <v>42421.470999999998</v>
      </c>
      <c r="AB50" s="126">
        <v>23319.271000000001</v>
      </c>
      <c r="AC50" s="126">
        <v>22946</v>
      </c>
      <c r="AD50" s="1">
        <v>21863.14</v>
      </c>
      <c r="AE50" s="1">
        <v>47736.409</v>
      </c>
      <c r="AF50" s="1">
        <v>48762.307000000001</v>
      </c>
      <c r="AG50" s="1">
        <v>50514.423999999999</v>
      </c>
      <c r="AH50" s="1">
        <v>45961.565000000002</v>
      </c>
      <c r="AI50" s="1">
        <v>43627.048000000003</v>
      </c>
      <c r="AK50" s="1">
        <v>43535.754999999997</v>
      </c>
      <c r="AL50" s="1">
        <v>46651.724999999999</v>
      </c>
    </row>
    <row r="51" spans="1:38" ht="12.75" customHeight="1">
      <c r="A51" s="27" t="s">
        <v>64</v>
      </c>
      <c r="B51" s="27"/>
      <c r="C51" s="27"/>
      <c r="D51" s="27"/>
      <c r="E51" s="27"/>
      <c r="F51" s="27"/>
      <c r="G51" s="27"/>
      <c r="H51" s="27"/>
      <c r="I51" s="27"/>
      <c r="J51" s="127">
        <v>57748.377999999997</v>
      </c>
      <c r="K51" s="27"/>
      <c r="L51" s="27"/>
      <c r="M51" s="27">
        <v>60373.512000000002</v>
      </c>
      <c r="N51" s="27"/>
      <c r="O51" s="27">
        <v>31775.668000000001</v>
      </c>
      <c r="P51" s="27"/>
      <c r="Q51" s="27"/>
      <c r="R51" s="37">
        <v>67666.692999999999</v>
      </c>
      <c r="S51" s="27">
        <v>74231.675000000003</v>
      </c>
      <c r="T51" s="27">
        <v>90625.414000000004</v>
      </c>
      <c r="U51" s="27">
        <v>112096.243</v>
      </c>
      <c r="V51" s="27">
        <v>133548.35800000001</v>
      </c>
      <c r="W51" s="127">
        <v>128764.875</v>
      </c>
      <c r="X51" s="127">
        <v>122961.121</v>
      </c>
      <c r="Y51" s="127">
        <v>119875.50199999999</v>
      </c>
      <c r="Z51" s="127">
        <v>126899.44899999999</v>
      </c>
      <c r="AA51" s="127">
        <v>146519.658</v>
      </c>
      <c r="AB51" s="127">
        <v>219820.27799999999</v>
      </c>
      <c r="AC51" s="127">
        <v>271611</v>
      </c>
      <c r="AD51" s="27">
        <v>265107.57799999998</v>
      </c>
      <c r="AE51" s="27">
        <v>262962.81199999998</v>
      </c>
      <c r="AF51" s="27">
        <v>67475.202000000005</v>
      </c>
      <c r="AG51" s="27">
        <v>64866.828000000001</v>
      </c>
      <c r="AH51" s="27">
        <v>224975.80799999999</v>
      </c>
      <c r="AI51" s="27">
        <v>203389.929</v>
      </c>
      <c r="AJ51" s="27"/>
      <c r="AK51" s="1">
        <v>176718.91899999999</v>
      </c>
      <c r="AL51" s="1">
        <v>182302.804</v>
      </c>
    </row>
    <row r="52" spans="1:38" ht="12.75" customHeight="1">
      <c r="A52" s="6" t="s">
        <v>65</v>
      </c>
      <c r="B52" s="51">
        <f>SUM(B54:B62)</f>
        <v>0</v>
      </c>
      <c r="C52" s="51">
        <f t="shared" ref="C52:AK52" si="19">SUM(C54:C62)</f>
        <v>0</v>
      </c>
      <c r="D52" s="51">
        <f t="shared" si="19"/>
        <v>0</v>
      </c>
      <c r="E52" s="51">
        <f t="shared" si="19"/>
        <v>0</v>
      </c>
      <c r="F52" s="51">
        <f t="shared" si="19"/>
        <v>0</v>
      </c>
      <c r="G52" s="51">
        <f t="shared" si="19"/>
        <v>0</v>
      </c>
      <c r="H52" s="51">
        <f t="shared" si="19"/>
        <v>0</v>
      </c>
      <c r="I52" s="51">
        <f t="shared" si="19"/>
        <v>0</v>
      </c>
      <c r="J52" s="51">
        <f t="shared" si="19"/>
        <v>288301.92800000001</v>
      </c>
      <c r="K52" s="51">
        <f t="shared" si="19"/>
        <v>0</v>
      </c>
      <c r="L52" s="51">
        <f t="shared" si="19"/>
        <v>0</v>
      </c>
      <c r="M52" s="51">
        <f t="shared" si="19"/>
        <v>369624.92000000004</v>
      </c>
      <c r="N52" s="51">
        <f t="shared" si="19"/>
        <v>0</v>
      </c>
      <c r="O52" s="51">
        <f t="shared" si="19"/>
        <v>113018.67151999999</v>
      </c>
      <c r="P52" s="51">
        <f t="shared" si="19"/>
        <v>0</v>
      </c>
      <c r="Q52" s="51">
        <f t="shared" si="19"/>
        <v>0</v>
      </c>
      <c r="R52" s="51">
        <f t="shared" si="19"/>
        <v>419654.64500000002</v>
      </c>
      <c r="S52" s="51">
        <f t="shared" si="19"/>
        <v>476937.66100000002</v>
      </c>
      <c r="T52" s="51">
        <f t="shared" si="19"/>
        <v>582740.60499999998</v>
      </c>
      <c r="U52" s="51">
        <f t="shared" si="19"/>
        <v>667843.43700000003</v>
      </c>
      <c r="V52" s="51">
        <f t="shared" si="19"/>
        <v>720006.12800000003</v>
      </c>
      <c r="W52" s="51">
        <f t="shared" si="19"/>
        <v>728824.80599999998</v>
      </c>
      <c r="X52" s="51">
        <f t="shared" si="19"/>
        <v>712376.78200000001</v>
      </c>
      <c r="Y52" s="51">
        <f t="shared" si="19"/>
        <v>716990.73499999987</v>
      </c>
      <c r="Z52" s="51">
        <f t="shared" si="19"/>
        <v>831168.83699999982</v>
      </c>
      <c r="AA52" s="51">
        <f t="shared" si="19"/>
        <v>1018080.75</v>
      </c>
      <c r="AB52" s="51">
        <f t="shared" si="19"/>
        <v>1533800.47</v>
      </c>
      <c r="AC52" s="51">
        <f t="shared" si="19"/>
        <v>1758449</v>
      </c>
      <c r="AD52" s="51">
        <f t="shared" si="19"/>
        <v>1767035.344</v>
      </c>
      <c r="AE52" s="51">
        <f t="shared" si="19"/>
        <v>1784282.673</v>
      </c>
      <c r="AF52" s="51">
        <f t="shared" si="19"/>
        <v>1777880.9790000001</v>
      </c>
      <c r="AG52" s="51">
        <f t="shared" si="19"/>
        <v>1744527.051</v>
      </c>
      <c r="AH52" s="51">
        <f t="shared" si="19"/>
        <v>1620140.2450000001</v>
      </c>
      <c r="AI52" s="51">
        <f t="shared" si="19"/>
        <v>1507150.1950000003</v>
      </c>
      <c r="AJ52" s="51">
        <f t="shared" si="19"/>
        <v>0</v>
      </c>
      <c r="AK52" s="131">
        <f t="shared" si="19"/>
        <v>1486977.4039999999</v>
      </c>
      <c r="AL52" s="131">
        <f t="shared" ref="AL52" si="20">SUM(AL54:AL62)</f>
        <v>1633973.7959999999</v>
      </c>
    </row>
    <row r="53" spans="1:38" ht="12.75" customHeight="1">
      <c r="A53" s="6" t="s">
        <v>94</v>
      </c>
    </row>
    <row r="54" spans="1:38" ht="12.75" customHeight="1">
      <c r="A54" s="1" t="s">
        <v>66</v>
      </c>
      <c r="J54" s="126">
        <v>10264.675999999999</v>
      </c>
      <c r="M54" s="1">
        <v>14054.753000000001</v>
      </c>
      <c r="O54" s="1">
        <v>5006.9486500000003</v>
      </c>
      <c r="R54" s="18">
        <v>16184.822</v>
      </c>
      <c r="S54" s="1">
        <v>17803.487000000001</v>
      </c>
      <c r="T54" s="1">
        <v>21433.946</v>
      </c>
      <c r="U54" s="1">
        <v>25389.010999999999</v>
      </c>
      <c r="V54" s="1">
        <v>28923.487000000001</v>
      </c>
      <c r="W54" s="126">
        <v>29133.276999999998</v>
      </c>
      <c r="X54" s="126">
        <v>30416.306</v>
      </c>
      <c r="Y54" s="126">
        <v>31055.965</v>
      </c>
      <c r="Z54" s="126">
        <v>36893.898000000001</v>
      </c>
      <c r="AA54" s="126">
        <v>46730.79</v>
      </c>
      <c r="AB54" s="126">
        <v>71256.964000000007</v>
      </c>
      <c r="AC54" s="126">
        <v>85079</v>
      </c>
      <c r="AD54" s="1">
        <v>87284.282000000007</v>
      </c>
      <c r="AE54" s="1">
        <v>91936.243000000002</v>
      </c>
      <c r="AF54" s="1">
        <v>94744.274000000005</v>
      </c>
      <c r="AG54" s="1">
        <v>97636.256999999998</v>
      </c>
      <c r="AH54" s="1">
        <v>93452.87</v>
      </c>
      <c r="AI54" s="1">
        <v>90736.887000000002</v>
      </c>
      <c r="AK54" s="1">
        <v>89085.948000000004</v>
      </c>
      <c r="AL54" s="1">
        <v>96205.520999999993</v>
      </c>
    </row>
    <row r="55" spans="1:38" ht="12.75" customHeight="1">
      <c r="A55" s="1" t="s">
        <v>67</v>
      </c>
      <c r="J55" s="126">
        <v>5033.4430000000002</v>
      </c>
      <c r="M55" s="1">
        <v>6197.9849999999997</v>
      </c>
      <c r="O55" s="1">
        <v>3239.703</v>
      </c>
      <c r="R55" s="18">
        <v>7820.6279999999997</v>
      </c>
      <c r="S55" s="1">
        <v>8780.66</v>
      </c>
      <c r="T55" s="1">
        <v>11276.043</v>
      </c>
      <c r="U55" s="1">
        <v>13682.234</v>
      </c>
      <c r="V55" s="1">
        <v>15419.95</v>
      </c>
      <c r="W55" s="126">
        <v>15830.97</v>
      </c>
      <c r="X55" s="126">
        <v>15527.213</v>
      </c>
      <c r="Y55" s="126">
        <v>16334.790999999999</v>
      </c>
      <c r="Z55" s="126">
        <v>18278.772000000001</v>
      </c>
      <c r="AA55" s="126">
        <v>21886.534</v>
      </c>
      <c r="AB55" s="126">
        <v>36944.514000000003</v>
      </c>
      <c r="AC55" s="126">
        <v>45114</v>
      </c>
      <c r="AD55" s="1">
        <v>44075.071000000004</v>
      </c>
      <c r="AE55" s="1">
        <v>44490.646999999997</v>
      </c>
      <c r="AF55" s="1">
        <v>44015.934000000001</v>
      </c>
      <c r="AG55" s="1">
        <v>46485.976000000002</v>
      </c>
      <c r="AH55" s="1">
        <v>40441.519999999997</v>
      </c>
      <c r="AI55" s="1">
        <v>36886.375999999997</v>
      </c>
      <c r="AK55" s="1">
        <v>38425.43</v>
      </c>
      <c r="AL55" s="1">
        <v>40443.580999999998</v>
      </c>
    </row>
    <row r="56" spans="1:38" ht="12.75" customHeight="1">
      <c r="A56" s="1" t="s">
        <v>68</v>
      </c>
      <c r="J56" s="126">
        <v>39644.953999999998</v>
      </c>
      <c r="M56" s="1">
        <v>51605.46</v>
      </c>
      <c r="O56" s="1">
        <v>17789.949000000001</v>
      </c>
      <c r="R56" s="18">
        <v>57727.637000000002</v>
      </c>
      <c r="S56" s="1">
        <v>58585.400999999998</v>
      </c>
      <c r="T56" s="1">
        <v>75259.856</v>
      </c>
      <c r="U56" s="1">
        <v>80962.982999999993</v>
      </c>
      <c r="V56" s="1">
        <v>84830.415999999997</v>
      </c>
      <c r="W56" s="126">
        <v>87873.442999999999</v>
      </c>
      <c r="X56" s="126">
        <v>84493.426000000007</v>
      </c>
      <c r="Y56" s="126">
        <v>81605.72</v>
      </c>
      <c r="Z56" s="126">
        <v>90898.232999999993</v>
      </c>
      <c r="AA56" s="126">
        <v>121670.48</v>
      </c>
      <c r="AB56" s="126">
        <v>202661.995</v>
      </c>
      <c r="AC56" s="126">
        <v>201282</v>
      </c>
      <c r="AD56" s="1">
        <v>213178.93</v>
      </c>
      <c r="AE56" s="1">
        <v>212919.035</v>
      </c>
      <c r="AF56" s="1">
        <v>218891.62899999999</v>
      </c>
      <c r="AG56" s="1">
        <v>210022.796</v>
      </c>
      <c r="AH56" s="1">
        <v>196140.772</v>
      </c>
      <c r="AI56" s="1">
        <v>185411.66399999999</v>
      </c>
      <c r="AK56" s="1">
        <v>171117.584</v>
      </c>
      <c r="AL56" s="1">
        <v>185519.09299999999</v>
      </c>
    </row>
    <row r="57" spans="1:38" ht="12.75" customHeight="1">
      <c r="A57" s="1" t="s">
        <v>69</v>
      </c>
      <c r="J57" s="126">
        <v>4076.62</v>
      </c>
      <c r="M57" s="1">
        <v>5570.6790000000001</v>
      </c>
      <c r="O57" s="1">
        <v>2525.16887</v>
      </c>
      <c r="R57" s="24">
        <v>4615.0230000000001</v>
      </c>
      <c r="S57" s="1">
        <v>5193.4520000000002</v>
      </c>
      <c r="T57" s="1">
        <v>6276.1130000000003</v>
      </c>
      <c r="U57" s="1">
        <v>7276.7809999999999</v>
      </c>
      <c r="V57" s="1">
        <v>0</v>
      </c>
      <c r="W57" s="126">
        <v>0</v>
      </c>
      <c r="X57" s="126">
        <v>0</v>
      </c>
      <c r="Y57" s="126">
        <v>8745.0640000000003</v>
      </c>
      <c r="Z57" s="126">
        <v>9583.5110000000004</v>
      </c>
      <c r="AA57" s="126">
        <v>10521.661</v>
      </c>
      <c r="AB57" s="126">
        <v>17484.102999999999</v>
      </c>
      <c r="AC57" s="126">
        <v>19561</v>
      </c>
      <c r="AD57" s="1">
        <v>19509.253000000001</v>
      </c>
      <c r="AE57" s="1">
        <v>24331.608</v>
      </c>
      <c r="AF57" s="1">
        <v>22656.01</v>
      </c>
      <c r="AG57" s="1">
        <v>25553.472000000002</v>
      </c>
      <c r="AH57" s="1">
        <v>27231.234</v>
      </c>
      <c r="AI57" s="1">
        <v>18496.965</v>
      </c>
      <c r="AK57" s="1">
        <v>16511.524000000001</v>
      </c>
      <c r="AL57" s="1">
        <v>20644.023000000001</v>
      </c>
    </row>
    <row r="58" spans="1:38" ht="12.75" customHeight="1">
      <c r="A58" s="1" t="s">
        <v>70</v>
      </c>
      <c r="J58" s="126">
        <v>39966.341999999997</v>
      </c>
      <c r="M58" s="1">
        <v>58491.336000000003</v>
      </c>
      <c r="O58" s="1">
        <v>18535.965</v>
      </c>
      <c r="R58" s="24">
        <v>69980.399999999994</v>
      </c>
      <c r="S58" s="1">
        <v>77255.032999999996</v>
      </c>
      <c r="T58" s="1">
        <v>97060.202000000005</v>
      </c>
      <c r="U58" s="1">
        <v>117726.683</v>
      </c>
      <c r="V58" s="1">
        <v>128064.79300000001</v>
      </c>
      <c r="W58" s="126">
        <v>136091.27299999999</v>
      </c>
      <c r="X58" s="126">
        <v>134058.32800000001</v>
      </c>
      <c r="Y58" s="126">
        <v>136919.639</v>
      </c>
      <c r="Z58" s="126">
        <v>172970.215</v>
      </c>
      <c r="AA58" s="126">
        <v>201504.30499999999</v>
      </c>
      <c r="AB58" s="126">
        <v>298458.52500000002</v>
      </c>
      <c r="AC58" s="126">
        <v>333938</v>
      </c>
      <c r="AD58" s="1">
        <v>360332.66399999999</v>
      </c>
      <c r="AE58" s="1">
        <v>344423.848</v>
      </c>
      <c r="AF58" s="1">
        <v>343926.076</v>
      </c>
      <c r="AG58" s="1">
        <v>338567.6</v>
      </c>
      <c r="AH58" s="1">
        <v>313253.16200000001</v>
      </c>
      <c r="AI58" s="1">
        <v>287117.88900000002</v>
      </c>
      <c r="AK58" s="1">
        <v>277473.739</v>
      </c>
      <c r="AL58" s="1">
        <v>308572.636</v>
      </c>
    </row>
    <row r="59" spans="1:38" ht="12.75" customHeight="1">
      <c r="A59" s="1" t="s">
        <v>71</v>
      </c>
      <c r="J59" s="126">
        <v>129435.758</v>
      </c>
      <c r="M59" s="1">
        <v>162039.56099999999</v>
      </c>
      <c r="O59" s="1">
        <v>32557.018</v>
      </c>
      <c r="R59" s="24">
        <v>182201.45</v>
      </c>
      <c r="S59" s="1">
        <v>221437.397</v>
      </c>
      <c r="T59" s="1">
        <v>267432.35499999998</v>
      </c>
      <c r="U59" s="1">
        <v>311416.49</v>
      </c>
      <c r="V59" s="1">
        <v>340052.57500000001</v>
      </c>
      <c r="W59" s="126">
        <v>324755.91899999999</v>
      </c>
      <c r="X59" s="126">
        <v>313247.92099999997</v>
      </c>
      <c r="Y59" s="126">
        <v>309231.15999999997</v>
      </c>
      <c r="Z59" s="126">
        <v>347711.83799999999</v>
      </c>
      <c r="AA59" s="126">
        <v>426442.09399999998</v>
      </c>
      <c r="AB59" s="126">
        <v>620923.61600000004</v>
      </c>
      <c r="AC59" s="126">
        <v>719101</v>
      </c>
      <c r="AD59" s="1">
        <v>723378.29399999999</v>
      </c>
      <c r="AE59" s="1">
        <v>728293.28899999999</v>
      </c>
      <c r="AF59" s="1">
        <v>728458.54200000002</v>
      </c>
      <c r="AG59" s="1">
        <v>712685.55299999996</v>
      </c>
      <c r="AH59" s="1">
        <v>660242.91899999999</v>
      </c>
      <c r="AI59" s="1">
        <v>615351.55000000005</v>
      </c>
      <c r="AK59" s="1">
        <v>623939.59600000002</v>
      </c>
      <c r="AL59" s="1">
        <v>676456.86899999995</v>
      </c>
    </row>
    <row r="60" spans="1:38" ht="12.75" customHeight="1">
      <c r="A60" s="1" t="s">
        <v>72</v>
      </c>
      <c r="J60" s="126">
        <v>50450.07</v>
      </c>
      <c r="M60" s="1">
        <v>61788.220999999998</v>
      </c>
      <c r="O60" s="1">
        <v>30343.878000000001</v>
      </c>
      <c r="R60" s="18">
        <v>71544.123000000007</v>
      </c>
      <c r="S60" s="1">
        <v>76972.724000000002</v>
      </c>
      <c r="T60" s="1">
        <v>91081.286999999997</v>
      </c>
      <c r="U60" s="1">
        <v>97004.771999999997</v>
      </c>
      <c r="V60" s="1">
        <v>106944.3</v>
      </c>
      <c r="W60" s="126">
        <v>119075.689</v>
      </c>
      <c r="X60" s="126">
        <v>118639.338</v>
      </c>
      <c r="Y60" s="126">
        <v>116425.48699999999</v>
      </c>
      <c r="Z60" s="126">
        <v>135282.32800000001</v>
      </c>
      <c r="AA60" s="126">
        <v>162820.60500000001</v>
      </c>
      <c r="AB60" s="126">
        <v>255278.758</v>
      </c>
      <c r="AC60" s="126">
        <v>315201</v>
      </c>
      <c r="AD60" s="1">
        <v>277307.23100000003</v>
      </c>
      <c r="AE60" s="1">
        <v>287621.23700000002</v>
      </c>
      <c r="AF60" s="1">
        <v>274341.016</v>
      </c>
      <c r="AG60" s="1">
        <v>265630.79399999999</v>
      </c>
      <c r="AH60" s="1">
        <v>250718.16800000001</v>
      </c>
      <c r="AI60" s="1">
        <v>237559.402</v>
      </c>
      <c r="AK60" s="1">
        <v>233556.99</v>
      </c>
      <c r="AL60" s="1">
        <v>261818.522</v>
      </c>
    </row>
    <row r="61" spans="1:38" ht="12.75" customHeight="1">
      <c r="A61" s="1" t="s">
        <v>73</v>
      </c>
      <c r="J61" s="126">
        <v>6598.8990000000003</v>
      </c>
      <c r="M61" s="1">
        <v>6671.7370000000001</v>
      </c>
      <c r="O61" s="1">
        <v>1838.86</v>
      </c>
      <c r="R61" s="18">
        <v>5593.0879999999997</v>
      </c>
      <c r="S61" s="1">
        <v>6579.6289999999999</v>
      </c>
      <c r="T61" s="1">
        <v>8229.1759999999995</v>
      </c>
      <c r="U61" s="1">
        <v>8954.9750000000004</v>
      </c>
      <c r="V61" s="1">
        <v>9828.7469999999994</v>
      </c>
      <c r="W61" s="126">
        <v>10164.322</v>
      </c>
      <c r="X61" s="126">
        <v>10325.912</v>
      </c>
      <c r="Y61" s="126">
        <v>10862.552</v>
      </c>
      <c r="Z61" s="126">
        <v>13085.298000000001</v>
      </c>
      <c r="AA61" s="126">
        <v>16179.468000000001</v>
      </c>
      <c r="AB61" s="126">
        <v>20706.005000000001</v>
      </c>
      <c r="AC61" s="126">
        <v>26211</v>
      </c>
      <c r="AD61" s="1">
        <v>29954.138999999999</v>
      </c>
      <c r="AE61" s="1">
        <v>31209.245999999999</v>
      </c>
      <c r="AF61" s="1">
        <v>33039.476000000002</v>
      </c>
      <c r="AG61" s="1">
        <v>31838.851999999999</v>
      </c>
      <c r="AH61" s="1">
        <v>29155.715</v>
      </c>
      <c r="AI61" s="1">
        <v>26670.886999999999</v>
      </c>
      <c r="AK61" s="1">
        <v>28233.534</v>
      </c>
      <c r="AL61" s="1">
        <v>34405.305999999997</v>
      </c>
    </row>
    <row r="62" spans="1:38" ht="12.75" customHeight="1">
      <c r="A62" s="27" t="s">
        <v>74</v>
      </c>
      <c r="B62" s="27"/>
      <c r="C62" s="27"/>
      <c r="D62" s="27"/>
      <c r="E62" s="27"/>
      <c r="F62" s="27"/>
      <c r="G62" s="27"/>
      <c r="H62" s="27"/>
      <c r="I62" s="27"/>
      <c r="J62" s="127">
        <v>2831.1660000000002</v>
      </c>
      <c r="K62" s="27"/>
      <c r="L62" s="27"/>
      <c r="M62" s="27">
        <v>3205.1880000000001</v>
      </c>
      <c r="N62" s="27"/>
      <c r="O62" s="27">
        <v>1181.181</v>
      </c>
      <c r="P62" s="27"/>
      <c r="Q62" s="27"/>
      <c r="R62" s="37">
        <v>3987.4740000000002</v>
      </c>
      <c r="S62" s="27">
        <v>4329.8779999999997</v>
      </c>
      <c r="T62" s="27">
        <v>4691.6270000000004</v>
      </c>
      <c r="U62" s="27">
        <v>5429.5079999999998</v>
      </c>
      <c r="V62" s="27">
        <v>5941.86</v>
      </c>
      <c r="W62" s="127">
        <v>5899.9129999999996</v>
      </c>
      <c r="X62" s="127">
        <v>5668.3379999999997</v>
      </c>
      <c r="Y62" s="127">
        <v>5810.357</v>
      </c>
      <c r="Z62" s="127">
        <v>6464.7439999999997</v>
      </c>
      <c r="AA62" s="127">
        <v>10324.813</v>
      </c>
      <c r="AB62" s="127">
        <v>10085.99</v>
      </c>
      <c r="AC62" s="127">
        <v>12962</v>
      </c>
      <c r="AD62" s="1">
        <v>12015.48</v>
      </c>
      <c r="AE62" s="1">
        <v>19057.52</v>
      </c>
      <c r="AF62" s="27">
        <v>17808.022000000001</v>
      </c>
      <c r="AG62" s="27">
        <v>16105.751</v>
      </c>
      <c r="AH62" s="27">
        <v>9503.8850000000002</v>
      </c>
      <c r="AI62" s="27">
        <v>8918.5750000000007</v>
      </c>
      <c r="AJ62" s="27"/>
      <c r="AK62" s="27">
        <v>8633.0589999999993</v>
      </c>
      <c r="AL62" s="1">
        <v>9908.2450000000008</v>
      </c>
    </row>
    <row r="63" spans="1:38">
      <c r="A63" s="49" t="s">
        <v>75</v>
      </c>
      <c r="B63" s="46"/>
      <c r="C63" s="46"/>
      <c r="D63" s="46"/>
      <c r="E63" s="46"/>
      <c r="F63" s="46"/>
      <c r="G63" s="46"/>
      <c r="H63" s="46"/>
      <c r="I63" s="46"/>
      <c r="J63" s="128">
        <v>0</v>
      </c>
      <c r="K63" s="46"/>
      <c r="L63" s="46"/>
      <c r="M63" s="46">
        <v>0</v>
      </c>
      <c r="N63" s="46"/>
      <c r="O63" s="46">
        <v>0</v>
      </c>
      <c r="P63" s="46"/>
      <c r="Q63" s="46"/>
      <c r="R63" s="47"/>
      <c r="S63" s="46">
        <v>0</v>
      </c>
      <c r="T63" s="46">
        <v>0</v>
      </c>
      <c r="U63" s="46">
        <v>0</v>
      </c>
      <c r="V63" s="46">
        <v>0</v>
      </c>
      <c r="W63" s="128">
        <v>0</v>
      </c>
      <c r="X63" s="128">
        <v>0</v>
      </c>
      <c r="Y63" s="128">
        <v>0</v>
      </c>
      <c r="Z63" s="128">
        <v>0</v>
      </c>
      <c r="AA63" s="128">
        <v>0</v>
      </c>
      <c r="AB63" s="128">
        <v>0</v>
      </c>
      <c r="AC63" s="128">
        <v>0</v>
      </c>
      <c r="AD63" s="128">
        <v>0</v>
      </c>
      <c r="AE63" s="128">
        <v>0</v>
      </c>
      <c r="AF63" s="27">
        <v>0</v>
      </c>
      <c r="AG63" s="27">
        <v>0</v>
      </c>
      <c r="AH63" s="27"/>
      <c r="AI63" s="27"/>
      <c r="AJ63" s="27"/>
      <c r="AK63" s="27"/>
      <c r="AL63" s="130"/>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10" ht="9.9499999999999993" customHeight="1"/>
    <row r="82" spans="2:210" ht="9.9499999999999993" customHeight="1">
      <c r="GT82" s="4"/>
      <c r="GU82" s="4"/>
      <c r="GV82" s="4"/>
      <c r="GW82" s="4"/>
      <c r="GX82" s="4"/>
      <c r="GY82" s="4"/>
      <c r="GZ82" s="4"/>
      <c r="HA82" s="4"/>
      <c r="HB82" s="4"/>
    </row>
    <row r="83" spans="2:210">
      <c r="GR83" s="4"/>
      <c r="GS83" s="4"/>
      <c r="GT83" s="4"/>
      <c r="GU83" s="4"/>
      <c r="GV83" s="4"/>
      <c r="GW83" s="4"/>
      <c r="GX83" s="4"/>
      <c r="GY83" s="4"/>
      <c r="GZ83" s="4"/>
      <c r="HA83" s="4"/>
      <c r="HB83" s="4"/>
    </row>
    <row r="84" spans="2:210">
      <c r="GR84" s="4"/>
      <c r="GS84" s="4"/>
      <c r="GT84" s="4"/>
      <c r="GU84" s="4"/>
      <c r="GV84" s="4"/>
      <c r="GW84" s="4"/>
      <c r="GX84" s="4"/>
      <c r="GY84" s="4"/>
      <c r="GZ84" s="4"/>
      <c r="HA84" s="4"/>
      <c r="HB84" s="4"/>
    </row>
    <row r="85" spans="2:210">
      <c r="GT85" s="4"/>
      <c r="GU85" s="4"/>
      <c r="GV85" s="4"/>
      <c r="GW85" s="4"/>
      <c r="GX85" s="4"/>
      <c r="GY85" s="4"/>
      <c r="GZ85" s="4"/>
    </row>
    <row r="86" spans="2:210">
      <c r="GT86" s="4"/>
      <c r="GU86" s="4"/>
      <c r="GV86" s="4"/>
      <c r="GW86" s="4"/>
      <c r="GX86" s="4"/>
      <c r="GY86" s="4"/>
      <c r="GZ86" s="4"/>
    </row>
    <row r="87" spans="2:210">
      <c r="GT87" s="4"/>
      <c r="GU87" s="4"/>
      <c r="GV87" s="4"/>
      <c r="GW87" s="4"/>
      <c r="GX87" s="4"/>
      <c r="GY87" s="4"/>
      <c r="GZ87" s="4"/>
    </row>
    <row r="92" spans="2:210">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8"/>
  </sheetPr>
  <dimension ref="A1:HA92"/>
  <sheetViews>
    <sheetView zoomScaleNormal="100" workbookViewId="0">
      <pane xSplit="1" ySplit="3" topLeftCell="AA44" activePane="bottomRight" state="frozen"/>
      <selection pane="bottomRight" activeCell="AM1" sqref="AM1:AM1048576"/>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173" width="9.7109375" style="1"/>
    <col min="174" max="174" width="11.7109375" style="1" customWidth="1"/>
    <col min="175" max="198" width="9.7109375" style="1"/>
    <col min="199" max="199" width="5.7109375" style="1" customWidth="1"/>
    <col min="200" max="200" width="6.7109375" style="1" customWidth="1"/>
    <col min="201" max="202" width="8.7109375" style="1" customWidth="1"/>
    <col min="203" max="204" width="6.7109375" style="1" customWidth="1"/>
    <col min="205" max="206" width="8.7109375" style="1" customWidth="1"/>
    <col min="207" max="208" width="6.7109375" style="1" customWidth="1"/>
    <col min="209" max="209" width="1.7109375" style="1" customWidth="1"/>
    <col min="210" max="16384" width="9.7109375" style="1"/>
  </cols>
  <sheetData>
    <row r="1" spans="1:38">
      <c r="A1" s="36" t="s">
        <v>92</v>
      </c>
      <c r="B1" s="11"/>
      <c r="C1" s="11"/>
      <c r="D1" s="11"/>
      <c r="E1" s="11"/>
      <c r="F1" s="11"/>
      <c r="G1" s="11"/>
      <c r="H1" s="11"/>
      <c r="I1" s="11"/>
      <c r="J1" s="11"/>
      <c r="K1" s="11"/>
      <c r="L1" s="11"/>
    </row>
    <row r="2" spans="1:38">
      <c r="A2" s="1" t="s">
        <v>163</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1">
        <f>(219503+37121)+52166</f>
        <v>308790</v>
      </c>
      <c r="C4" s="1">
        <f>(264586+55538)+57495</f>
        <v>377619</v>
      </c>
      <c r="D4" s="1">
        <f>(325973+47217)+64111</f>
        <v>437301</v>
      </c>
      <c r="I4" s="1">
        <v>899057.18400000001</v>
      </c>
      <c r="J4" s="52">
        <f>+J5+J23+J38+J52+J63</f>
        <v>1021173.9620000001</v>
      </c>
      <c r="K4" s="39">
        <f>(818483.659+129506.657)+171327.792</f>
        <v>1119318.108</v>
      </c>
      <c r="L4" s="39">
        <f>(878025.935+115833.141)+181095.663</f>
        <v>1174954.7390000001</v>
      </c>
      <c r="M4" s="52">
        <f>+M5+M23+M38+M52+M63</f>
        <v>1198863.466</v>
      </c>
      <c r="N4" s="39">
        <f>(1360955.5+195707.802)+223131.652</f>
        <v>1779794.9539999999</v>
      </c>
      <c r="O4" s="52">
        <f>+O5+O23+O38+O52+O63</f>
        <v>1652655.1208000001</v>
      </c>
      <c r="R4" s="52">
        <f t="shared" ref="R4:AA4" si="0">+R5+R23+R38+R52+R63</f>
        <v>2037668.9709999999</v>
      </c>
      <c r="S4" s="52">
        <f t="shared" si="0"/>
        <v>3039867.66</v>
      </c>
      <c r="T4" s="52">
        <f t="shared" si="0"/>
        <v>2583129.861</v>
      </c>
      <c r="U4" s="52">
        <f t="shared" si="0"/>
        <v>2667332.4729999998</v>
      </c>
      <c r="V4" s="52">
        <f t="shared" si="0"/>
        <v>2769648.2660000003</v>
      </c>
      <c r="W4" s="52">
        <f t="shared" si="0"/>
        <v>3002729.3569999998</v>
      </c>
      <c r="X4" s="52">
        <f t="shared" si="0"/>
        <v>3138849.3089999999</v>
      </c>
      <c r="Y4" s="52">
        <f t="shared" si="0"/>
        <v>3411662.202</v>
      </c>
      <c r="Z4" s="52">
        <f t="shared" si="0"/>
        <v>3644440.8620000002</v>
      </c>
      <c r="AA4" s="52">
        <f t="shared" si="0"/>
        <v>3895743.4739999999</v>
      </c>
      <c r="AB4" s="52">
        <f t="shared" ref="AB4:AC4" si="1">+AB5+AB23+AB38+AB52+AB63</f>
        <v>3676194.3659999999</v>
      </c>
      <c r="AC4" s="52">
        <f t="shared" si="1"/>
        <v>3684798</v>
      </c>
      <c r="AD4" s="52">
        <f t="shared" ref="AD4:AE4" si="2">+AD5+AD23+AD38+AD52+AD63</f>
        <v>3730512.6970000002</v>
      </c>
      <c r="AE4" s="52">
        <f t="shared" si="2"/>
        <v>3901162.8120000004</v>
      </c>
      <c r="AF4" s="52">
        <f t="shared" ref="AF4:AG4" si="3">+AF5+AF23+AF38+AF52+AF63</f>
        <v>3396554.0919999997</v>
      </c>
      <c r="AG4" s="52">
        <f t="shared" si="3"/>
        <v>3787456.5109999999</v>
      </c>
      <c r="AH4" s="52">
        <f t="shared" ref="AH4:AI4" si="4">+AH5+AH23+AH38+AH52+AH63</f>
        <v>5225620.4619999994</v>
      </c>
      <c r="AI4" s="52">
        <f t="shared" si="4"/>
        <v>5465742.4929999998</v>
      </c>
      <c r="AJ4" s="52">
        <f t="shared" ref="AJ4:AK4" si="5">+AJ5+AJ23+AJ38+AJ52+AJ63</f>
        <v>0</v>
      </c>
      <c r="AK4" s="52">
        <f t="shared" si="5"/>
        <v>6273277.1040000021</v>
      </c>
      <c r="AL4" s="52">
        <f t="shared" ref="AL4" si="6">+AL5+AL23+AL38+AL52+AL63</f>
        <v>6679407.7670000009</v>
      </c>
    </row>
    <row r="5" spans="1:38" ht="12.75" customHeight="1">
      <c r="A5" s="1" t="s">
        <v>21</v>
      </c>
      <c r="B5" s="51">
        <f>SUM(B7:B22)</f>
        <v>65706</v>
      </c>
      <c r="C5" s="51">
        <f t="shared" ref="C5:AA5" si="7">SUM(C7:C22)</f>
        <v>80303</v>
      </c>
      <c r="D5" s="51">
        <f t="shared" si="7"/>
        <v>80232</v>
      </c>
      <c r="E5" s="51">
        <f t="shared" si="7"/>
        <v>0</v>
      </c>
      <c r="F5" s="51">
        <f t="shared" si="7"/>
        <v>0</v>
      </c>
      <c r="G5" s="51">
        <f t="shared" si="7"/>
        <v>0</v>
      </c>
      <c r="H5" s="51">
        <f t="shared" si="7"/>
        <v>0</v>
      </c>
      <c r="I5" s="51">
        <f t="shared" si="7"/>
        <v>174749.71200000003</v>
      </c>
      <c r="J5" s="51">
        <f t="shared" si="7"/>
        <v>210756.20400000003</v>
      </c>
      <c r="K5" s="51">
        <f t="shared" si="7"/>
        <v>196952.94899999999</v>
      </c>
      <c r="L5" s="51">
        <f t="shared" si="7"/>
        <v>223873.16000000003</v>
      </c>
      <c r="M5" s="51">
        <f t="shared" si="7"/>
        <v>244066.32</v>
      </c>
      <c r="N5" s="51">
        <f t="shared" si="7"/>
        <v>285953.02500000002</v>
      </c>
      <c r="O5" s="51">
        <f t="shared" si="7"/>
        <v>309827.72778000002</v>
      </c>
      <c r="P5" s="51">
        <f t="shared" si="7"/>
        <v>0</v>
      </c>
      <c r="Q5" s="51">
        <f t="shared" si="7"/>
        <v>0</v>
      </c>
      <c r="R5" s="51">
        <f t="shared" si="7"/>
        <v>514704.90699999989</v>
      </c>
      <c r="S5" s="51">
        <f t="shared" si="7"/>
        <v>707520.77400000009</v>
      </c>
      <c r="T5" s="51">
        <f t="shared" si="7"/>
        <v>534211.70599999989</v>
      </c>
      <c r="U5" s="51">
        <f t="shared" si="7"/>
        <v>651607.32999999996</v>
      </c>
      <c r="V5" s="51">
        <f t="shared" si="7"/>
        <v>591432.39500000014</v>
      </c>
      <c r="W5" s="51">
        <f t="shared" si="7"/>
        <v>688499.39900000009</v>
      </c>
      <c r="X5" s="51">
        <f t="shared" si="7"/>
        <v>742742.80200000003</v>
      </c>
      <c r="Y5" s="51">
        <f t="shared" si="7"/>
        <v>839567.50899999996</v>
      </c>
      <c r="Z5" s="51">
        <f t="shared" si="7"/>
        <v>904421.94299999997</v>
      </c>
      <c r="AA5" s="51">
        <f t="shared" si="7"/>
        <v>924743.35200000007</v>
      </c>
      <c r="AB5" s="51">
        <f t="shared" ref="AB5:AC5" si="8">SUM(AB7:AB22)</f>
        <v>1007363.5680000001</v>
      </c>
      <c r="AC5" s="51">
        <f t="shared" si="8"/>
        <v>1016107</v>
      </c>
      <c r="AD5" s="51">
        <f t="shared" ref="AD5:AE5" si="9">SUM(AD7:AD22)</f>
        <v>974531.71</v>
      </c>
      <c r="AE5" s="51">
        <f t="shared" si="9"/>
        <v>976192.56699999992</v>
      </c>
      <c r="AF5" s="51">
        <f t="shared" ref="AF5:AG5" si="10">SUM(AF7:AF22)</f>
        <v>974785.86199999996</v>
      </c>
      <c r="AG5" s="51">
        <f t="shared" si="10"/>
        <v>1063031.7270000002</v>
      </c>
      <c r="AH5" s="51">
        <f t="shared" ref="AH5:AI5" si="11">SUM(AH7:AH22)</f>
        <v>1087440.5160000001</v>
      </c>
      <c r="AI5" s="51">
        <f t="shared" si="11"/>
        <v>1080663.031</v>
      </c>
      <c r="AJ5" s="51">
        <f t="shared" ref="AJ5:AK5" si="12">SUM(AJ7:AJ22)</f>
        <v>0</v>
      </c>
      <c r="AK5" s="51">
        <f t="shared" si="12"/>
        <v>1212132.4300000002</v>
      </c>
      <c r="AL5" s="51">
        <f t="shared" ref="AL5" si="13">SUM(AL7:AL22)</f>
        <v>1276998.7090000003</v>
      </c>
    </row>
    <row r="6" spans="1:38" ht="12.75" customHeight="1">
      <c r="A6" s="6" t="s">
        <v>94</v>
      </c>
      <c r="J6" s="126"/>
      <c r="R6" s="18"/>
      <c r="T6" s="44"/>
    </row>
    <row r="7" spans="1:38" ht="12.75" customHeight="1">
      <c r="A7" s="1" t="s">
        <v>22</v>
      </c>
      <c r="B7" s="1">
        <f>(530+175)+900</f>
        <v>1605</v>
      </c>
      <c r="C7" s="1">
        <f>(3155+222)+1176</f>
        <v>4553</v>
      </c>
      <c r="D7" s="1">
        <f>(347+4561)+1224</f>
        <v>6132</v>
      </c>
      <c r="I7" s="1">
        <f>(5387.062+396.785)+1612.97</f>
        <v>7396.817</v>
      </c>
      <c r="J7" s="126">
        <v>6531.8510000000006</v>
      </c>
      <c r="K7" s="1">
        <f>(4057.507+2155.419)+1775.675</f>
        <v>7988.6009999999997</v>
      </c>
      <c r="L7" s="1">
        <f>(6741.872+2533.954)+2548.046</f>
        <v>11823.872000000001</v>
      </c>
      <c r="M7" s="1">
        <v>8929.3670000000002</v>
      </c>
      <c r="N7" s="1">
        <f>(5232.02+1765.914)+1670.486</f>
        <v>8668.42</v>
      </c>
      <c r="O7" s="1">
        <v>9267.5737699999991</v>
      </c>
      <c r="R7" s="24">
        <v>12250.83</v>
      </c>
      <c r="S7" s="1">
        <v>12768.564</v>
      </c>
      <c r="T7" s="44">
        <v>12156.154</v>
      </c>
      <c r="U7" s="1">
        <v>15279.159</v>
      </c>
      <c r="V7" s="1">
        <v>15097.32</v>
      </c>
      <c r="W7" s="126">
        <v>15364.395</v>
      </c>
      <c r="X7" s="126">
        <v>21085.294000000002</v>
      </c>
      <c r="Y7" s="126">
        <v>23101.534</v>
      </c>
      <c r="Z7" s="126">
        <v>27887.635999999999</v>
      </c>
      <c r="AA7" s="126">
        <v>26263.922999999999</v>
      </c>
      <c r="AB7" s="126">
        <v>32771.464</v>
      </c>
      <c r="AC7" s="126">
        <v>27279</v>
      </c>
      <c r="AD7" s="1">
        <v>29483.394</v>
      </c>
      <c r="AE7" s="1">
        <v>28664.894</v>
      </c>
      <c r="AF7" s="1">
        <v>26299.603999999999</v>
      </c>
      <c r="AG7" s="1">
        <v>30979.083999999999</v>
      </c>
      <c r="AH7" s="1">
        <v>36571.050999999999</v>
      </c>
      <c r="AI7" s="1">
        <v>36739.122000000003</v>
      </c>
      <c r="AK7" s="1">
        <v>42001.271000000001</v>
      </c>
      <c r="AL7" s="1">
        <v>40967.574999999997</v>
      </c>
    </row>
    <row r="8" spans="1:38" ht="12.75" customHeight="1">
      <c r="A8" s="1" t="s">
        <v>23</v>
      </c>
      <c r="B8" s="1">
        <f>(703+159)+69</f>
        <v>931</v>
      </c>
      <c r="C8" s="1">
        <f>(725+115)+76</f>
        <v>916</v>
      </c>
      <c r="D8" s="1">
        <f>(972+29)+302</f>
        <v>1303</v>
      </c>
      <c r="I8" s="1">
        <f>(2085.736+152.737)+634.314</f>
        <v>2872.7869999999998</v>
      </c>
      <c r="J8" s="126">
        <v>3898.1020000000003</v>
      </c>
      <c r="K8" s="1">
        <f>(5059.187+150.194)+900.856</f>
        <v>6110.2370000000001</v>
      </c>
      <c r="L8" s="1">
        <f>(8783.272+159.274)+1228.643</f>
        <v>10171.189</v>
      </c>
      <c r="M8" s="1">
        <v>6472.1559999999999</v>
      </c>
      <c r="N8" s="1">
        <f>(14360.034+25.478)+1385.693</f>
        <v>15771.204999999998</v>
      </c>
      <c r="O8" s="1">
        <v>15554.029</v>
      </c>
      <c r="R8" s="24">
        <v>13048.904999999999</v>
      </c>
      <c r="S8" s="1">
        <v>12825.741</v>
      </c>
      <c r="T8" s="44">
        <v>13597.938</v>
      </c>
      <c r="U8" s="1">
        <v>16868.737000000001</v>
      </c>
      <c r="V8" s="1">
        <v>19229.488000000001</v>
      </c>
      <c r="W8" s="126">
        <v>19282.262999999999</v>
      </c>
      <c r="X8" s="126">
        <v>23841.538</v>
      </c>
      <c r="Y8" s="126">
        <v>28924.806</v>
      </c>
      <c r="Z8" s="126">
        <v>36979.184000000001</v>
      </c>
      <c r="AA8" s="126">
        <v>29556.395</v>
      </c>
      <c r="AB8" s="126">
        <v>35097.557000000001</v>
      </c>
      <c r="AC8" s="126">
        <v>43096</v>
      </c>
      <c r="AD8" s="1">
        <v>37453.152000000002</v>
      </c>
      <c r="AE8" s="1">
        <v>38077.764000000003</v>
      </c>
      <c r="AF8" s="1">
        <v>36382.341999999997</v>
      </c>
      <c r="AG8" s="1">
        <v>36257.927000000003</v>
      </c>
      <c r="AH8" s="1">
        <v>36464.58</v>
      </c>
      <c r="AI8" s="1">
        <v>41030.502</v>
      </c>
      <c r="AK8" s="1">
        <v>44992.377</v>
      </c>
      <c r="AL8" s="1">
        <v>46077.18</v>
      </c>
    </row>
    <row r="9" spans="1:38" ht="12.75" customHeight="1">
      <c r="A9" s="1" t="s">
        <v>24</v>
      </c>
      <c r="D9" s="1">
        <v>0</v>
      </c>
      <c r="I9" s="1">
        <v>3667.3329999999996</v>
      </c>
      <c r="J9" s="126">
        <v>15416.598</v>
      </c>
      <c r="M9" s="1">
        <v>6790.8419999999996</v>
      </c>
      <c r="N9" s="1">
        <f>(1104.825+6466.39)+0</f>
        <v>7571.2150000000001</v>
      </c>
      <c r="O9" s="1">
        <v>9703.5290000000005</v>
      </c>
      <c r="R9" s="24">
        <v>11225.102000000001</v>
      </c>
      <c r="S9" s="35">
        <v>11661.353999999999</v>
      </c>
      <c r="T9" s="45">
        <v>9914.2559999999994</v>
      </c>
      <c r="U9" s="35">
        <v>11047.424999999999</v>
      </c>
      <c r="V9" s="35">
        <v>11884.208000000001</v>
      </c>
      <c r="W9" s="126">
        <v>13426.254999999999</v>
      </c>
      <c r="X9" s="126">
        <v>13455.531999999999</v>
      </c>
      <c r="Y9" s="126">
        <v>13449.541999999999</v>
      </c>
      <c r="Z9" s="126">
        <v>15512.694</v>
      </c>
      <c r="AA9" s="126">
        <v>16013.162</v>
      </c>
      <c r="AB9" s="126">
        <v>18972.076000000001</v>
      </c>
      <c r="AC9" s="126">
        <v>15762</v>
      </c>
      <c r="AD9" s="1">
        <v>16295.652</v>
      </c>
      <c r="AE9" s="1">
        <v>15405.885</v>
      </c>
      <c r="AF9" s="1">
        <v>19228.664000000001</v>
      </c>
      <c r="AG9" s="1">
        <v>18638.698</v>
      </c>
      <c r="AH9" s="1">
        <v>20413.789000000001</v>
      </c>
      <c r="AI9" s="1">
        <v>21541.865000000002</v>
      </c>
      <c r="AK9" s="1">
        <v>15393.879000000001</v>
      </c>
      <c r="AL9" s="1">
        <v>18060.055</v>
      </c>
    </row>
    <row r="10" spans="1:38" ht="12.75" customHeight="1">
      <c r="A10" s="1" t="s">
        <v>25</v>
      </c>
      <c r="B10" s="1">
        <f>(7667+240)+2522</f>
        <v>10429</v>
      </c>
      <c r="C10" s="1">
        <f>(9280+345)+3286</f>
        <v>12911</v>
      </c>
      <c r="D10" s="1">
        <f>(11011+613)+5156</f>
        <v>16780</v>
      </c>
      <c r="I10" s="1">
        <f>(30364.625+2566.069)+6788.47</f>
        <v>39719.164000000004</v>
      </c>
      <c r="J10" s="126">
        <v>44671.725999999995</v>
      </c>
      <c r="K10" s="1">
        <f>(23047.616+5098.823)+17432.877</f>
        <v>45579.316000000006</v>
      </c>
      <c r="L10" s="1">
        <f>(21267.993+9109.909)+15687.766</f>
        <v>46065.667999999998</v>
      </c>
      <c r="M10" s="1">
        <v>40487.347999999998</v>
      </c>
      <c r="N10" s="1">
        <f>(26270.752+1969.523)+14519.351</f>
        <v>42759.626000000004</v>
      </c>
      <c r="O10" s="1">
        <v>47128.253000000004</v>
      </c>
      <c r="R10" s="24">
        <v>77041.417000000001</v>
      </c>
      <c r="S10" s="1">
        <v>128067.492</v>
      </c>
      <c r="T10" s="44">
        <v>134869.742</v>
      </c>
      <c r="U10" s="1">
        <v>137918.78599999999</v>
      </c>
      <c r="V10" s="1">
        <v>133843.06700000001</v>
      </c>
      <c r="W10" s="126">
        <v>165253.32</v>
      </c>
      <c r="X10" s="126">
        <v>157297.27799999999</v>
      </c>
      <c r="Y10" s="126">
        <v>197526.26300000001</v>
      </c>
      <c r="Z10" s="126">
        <v>187115.905</v>
      </c>
      <c r="AA10" s="126">
        <v>220957.003</v>
      </c>
      <c r="AB10" s="126">
        <v>227221.807</v>
      </c>
      <c r="AC10" s="126">
        <v>217337</v>
      </c>
      <c r="AD10" s="1">
        <v>190462.72200000001</v>
      </c>
      <c r="AE10" s="1">
        <v>183509.405</v>
      </c>
      <c r="AF10" s="1">
        <v>205634.98</v>
      </c>
      <c r="AG10" s="1">
        <v>212204.47399999999</v>
      </c>
      <c r="AH10" s="1">
        <v>219045.55900000001</v>
      </c>
      <c r="AI10" s="1">
        <v>218783.212</v>
      </c>
      <c r="AK10" s="1">
        <v>282213.90000000002</v>
      </c>
      <c r="AL10" s="1">
        <v>303420.90000000002</v>
      </c>
    </row>
    <row r="11" spans="1:38" ht="12.75" customHeight="1">
      <c r="A11" s="1" t="s">
        <v>26</v>
      </c>
      <c r="B11" s="1">
        <f>(2576+105)+591</f>
        <v>3272</v>
      </c>
      <c r="C11" s="1">
        <f>(2948+335)+508</f>
        <v>3791</v>
      </c>
      <c r="D11" s="1">
        <f>(3417+284)+656</f>
        <v>4357</v>
      </c>
      <c r="I11" s="1">
        <f>(8901.994+1228.347)+2104.185</f>
        <v>12234.526</v>
      </c>
      <c r="J11" s="126">
        <v>8853.5619999999999</v>
      </c>
      <c r="K11" s="1">
        <f>(17243.508+942.05)+2593.801</f>
        <v>20779.359</v>
      </c>
      <c r="L11" s="1">
        <f>(28196.376+1491.969)+2479.084</f>
        <v>32167.429</v>
      </c>
      <c r="M11" s="1">
        <v>48381.214999999997</v>
      </c>
      <c r="N11" s="1">
        <f>(31984.222+994.906)+2662.462</f>
        <v>35641.590000000004</v>
      </c>
      <c r="O11" s="1">
        <v>40646.953490000007</v>
      </c>
      <c r="R11" s="24">
        <v>86622.535000000003</v>
      </c>
      <c r="S11" s="1">
        <v>123610.02500000001</v>
      </c>
      <c r="T11" s="44">
        <v>41022.885999999999</v>
      </c>
      <c r="U11" s="1">
        <v>34003.21</v>
      </c>
      <c r="V11" s="1">
        <v>43996.868999999999</v>
      </c>
      <c r="W11" s="126">
        <v>32004.713</v>
      </c>
      <c r="X11" s="126">
        <v>38384.154999999999</v>
      </c>
      <c r="Y11" s="126">
        <v>51121.921000000002</v>
      </c>
      <c r="Z11" s="126">
        <v>40971.495000000003</v>
      </c>
      <c r="AA11" s="126">
        <v>20925.327000000001</v>
      </c>
      <c r="AB11" s="126">
        <v>44157.161</v>
      </c>
      <c r="AC11" s="126">
        <v>55904</v>
      </c>
      <c r="AD11" s="1">
        <v>51273.186000000002</v>
      </c>
      <c r="AE11" s="1">
        <v>44381.481</v>
      </c>
      <c r="AF11" s="1">
        <v>20191.47</v>
      </c>
      <c r="AG11" s="1">
        <v>18629.802</v>
      </c>
      <c r="AH11" s="1">
        <v>48727.826999999997</v>
      </c>
      <c r="AI11" s="1">
        <v>24842.635999999999</v>
      </c>
      <c r="AK11" s="1">
        <v>30532.881000000001</v>
      </c>
      <c r="AL11" s="1">
        <v>29038.416000000001</v>
      </c>
    </row>
    <row r="12" spans="1:38" ht="12.75" customHeight="1">
      <c r="A12" s="1" t="s">
        <v>27</v>
      </c>
      <c r="B12" s="1">
        <f>(1148+21)+273</f>
        <v>1442</v>
      </c>
      <c r="C12" s="1">
        <f>(901+11)+349</f>
        <v>1261</v>
      </c>
      <c r="D12" s="1">
        <f>(1257+0)+994</f>
        <v>2251</v>
      </c>
      <c r="I12" s="1">
        <f>(5602.493+0)+2902</f>
        <v>8504.4930000000004</v>
      </c>
      <c r="J12" s="126">
        <v>10543.191999999999</v>
      </c>
      <c r="K12" s="1">
        <v>9196.7890000000007</v>
      </c>
      <c r="L12" s="1">
        <v>9832.7459999999992</v>
      </c>
      <c r="M12" s="1">
        <v>11322.814</v>
      </c>
      <c r="N12" s="1">
        <f>(10059.598+0)+3163.672</f>
        <v>13223.27</v>
      </c>
      <c r="O12" s="1">
        <v>15681.775</v>
      </c>
      <c r="R12" s="18">
        <v>30099.834999999999</v>
      </c>
      <c r="S12" s="1">
        <v>71828.125</v>
      </c>
      <c r="T12" s="44">
        <v>3392.8829999999998</v>
      </c>
      <c r="U12" s="1">
        <v>3522.6669999999999</v>
      </c>
      <c r="V12" s="1">
        <v>4033.884</v>
      </c>
      <c r="W12" s="126">
        <v>40849.652999999998</v>
      </c>
      <c r="X12" s="126">
        <v>60320.6</v>
      </c>
      <c r="Y12" s="126">
        <v>54753.413999999997</v>
      </c>
      <c r="Z12" s="126">
        <v>54297.353999999999</v>
      </c>
      <c r="AA12" s="126">
        <v>45203.677000000003</v>
      </c>
      <c r="AB12" s="126">
        <v>51307.188000000002</v>
      </c>
      <c r="AC12" s="126">
        <v>49722</v>
      </c>
      <c r="AD12" s="1">
        <v>49530.993999999999</v>
      </c>
      <c r="AE12" s="1">
        <v>46557.837</v>
      </c>
      <c r="AF12" s="1">
        <v>44083.495000000003</v>
      </c>
      <c r="AG12" s="1">
        <v>55806.256999999998</v>
      </c>
      <c r="AH12" s="1">
        <v>60132.231</v>
      </c>
      <c r="AI12" s="1">
        <v>50995.381000000001</v>
      </c>
      <c r="AK12" s="1">
        <v>56115.504999999997</v>
      </c>
      <c r="AL12" s="1">
        <v>58294.713000000003</v>
      </c>
    </row>
    <row r="13" spans="1:38" ht="12.75" customHeight="1">
      <c r="A13" s="1" t="s">
        <v>28</v>
      </c>
      <c r="B13" s="1">
        <v>663</v>
      </c>
      <c r="C13" s="1">
        <f>(535+0)+279</f>
        <v>814</v>
      </c>
      <c r="D13" s="1">
        <f>(645+7)+280</f>
        <v>932</v>
      </c>
      <c r="I13" s="1">
        <f>(1154.794+64.321)+400.499</f>
        <v>1619.614</v>
      </c>
      <c r="J13" s="126">
        <v>1734.26</v>
      </c>
      <c r="K13" s="1">
        <f>(852.79+102.556)+448.641</f>
        <v>1403.9870000000001</v>
      </c>
      <c r="L13" s="1">
        <f>(1356.806+23.494)+614.513</f>
        <v>1994.8130000000001</v>
      </c>
      <c r="M13" s="1">
        <v>1494.759</v>
      </c>
      <c r="N13" s="1">
        <f>(29927.408+3919.279)+1089.012</f>
        <v>34935.699000000001</v>
      </c>
      <c r="O13" s="1">
        <v>26917.442610000006</v>
      </c>
      <c r="R13" s="18">
        <v>7577.7539999999999</v>
      </c>
      <c r="S13" s="1">
        <v>10219.223000000002</v>
      </c>
      <c r="T13" s="44">
        <v>15958.576999999999</v>
      </c>
      <c r="U13" s="1">
        <v>13341.038</v>
      </c>
      <c r="V13" s="1">
        <v>22444.763999999999</v>
      </c>
      <c r="W13" s="126">
        <v>31189.763999999999</v>
      </c>
      <c r="X13" s="126">
        <v>30557.792000000001</v>
      </c>
      <c r="Y13" s="126">
        <v>30586.827000000001</v>
      </c>
      <c r="Z13" s="126">
        <v>39273.764999999999</v>
      </c>
      <c r="AA13" s="126">
        <v>17885.649000000001</v>
      </c>
      <c r="AB13" s="126">
        <v>31333.841</v>
      </c>
      <c r="AC13" s="126">
        <v>31545</v>
      </c>
      <c r="AD13" s="1">
        <v>20333.643</v>
      </c>
      <c r="AE13" s="1">
        <v>19142.222000000002</v>
      </c>
      <c r="AF13" s="1">
        <v>13741.11</v>
      </c>
      <c r="AG13" s="1">
        <v>12582.62</v>
      </c>
      <c r="AH13" s="1">
        <v>21059.98</v>
      </c>
      <c r="AI13" s="1">
        <v>17665.567999999999</v>
      </c>
      <c r="AK13" s="1">
        <v>15832.725</v>
      </c>
      <c r="AL13" s="1">
        <v>16284.279</v>
      </c>
    </row>
    <row r="14" spans="1:38" ht="12.75" customHeight="1">
      <c r="A14" s="1" t="s">
        <v>29</v>
      </c>
      <c r="B14" s="1">
        <f>(2367+538)+1745</f>
        <v>4650</v>
      </c>
      <c r="C14" s="1">
        <f>(4324+162)+2052</f>
        <v>6538</v>
      </c>
      <c r="D14" s="1">
        <f>(283+5233)+1862</f>
        <v>7378</v>
      </c>
      <c r="I14" s="1">
        <f>(4454.049+639.061)+1496.186</f>
        <v>6589.2959999999994</v>
      </c>
      <c r="J14" s="126">
        <v>7674.2190000000001</v>
      </c>
      <c r="K14" s="1">
        <f>(4740.149+2239.703)+1697.325</f>
        <v>8677.1770000000015</v>
      </c>
      <c r="L14" s="1">
        <f>(4966.966+3229.266)+2994.368</f>
        <v>11190.6</v>
      </c>
      <c r="M14" s="1">
        <v>10536.8</v>
      </c>
      <c r="N14" s="1">
        <f>(8893.126+2699.354)+2572.89</f>
        <v>14165.369999999999</v>
      </c>
      <c r="O14" s="1">
        <v>11281.046999999999</v>
      </c>
      <c r="R14" s="18">
        <v>12998.762000000001</v>
      </c>
      <c r="S14" s="1">
        <v>21788.429</v>
      </c>
      <c r="T14" s="44">
        <v>43963.6</v>
      </c>
      <c r="U14" s="1">
        <v>45133.93</v>
      </c>
      <c r="V14" s="1">
        <v>24687.705000000002</v>
      </c>
      <c r="W14" s="126">
        <v>37463.313999999998</v>
      </c>
      <c r="X14" s="126">
        <v>33126.277000000002</v>
      </c>
      <c r="Y14" s="126">
        <v>37749.423000000003</v>
      </c>
      <c r="Z14" s="126">
        <v>43842.034</v>
      </c>
      <c r="AA14" s="126">
        <v>44976.158000000003</v>
      </c>
      <c r="AB14" s="126">
        <v>49281.91</v>
      </c>
      <c r="AC14" s="126">
        <v>46155</v>
      </c>
      <c r="AD14" s="1">
        <v>49654.381999999998</v>
      </c>
      <c r="AE14" s="1">
        <v>48362.993999999999</v>
      </c>
      <c r="AF14" s="1">
        <v>49467.881000000001</v>
      </c>
      <c r="AG14" s="1">
        <v>51794.644999999997</v>
      </c>
      <c r="AH14" s="1">
        <v>42424.811000000002</v>
      </c>
      <c r="AI14" s="1">
        <v>41839.862000000001</v>
      </c>
      <c r="AK14" s="1">
        <v>44731.792000000001</v>
      </c>
      <c r="AL14" s="1">
        <v>45786.506000000001</v>
      </c>
    </row>
    <row r="15" spans="1:38" ht="12.75" customHeight="1">
      <c r="A15" s="1" t="s">
        <v>30</v>
      </c>
      <c r="B15" s="1">
        <v>6027</v>
      </c>
      <c r="C15" s="1">
        <f>(2475+1)+41</f>
        <v>2517</v>
      </c>
      <c r="D15" s="1">
        <v>669</v>
      </c>
      <c r="I15" s="1">
        <f>(12377.966+1170.884)+482.151</f>
        <v>14031.001</v>
      </c>
      <c r="J15" s="126">
        <v>12705.569</v>
      </c>
      <c r="K15" s="1">
        <f>(15403.507+1245.806)+1015.333</f>
        <v>17664.645999999997</v>
      </c>
      <c r="L15" s="1">
        <f>(16452.285+1002.266)+595.57</f>
        <v>18050.120999999999</v>
      </c>
      <c r="M15" s="1">
        <v>26222.138999999999</v>
      </c>
      <c r="N15" s="1">
        <f>(29962.075+583.763)+1895.849</f>
        <v>32441.686999999998</v>
      </c>
      <c r="O15" s="1">
        <v>34670.138999999996</v>
      </c>
      <c r="R15" s="18">
        <v>41982.343000000001</v>
      </c>
      <c r="S15" s="1">
        <v>44709.976000000002</v>
      </c>
      <c r="T15" s="44">
        <v>47990.794999999998</v>
      </c>
      <c r="U15" s="1">
        <v>45921.201000000001</v>
      </c>
      <c r="V15" s="1">
        <v>55448.885999999999</v>
      </c>
      <c r="W15" s="126">
        <v>52437.633999999998</v>
      </c>
      <c r="X15" s="126">
        <v>61014.457999999999</v>
      </c>
      <c r="Y15" s="126">
        <v>62869.409</v>
      </c>
      <c r="Z15" s="126">
        <v>69230.481</v>
      </c>
      <c r="AA15" s="126">
        <v>66488.608999999997</v>
      </c>
      <c r="AB15" s="126">
        <v>56333.01</v>
      </c>
      <c r="AC15" s="126">
        <v>57469</v>
      </c>
      <c r="AD15" s="1">
        <v>63369.987999999998</v>
      </c>
      <c r="AE15" s="1">
        <v>62353.807000000001</v>
      </c>
      <c r="AF15" s="1">
        <v>64698.103999999999</v>
      </c>
      <c r="AG15" s="1">
        <v>71163.016000000003</v>
      </c>
      <c r="AH15" s="1">
        <v>68832.437999999995</v>
      </c>
      <c r="AI15" s="1">
        <v>73448.665999999997</v>
      </c>
      <c r="AK15" s="1">
        <v>90018.816000000006</v>
      </c>
      <c r="AL15" s="1">
        <v>75614.994999999995</v>
      </c>
    </row>
    <row r="16" spans="1:38" ht="12.75" customHeight="1">
      <c r="A16" s="1" t="s">
        <v>31</v>
      </c>
      <c r="B16" s="1">
        <f>(1977+429)+1483</f>
        <v>3889</v>
      </c>
      <c r="C16" s="1">
        <f>(3246+1063)+1937</f>
        <v>6246</v>
      </c>
      <c r="D16" s="1">
        <f>(3485+742)+2572</f>
        <v>6799</v>
      </c>
      <c r="I16" s="1">
        <f>(4574.078+1276.459)+4652.171</f>
        <v>10502.708000000001</v>
      </c>
      <c r="J16" s="126">
        <v>18228.167000000001</v>
      </c>
      <c r="K16" s="1">
        <f>(3561.298+689.608)+7170.842</f>
        <v>11421.748</v>
      </c>
      <c r="L16" s="1">
        <f>(3659.408+540.28)+7664.191</f>
        <v>11863.879000000001</v>
      </c>
      <c r="M16" s="1">
        <v>12590.98</v>
      </c>
      <c r="N16" s="1">
        <f>(2835.387+674.359)+7631.683</f>
        <v>11141.429</v>
      </c>
      <c r="O16" s="1">
        <v>13860.12311</v>
      </c>
      <c r="R16" s="18">
        <v>92112.494999999995</v>
      </c>
      <c r="S16" s="1">
        <v>114583.61200000001</v>
      </c>
      <c r="T16" s="1">
        <v>53023.953999999998</v>
      </c>
      <c r="U16" s="1">
        <v>108622.621</v>
      </c>
      <c r="V16" s="1">
        <v>56926.536</v>
      </c>
      <c r="W16" s="126">
        <v>68741.48</v>
      </c>
      <c r="X16" s="126">
        <v>72295.952999999994</v>
      </c>
      <c r="Y16" s="126">
        <v>73567.794999999998</v>
      </c>
      <c r="Z16" s="126">
        <v>87444.33</v>
      </c>
      <c r="AA16" s="126">
        <v>89439.323999999993</v>
      </c>
      <c r="AB16" s="126">
        <v>89630.426999999996</v>
      </c>
      <c r="AC16" s="126">
        <v>82125</v>
      </c>
      <c r="AD16" s="1">
        <v>74426.491999999998</v>
      </c>
      <c r="AE16" s="1">
        <v>84609.255999999994</v>
      </c>
      <c r="AF16" s="1">
        <v>76601.991999999998</v>
      </c>
      <c r="AG16" s="1">
        <v>110745.558</v>
      </c>
      <c r="AH16" s="1">
        <v>75291.307000000001</v>
      </c>
      <c r="AI16" s="1">
        <v>70644.61</v>
      </c>
      <c r="AK16" s="1">
        <v>73402.899000000005</v>
      </c>
      <c r="AL16" s="1">
        <v>85437.657999999996</v>
      </c>
    </row>
    <row r="17" spans="1:38" ht="12.75" customHeight="1">
      <c r="A17" s="1" t="s">
        <v>32</v>
      </c>
      <c r="B17" s="1">
        <f>(464+54)+764</f>
        <v>1282</v>
      </c>
      <c r="C17" s="1">
        <f>(421+55)+885</f>
        <v>1361</v>
      </c>
      <c r="D17" s="1">
        <f>(352+51)+1023</f>
        <v>1426</v>
      </c>
      <c r="I17" s="1">
        <f>(938.777+166.323)+3038.216</f>
        <v>4143.3159999999998</v>
      </c>
      <c r="J17" s="126">
        <v>6523.8680000000004</v>
      </c>
      <c r="K17" s="1">
        <f>(2833.706+239.451)+1963.519</f>
        <v>5036.6760000000004</v>
      </c>
      <c r="L17" s="1">
        <f>(3332.336+223.234)+1615.894</f>
        <v>5171.4639999999999</v>
      </c>
      <c r="M17" s="1">
        <v>5242.5479999999998</v>
      </c>
      <c r="N17" s="1">
        <f>(3007.646+101.88)+4026.544</f>
        <v>7136.07</v>
      </c>
      <c r="O17" s="1">
        <v>9318.7268599999989</v>
      </c>
      <c r="R17" s="18">
        <v>11831.164000000001</v>
      </c>
      <c r="S17" s="1">
        <v>24661.288999999997</v>
      </c>
      <c r="T17" s="1">
        <v>14444.06</v>
      </c>
      <c r="U17" s="1">
        <v>14573.282999999999</v>
      </c>
      <c r="V17" s="1">
        <v>12598.406999999999</v>
      </c>
      <c r="W17" s="126">
        <v>17610.734</v>
      </c>
      <c r="X17" s="126">
        <v>18161.237000000001</v>
      </c>
      <c r="Y17" s="126">
        <v>18694.349999999999</v>
      </c>
      <c r="Z17" s="126">
        <v>21986.05</v>
      </c>
      <c r="AA17" s="126">
        <v>27394.449000000001</v>
      </c>
      <c r="AB17" s="126">
        <v>29641.705999999998</v>
      </c>
      <c r="AC17" s="126">
        <v>29955</v>
      </c>
      <c r="AD17" s="1">
        <v>26393.576000000001</v>
      </c>
      <c r="AE17" s="1">
        <v>28785.241999999998</v>
      </c>
      <c r="AF17" s="1">
        <v>30436.814999999999</v>
      </c>
      <c r="AG17" s="1">
        <v>29900.764999999999</v>
      </c>
      <c r="AH17" s="1">
        <v>32017.681</v>
      </c>
      <c r="AI17" s="1">
        <v>31199.453000000001</v>
      </c>
      <c r="AK17" s="1">
        <v>35831.856</v>
      </c>
      <c r="AL17" s="1">
        <v>36858.209000000003</v>
      </c>
    </row>
    <row r="18" spans="1:38" ht="12.75" customHeight="1">
      <c r="A18" s="1" t="s">
        <v>33</v>
      </c>
      <c r="B18" s="1">
        <f>(1418+86)+914</f>
        <v>2418</v>
      </c>
      <c r="C18" s="1">
        <f>(1730+24)+215</f>
        <v>1969</v>
      </c>
      <c r="D18" s="1">
        <f>(1920+21)+280</f>
        <v>2221</v>
      </c>
      <c r="I18" s="1">
        <f>(2651.763+85.702)+473.007</f>
        <v>3210.4720000000002</v>
      </c>
      <c r="J18" s="126">
        <v>2899.2580000000003</v>
      </c>
      <c r="K18" s="1">
        <f>(1698.99+434.55)+794.991</f>
        <v>2928.5309999999999</v>
      </c>
      <c r="L18" s="1">
        <f>(1686.427+417.346)+1060.406</f>
        <v>3164.1790000000001</v>
      </c>
      <c r="M18" s="1">
        <v>3178.422</v>
      </c>
      <c r="N18" s="1">
        <f>(1394.264+811.015)+908.709</f>
        <v>3113.9879999999998</v>
      </c>
      <c r="O18" s="1">
        <v>11352.204</v>
      </c>
      <c r="R18" s="18">
        <v>22573.508000000002</v>
      </c>
      <c r="S18" s="1">
        <v>22106.11</v>
      </c>
      <c r="T18" s="1">
        <v>15653.451999999999</v>
      </c>
      <c r="U18" s="1">
        <v>53374.565999999999</v>
      </c>
      <c r="V18" s="1">
        <v>58554.688000000002</v>
      </c>
      <c r="W18" s="126">
        <v>66587.896999999997</v>
      </c>
      <c r="X18" s="126">
        <v>75610.464999999997</v>
      </c>
      <c r="Y18" s="126">
        <v>93168.97</v>
      </c>
      <c r="Z18" s="126">
        <v>97201.7</v>
      </c>
      <c r="AA18" s="126">
        <v>98676.767000000007</v>
      </c>
      <c r="AB18" s="126">
        <v>92456.013000000006</v>
      </c>
      <c r="AC18" s="126">
        <v>88647</v>
      </c>
      <c r="AD18" s="1">
        <v>97120.012000000002</v>
      </c>
      <c r="AE18" s="1">
        <v>102295.046</v>
      </c>
      <c r="AF18" s="1">
        <v>103357.501</v>
      </c>
      <c r="AG18" s="1">
        <v>104067.923</v>
      </c>
      <c r="AH18" s="1">
        <v>112421.855</v>
      </c>
      <c r="AI18" s="1">
        <v>116364.624</v>
      </c>
      <c r="AK18" s="1">
        <v>125426.87</v>
      </c>
      <c r="AL18" s="1">
        <v>163961.06200000001</v>
      </c>
    </row>
    <row r="19" spans="1:38" ht="12.75" customHeight="1">
      <c r="A19" s="1" t="s">
        <v>34</v>
      </c>
      <c r="B19" s="1">
        <f>(1421+87)+896</f>
        <v>2404</v>
      </c>
      <c r="C19" s="1">
        <f>(1116+161)+1329</f>
        <v>2606</v>
      </c>
      <c r="D19" s="1">
        <f>(1713+114)+1524</f>
        <v>3351</v>
      </c>
      <c r="I19" s="1">
        <f>(2034.794+185.312)+5572.115</f>
        <v>7792.2209999999995</v>
      </c>
      <c r="J19" s="126">
        <v>8962.9030000000002</v>
      </c>
      <c r="K19" s="1">
        <f>(1406.912+209.321)+4557.463</f>
        <v>6173.6959999999999</v>
      </c>
      <c r="L19" s="1">
        <f>(2000.577+254.711)+4419.621</f>
        <v>6674.9089999999997</v>
      </c>
      <c r="M19" s="1">
        <v>7223.9549999999999</v>
      </c>
      <c r="N19" s="1">
        <f>(1903.072+298.252)+5072.639</f>
        <v>7273.9629999999997</v>
      </c>
      <c r="O19" s="1">
        <v>8218.237000000001</v>
      </c>
      <c r="R19" s="24">
        <v>11400.691999999999</v>
      </c>
      <c r="S19" s="1">
        <v>15260.451000000001</v>
      </c>
      <c r="T19" s="1">
        <v>12515.34</v>
      </c>
      <c r="U19" s="1">
        <v>18343.913</v>
      </c>
      <c r="V19" s="1">
        <v>18556.651000000002</v>
      </c>
      <c r="W19" s="126">
        <v>24247.603999999999</v>
      </c>
      <c r="X19" s="126">
        <v>26313.962</v>
      </c>
      <c r="Y19" s="126">
        <v>31669.519</v>
      </c>
      <c r="Z19" s="126">
        <v>43041.277999999998</v>
      </c>
      <c r="AA19" s="126">
        <v>45767.156999999999</v>
      </c>
      <c r="AB19" s="126">
        <v>56725.983</v>
      </c>
      <c r="AC19" s="126">
        <v>63180</v>
      </c>
      <c r="AD19" s="1">
        <v>61732.250999999997</v>
      </c>
      <c r="AE19" s="1">
        <v>65761.966</v>
      </c>
      <c r="AF19" s="1">
        <v>64378.644</v>
      </c>
      <c r="AG19" s="1">
        <v>75739.788</v>
      </c>
      <c r="AH19" s="1">
        <v>92388.709000000003</v>
      </c>
      <c r="AI19" s="1">
        <v>108724.9</v>
      </c>
      <c r="AK19" s="1">
        <v>114612.412</v>
      </c>
      <c r="AL19" s="1">
        <v>132862.40299999999</v>
      </c>
    </row>
    <row r="20" spans="1:38" ht="12.75" customHeight="1">
      <c r="A20" s="1" t="s">
        <v>35</v>
      </c>
      <c r="B20" s="1">
        <f>(14872+6121)+3419</f>
        <v>24412</v>
      </c>
      <c r="C20" s="1">
        <f>(20056+8196)+2875</f>
        <v>31127</v>
      </c>
      <c r="D20" s="1">
        <f>(14545+2865)+5268</f>
        <v>22678</v>
      </c>
      <c r="I20" s="1">
        <f>(26194.258+10957.934)+9539.319</f>
        <v>46691.510999999999</v>
      </c>
      <c r="J20" s="126">
        <v>52422.561000000002</v>
      </c>
      <c r="K20" s="1">
        <f>(23351.729+10405.963)+9143.626</f>
        <v>42901.317999999999</v>
      </c>
      <c r="L20" s="1">
        <f>(20858.588+11568.683)+8681.508</f>
        <v>41108.779000000002</v>
      </c>
      <c r="M20" s="1">
        <v>38610.305999999997</v>
      </c>
      <c r="N20" s="1">
        <f>(15171.853+8541.725)+10631.289</f>
        <v>34344.866999999998</v>
      </c>
      <c r="O20" s="1">
        <v>37593.57</v>
      </c>
      <c r="R20" s="18">
        <v>59540.402999999998</v>
      </c>
      <c r="S20" s="1">
        <v>67267.328999999998</v>
      </c>
      <c r="T20" s="1">
        <v>100705.54</v>
      </c>
      <c r="U20" s="1">
        <v>119185.389</v>
      </c>
      <c r="V20" s="1">
        <v>96592.854000000007</v>
      </c>
      <c r="W20" s="126">
        <v>80949.383000000002</v>
      </c>
      <c r="X20" s="126">
        <v>83053.861000000004</v>
      </c>
      <c r="Y20" s="126">
        <v>90426.577000000005</v>
      </c>
      <c r="Z20" s="126">
        <v>106980.893</v>
      </c>
      <c r="AA20" s="126">
        <v>132459.87299999999</v>
      </c>
      <c r="AB20" s="126">
        <v>150107.984</v>
      </c>
      <c r="AC20" s="126">
        <v>167175</v>
      </c>
      <c r="AD20" s="1">
        <v>157724.242</v>
      </c>
      <c r="AE20" s="1">
        <v>159844.03899999999</v>
      </c>
      <c r="AF20" s="1">
        <v>169486.514</v>
      </c>
      <c r="AG20" s="1">
        <v>187031.42499999999</v>
      </c>
      <c r="AH20" s="1">
        <v>175009.69399999999</v>
      </c>
      <c r="AI20" s="1">
        <v>182660.81599999999</v>
      </c>
      <c r="AK20" s="1">
        <v>195251.93400000001</v>
      </c>
      <c r="AL20" s="1">
        <v>171435.35800000001</v>
      </c>
    </row>
    <row r="21" spans="1:38" ht="12.75" customHeight="1">
      <c r="A21" s="1" t="s">
        <v>36</v>
      </c>
      <c r="B21" s="1">
        <f>(34+1490)+0</f>
        <v>1524</v>
      </c>
      <c r="C21" s="1">
        <f>(828+931)+1187</f>
        <v>2946</v>
      </c>
      <c r="D21" s="1">
        <f>(876+853)+1419</f>
        <v>3148</v>
      </c>
      <c r="I21" s="1">
        <f>(1729.942+37.029)+2969.937</f>
        <v>4736.9079999999994</v>
      </c>
      <c r="J21" s="126">
        <v>8540.0239999999994</v>
      </c>
      <c r="K21" s="1">
        <f>(7712.235+52.424)+2228.449</f>
        <v>9993.1080000000002</v>
      </c>
      <c r="L21" s="1">
        <f>(10200.431+89.819)+2889.209</f>
        <v>13179.458999999999</v>
      </c>
      <c r="M21" s="1">
        <v>14779.849</v>
      </c>
      <c r="N21" s="1">
        <f>(12287.191+110.323)+3470.023</f>
        <v>15867.537</v>
      </c>
      <c r="O21" s="1">
        <v>16743.131000000001</v>
      </c>
      <c r="R21" s="18">
        <v>20203.687999999998</v>
      </c>
      <c r="S21" s="1">
        <v>22742.111999999997</v>
      </c>
      <c r="T21" s="1">
        <v>13258.793</v>
      </c>
      <c r="U21" s="1">
        <v>9532.7459999999992</v>
      </c>
      <c r="V21" s="1">
        <v>13471.718999999999</v>
      </c>
      <c r="W21" s="126">
        <v>15042.401</v>
      </c>
      <c r="X21" s="126">
        <v>19475.046999999999</v>
      </c>
      <c r="Y21" s="126">
        <v>22231.915000000001</v>
      </c>
      <c r="Z21" s="126">
        <v>23346.146000000001</v>
      </c>
      <c r="AA21" s="126">
        <v>23579.415000000001</v>
      </c>
      <c r="AB21" s="126">
        <v>20881.179</v>
      </c>
      <c r="AC21" s="126">
        <v>16548</v>
      </c>
      <c r="AD21" s="1">
        <v>24093.271000000001</v>
      </c>
      <c r="AE21" s="1">
        <v>23376.102999999999</v>
      </c>
      <c r="AF21" s="1">
        <v>26233.756000000001</v>
      </c>
      <c r="AG21" s="1">
        <v>26515.594000000001</v>
      </c>
      <c r="AH21" s="1">
        <v>25785.998</v>
      </c>
      <c r="AI21" s="1">
        <v>24325.296999999999</v>
      </c>
      <c r="AK21" s="1">
        <v>25425.804</v>
      </c>
      <c r="AL21" s="1">
        <v>30401.607</v>
      </c>
    </row>
    <row r="22" spans="1:38" ht="12.75" customHeight="1">
      <c r="A22" s="27" t="s">
        <v>37</v>
      </c>
      <c r="B22" s="27">
        <f>(570+87)+101</f>
        <v>758</v>
      </c>
      <c r="C22" s="27">
        <v>747</v>
      </c>
      <c r="D22" s="27">
        <f>(0+661)+146</f>
        <v>807</v>
      </c>
      <c r="E22" s="27"/>
      <c r="F22" s="27"/>
      <c r="G22" s="27"/>
      <c r="H22" s="27"/>
      <c r="I22" s="27">
        <f>(885.27+0)+152.275</f>
        <v>1037.5450000000001</v>
      </c>
      <c r="J22" s="127">
        <v>1150.3439999999998</v>
      </c>
      <c r="K22" s="27">
        <v>1097.76</v>
      </c>
      <c r="L22" s="27">
        <v>1414.0530000000001</v>
      </c>
      <c r="M22" s="27">
        <v>1802.82</v>
      </c>
      <c r="N22" s="27">
        <f>(1557.202+328.025)+11.862</f>
        <v>1897.0889999999999</v>
      </c>
      <c r="O22" s="27">
        <v>1890.9939400000001</v>
      </c>
      <c r="P22" s="27"/>
      <c r="Q22" s="27"/>
      <c r="R22" s="27">
        <v>4195.4740000000002</v>
      </c>
      <c r="S22" s="27">
        <v>3420.942</v>
      </c>
      <c r="T22" s="27">
        <v>1743.7360000000001</v>
      </c>
      <c r="U22" s="27">
        <v>4938.6589999999997</v>
      </c>
      <c r="V22" s="27">
        <v>4065.3490000000002</v>
      </c>
      <c r="W22" s="127">
        <v>8048.5889999999999</v>
      </c>
      <c r="X22" s="127">
        <v>8749.3529999999992</v>
      </c>
      <c r="Y22" s="127">
        <v>9725.2440000000006</v>
      </c>
      <c r="Z22" s="127">
        <v>9310.9979999999996</v>
      </c>
      <c r="AA22" s="127">
        <v>19156.464</v>
      </c>
      <c r="AB22" s="127">
        <v>21444.261999999999</v>
      </c>
      <c r="AC22" s="127">
        <v>24208</v>
      </c>
      <c r="AD22" s="27">
        <v>25184.753000000001</v>
      </c>
      <c r="AE22" s="27">
        <v>25064.626</v>
      </c>
      <c r="AF22" s="27">
        <v>24562.99</v>
      </c>
      <c r="AG22" s="27">
        <v>20974.151000000002</v>
      </c>
      <c r="AH22" s="27">
        <v>20853.006000000001</v>
      </c>
      <c r="AI22" s="27">
        <v>19856.517</v>
      </c>
      <c r="AJ22" s="27"/>
      <c r="AK22" s="27">
        <v>20347.508999999998</v>
      </c>
      <c r="AL22" s="1">
        <v>22497.793000000001</v>
      </c>
    </row>
    <row r="23" spans="1:38" ht="12.75" customHeight="1">
      <c r="A23" s="6" t="s">
        <v>38</v>
      </c>
      <c r="B23" s="51">
        <f>SUM(B25:B37)</f>
        <v>0</v>
      </c>
      <c r="C23" s="51">
        <f t="shared" ref="C23:AK23" si="14">SUM(C25:C37)</f>
        <v>0</v>
      </c>
      <c r="D23" s="51">
        <f t="shared" si="14"/>
        <v>0</v>
      </c>
      <c r="E23" s="51">
        <f t="shared" si="14"/>
        <v>0</v>
      </c>
      <c r="F23" s="51">
        <f t="shared" si="14"/>
        <v>0</v>
      </c>
      <c r="G23" s="51">
        <f t="shared" si="14"/>
        <v>0</v>
      </c>
      <c r="H23" s="51">
        <f t="shared" si="14"/>
        <v>0</v>
      </c>
      <c r="I23" s="51">
        <f t="shared" si="14"/>
        <v>0</v>
      </c>
      <c r="J23" s="51">
        <f t="shared" si="14"/>
        <v>428865.94000000006</v>
      </c>
      <c r="K23" s="51">
        <f t="shared" si="14"/>
        <v>0</v>
      </c>
      <c r="L23" s="51">
        <f t="shared" si="14"/>
        <v>0</v>
      </c>
      <c r="M23" s="51">
        <f t="shared" si="14"/>
        <v>445037.93200000003</v>
      </c>
      <c r="N23" s="51">
        <f t="shared" si="14"/>
        <v>0</v>
      </c>
      <c r="O23" s="51">
        <f t="shared" si="14"/>
        <v>640332.51925000013</v>
      </c>
      <c r="P23" s="51">
        <f t="shared" si="14"/>
        <v>0</v>
      </c>
      <c r="Q23" s="51">
        <f t="shared" si="14"/>
        <v>0</v>
      </c>
      <c r="R23" s="51">
        <f t="shared" si="14"/>
        <v>777200.54300000006</v>
      </c>
      <c r="S23" s="51">
        <f t="shared" si="14"/>
        <v>1487578.963</v>
      </c>
      <c r="T23" s="51">
        <f t="shared" si="14"/>
        <v>1014818.6629999999</v>
      </c>
      <c r="U23" s="51">
        <f t="shared" si="14"/>
        <v>1013421.129</v>
      </c>
      <c r="V23" s="51">
        <f t="shared" si="14"/>
        <v>1045486.95</v>
      </c>
      <c r="W23" s="51">
        <f t="shared" si="14"/>
        <v>1259991.6959999998</v>
      </c>
      <c r="X23" s="51">
        <f t="shared" si="14"/>
        <v>1320251.3570000001</v>
      </c>
      <c r="Y23" s="51">
        <f t="shared" si="14"/>
        <v>1488664.0490000001</v>
      </c>
      <c r="Z23" s="51">
        <f t="shared" si="14"/>
        <v>1574001.8800000001</v>
      </c>
      <c r="AA23" s="51">
        <f t="shared" si="14"/>
        <v>1679101.9679999996</v>
      </c>
      <c r="AB23" s="51">
        <f t="shared" si="14"/>
        <v>1463559.5589999997</v>
      </c>
      <c r="AC23" s="51">
        <f t="shared" si="14"/>
        <v>1382822</v>
      </c>
      <c r="AD23" s="51">
        <f t="shared" si="14"/>
        <v>1394875.2610000002</v>
      </c>
      <c r="AE23" s="51">
        <f t="shared" si="14"/>
        <v>1501715.817</v>
      </c>
      <c r="AF23" s="51">
        <f t="shared" si="14"/>
        <v>1234399.4960000003</v>
      </c>
      <c r="AG23" s="51">
        <f t="shared" si="14"/>
        <v>1472141.5389999999</v>
      </c>
      <c r="AH23" s="51">
        <f t="shared" si="14"/>
        <v>2578569.3339999998</v>
      </c>
      <c r="AI23" s="51">
        <f t="shared" si="14"/>
        <v>2733999.4510000004</v>
      </c>
      <c r="AJ23" s="51">
        <f t="shared" si="14"/>
        <v>0</v>
      </c>
      <c r="AK23" s="51">
        <f t="shared" si="14"/>
        <v>3297561.5220000008</v>
      </c>
      <c r="AL23" s="51">
        <f t="shared" ref="AL23" si="15">SUM(AL25:AL37)</f>
        <v>3539094.0860000006</v>
      </c>
    </row>
    <row r="24" spans="1:38" ht="12.75" customHeight="1">
      <c r="A24" s="6" t="s">
        <v>94</v>
      </c>
    </row>
    <row r="25" spans="1:38" ht="12.75" customHeight="1">
      <c r="A25" s="1" t="s">
        <v>39</v>
      </c>
      <c r="J25" s="126">
        <v>137.684</v>
      </c>
      <c r="M25" s="1">
        <v>378.61700000000002</v>
      </c>
      <c r="O25" s="1">
        <v>459.31700000000001</v>
      </c>
      <c r="R25" s="18">
        <v>990.30899999999997</v>
      </c>
      <c r="S25" s="1">
        <v>812.43799999999999</v>
      </c>
      <c r="T25" s="1">
        <v>1769.3589999999999</v>
      </c>
      <c r="U25" s="1">
        <v>1964.279</v>
      </c>
      <c r="V25" s="1">
        <v>1521.999</v>
      </c>
      <c r="W25" s="126">
        <v>1210.011</v>
      </c>
      <c r="X25" s="126">
        <v>7962.0079999999998</v>
      </c>
      <c r="Y25" s="126">
        <v>8182.2749999999996</v>
      </c>
      <c r="Z25" s="126">
        <v>2740.2950000000001</v>
      </c>
      <c r="AA25" s="126">
        <v>2469.596</v>
      </c>
      <c r="AB25" s="126">
        <v>2431.703</v>
      </c>
      <c r="AC25" s="126">
        <v>1218</v>
      </c>
      <c r="AD25" s="1">
        <v>2719.636</v>
      </c>
      <c r="AE25" s="1">
        <v>7244.25</v>
      </c>
      <c r="AH25" s="1">
        <v>2408.8049999999998</v>
      </c>
      <c r="AI25" s="1">
        <v>1565.4770000000001</v>
      </c>
      <c r="AK25" s="1">
        <v>1853.99</v>
      </c>
      <c r="AL25" s="1">
        <v>2142.0630000000001</v>
      </c>
    </row>
    <row r="26" spans="1:38" ht="12.75" customHeight="1">
      <c r="A26" s="1" t="s">
        <v>40</v>
      </c>
      <c r="J26" s="126">
        <v>19443.835999999999</v>
      </c>
      <c r="M26" s="1">
        <v>21216.695</v>
      </c>
      <c r="O26" s="1">
        <v>27016.36418</v>
      </c>
      <c r="R26" s="18">
        <v>25163.432000000001</v>
      </c>
      <c r="S26" s="1">
        <v>33777.980000000003</v>
      </c>
      <c r="T26" s="1">
        <v>37664.841999999997</v>
      </c>
      <c r="U26" s="1">
        <v>36873.567999999999</v>
      </c>
      <c r="V26" s="1">
        <v>39541.864000000001</v>
      </c>
      <c r="W26" s="126">
        <v>44334.658000000003</v>
      </c>
      <c r="X26" s="126">
        <v>40152.203000000001</v>
      </c>
      <c r="Y26" s="126">
        <v>45997.561999999998</v>
      </c>
      <c r="Z26" s="126">
        <v>49418.110999999997</v>
      </c>
      <c r="AA26" s="126">
        <v>51579.682999999997</v>
      </c>
      <c r="AB26" s="126">
        <v>44011.086000000003</v>
      </c>
      <c r="AC26" s="126">
        <v>43464</v>
      </c>
      <c r="AD26" s="1">
        <v>44726.794999999998</v>
      </c>
      <c r="AE26" s="1">
        <v>41607.108</v>
      </c>
      <c r="AF26" s="1">
        <v>5986.5330000000004</v>
      </c>
      <c r="AG26" s="1">
        <v>7107.62</v>
      </c>
      <c r="AH26" s="1">
        <v>46926.392</v>
      </c>
      <c r="AI26" s="1">
        <v>45665.17</v>
      </c>
      <c r="AK26" s="1">
        <v>47885.133999999998</v>
      </c>
      <c r="AL26" s="1">
        <v>49216.002999999997</v>
      </c>
    </row>
    <row r="27" spans="1:38" ht="12.75" customHeight="1">
      <c r="A27" s="1" t="s">
        <v>41</v>
      </c>
      <c r="J27" s="126">
        <v>277791.14799999999</v>
      </c>
      <c r="M27" s="1">
        <v>233058.622</v>
      </c>
      <c r="O27" s="1">
        <v>389036.46120000002</v>
      </c>
      <c r="R27" s="18">
        <v>450752.07199999999</v>
      </c>
      <c r="S27" s="1">
        <v>1113020.706</v>
      </c>
      <c r="T27" s="1">
        <v>644635.66700000002</v>
      </c>
      <c r="U27" s="1">
        <v>579156.20700000005</v>
      </c>
      <c r="V27" s="1">
        <v>598098.98199999996</v>
      </c>
      <c r="W27" s="126">
        <v>805314.49399999995</v>
      </c>
      <c r="X27" s="126">
        <v>800201.65</v>
      </c>
      <c r="Y27" s="126">
        <v>971328.44400000002</v>
      </c>
      <c r="Z27" s="126">
        <v>996737.66099999996</v>
      </c>
      <c r="AA27" s="126">
        <v>984219.86100000003</v>
      </c>
      <c r="AB27" s="126">
        <v>791863.47199999995</v>
      </c>
      <c r="AC27" s="126">
        <v>750405</v>
      </c>
      <c r="AD27" s="1">
        <v>725418.47400000005</v>
      </c>
      <c r="AE27" s="1">
        <v>807210.99</v>
      </c>
      <c r="AF27" s="1">
        <v>677066.88500000001</v>
      </c>
      <c r="AG27" s="1">
        <v>914624.777</v>
      </c>
      <c r="AH27" s="1">
        <v>1819926.7779999999</v>
      </c>
      <c r="AI27" s="1">
        <v>1904490.9669999999</v>
      </c>
      <c r="AK27" s="1">
        <v>2403593.6340000001</v>
      </c>
      <c r="AL27" s="1">
        <v>2575738.8480000002</v>
      </c>
    </row>
    <row r="28" spans="1:38" ht="12.75" customHeight="1">
      <c r="A28" s="1" t="s">
        <v>42</v>
      </c>
      <c r="J28" s="126">
        <v>13297.668</v>
      </c>
      <c r="M28" s="1">
        <v>13669.137000000001</v>
      </c>
      <c r="O28" s="1">
        <v>21316.004000000001</v>
      </c>
      <c r="R28" s="18">
        <v>21031.673999999999</v>
      </c>
      <c r="S28" s="1">
        <v>23218.055</v>
      </c>
      <c r="T28" s="1">
        <v>28431.904999999999</v>
      </c>
      <c r="U28" s="1">
        <v>31471.477999999999</v>
      </c>
      <c r="V28" s="1">
        <v>29324.574000000001</v>
      </c>
      <c r="W28" s="126">
        <v>30068.853000000003</v>
      </c>
      <c r="X28" s="126">
        <v>56781.862999999998</v>
      </c>
      <c r="Y28" s="126">
        <v>55902.576000000001</v>
      </c>
      <c r="Z28" s="126">
        <v>58589.945</v>
      </c>
      <c r="AA28" s="126">
        <v>58615.088000000003</v>
      </c>
      <c r="AB28" s="126">
        <v>39339.023999999998</v>
      </c>
      <c r="AC28" s="126">
        <v>53534</v>
      </c>
      <c r="AD28" s="1">
        <v>52231.303999999996</v>
      </c>
      <c r="AE28" s="1">
        <v>59265.913999999997</v>
      </c>
      <c r="AF28" s="1">
        <v>34062.798000000003</v>
      </c>
      <c r="AG28" s="1">
        <v>37313.686000000002</v>
      </c>
      <c r="AH28" s="1">
        <v>85309.664999999994</v>
      </c>
      <c r="AI28" s="1">
        <v>86874.593999999997</v>
      </c>
      <c r="AK28" s="1">
        <v>97411.001000000004</v>
      </c>
      <c r="AL28" s="1">
        <v>113067.848</v>
      </c>
    </row>
    <row r="29" spans="1:38" ht="12.75" customHeight="1">
      <c r="A29" s="1" t="s">
        <v>43</v>
      </c>
      <c r="J29" s="126">
        <v>4053.3220000000001</v>
      </c>
      <c r="M29" s="1">
        <v>3726.1279999999997</v>
      </c>
      <c r="O29" s="1">
        <v>1020.765</v>
      </c>
      <c r="R29" s="18">
        <v>1184.481</v>
      </c>
      <c r="S29" s="1">
        <v>980.44799999999998</v>
      </c>
      <c r="T29" s="1">
        <v>782.28800000000001</v>
      </c>
      <c r="U29" s="1">
        <v>21885.843000000001</v>
      </c>
      <c r="V29" s="1">
        <v>19690.449000000001</v>
      </c>
      <c r="W29" s="126">
        <v>21111.992000000002</v>
      </c>
      <c r="X29" s="126">
        <v>24714.762999999999</v>
      </c>
      <c r="Y29" s="126">
        <v>27067.999</v>
      </c>
      <c r="Z29" s="126">
        <v>31499.499</v>
      </c>
      <c r="AA29" s="126">
        <v>42605.368999999999</v>
      </c>
      <c r="AB29" s="126">
        <v>39778.415000000001</v>
      </c>
      <c r="AC29" s="126">
        <v>39373</v>
      </c>
      <c r="AD29" s="1">
        <v>41788.834000000003</v>
      </c>
      <c r="AE29" s="1">
        <v>45273.154999999999</v>
      </c>
      <c r="AF29" s="1">
        <v>41838.226000000002</v>
      </c>
      <c r="AG29" s="1">
        <v>52499.199999999997</v>
      </c>
      <c r="AH29" s="1">
        <v>57247</v>
      </c>
      <c r="AI29" s="1">
        <v>64603.025999999998</v>
      </c>
      <c r="AK29" s="1">
        <v>81608.703999999998</v>
      </c>
      <c r="AL29" s="1">
        <v>85034.752999999997</v>
      </c>
    </row>
    <row r="30" spans="1:38" ht="12.75" customHeight="1">
      <c r="A30" s="1" t="s">
        <v>44</v>
      </c>
      <c r="J30" s="126">
        <v>1601.35</v>
      </c>
      <c r="M30" s="1">
        <v>3173.7739999999999</v>
      </c>
      <c r="O30" s="1">
        <v>4693.2290000000003</v>
      </c>
      <c r="R30" s="18">
        <v>4909.9180000000006</v>
      </c>
      <c r="S30" s="1">
        <v>5689.2829999999994</v>
      </c>
      <c r="T30" s="1">
        <v>5738.58</v>
      </c>
      <c r="U30" s="1">
        <v>10931.254000000001</v>
      </c>
      <c r="V30" s="1">
        <v>10694.956</v>
      </c>
      <c r="W30" s="126">
        <v>10541.128999999999</v>
      </c>
      <c r="X30" s="126">
        <v>11738.603999999999</v>
      </c>
      <c r="Y30" s="126">
        <v>9820.857</v>
      </c>
      <c r="Z30" s="126">
        <v>11504.787</v>
      </c>
      <c r="AA30" s="126">
        <v>11708.052</v>
      </c>
      <c r="AB30" s="126">
        <v>14890.439</v>
      </c>
      <c r="AC30" s="126">
        <v>12183</v>
      </c>
      <c r="AD30" s="1">
        <v>12787.218000000001</v>
      </c>
      <c r="AE30" s="1">
        <v>17662.625</v>
      </c>
      <c r="AF30" s="1">
        <v>17748.434000000001</v>
      </c>
      <c r="AG30" s="1">
        <v>6828.7619999999997</v>
      </c>
      <c r="AH30" s="1">
        <v>9160.0789999999997</v>
      </c>
      <c r="AI30" s="1">
        <v>12733.739</v>
      </c>
      <c r="AK30" s="1">
        <v>15205.654</v>
      </c>
      <c r="AL30" s="1">
        <v>13997.451999999999</v>
      </c>
    </row>
    <row r="31" spans="1:38" ht="12.75" customHeight="1">
      <c r="A31" s="1" t="s">
        <v>45</v>
      </c>
      <c r="J31" s="126">
        <v>1077.8739999999998</v>
      </c>
      <c r="M31" s="1">
        <v>1909.287</v>
      </c>
      <c r="O31" s="1">
        <v>3744.6721600000001</v>
      </c>
      <c r="R31" s="24">
        <v>4408.5069999999996</v>
      </c>
      <c r="S31" s="1">
        <v>4104.366</v>
      </c>
      <c r="T31" s="1">
        <v>4849.509</v>
      </c>
      <c r="U31" s="1">
        <v>7648.3609999999999</v>
      </c>
      <c r="V31" s="1">
        <v>5063.0339999999997</v>
      </c>
      <c r="W31" s="126">
        <v>3347.4630000000002</v>
      </c>
      <c r="X31" s="126">
        <v>5300.1459999999997</v>
      </c>
      <c r="Y31" s="126">
        <v>5484.0379999999996</v>
      </c>
      <c r="Z31" s="126">
        <v>7591.9650000000001</v>
      </c>
      <c r="AA31" s="126">
        <v>7635.9260000000004</v>
      </c>
      <c r="AB31" s="126">
        <v>5901.15</v>
      </c>
      <c r="AC31" s="126">
        <v>5497</v>
      </c>
      <c r="AD31" s="1">
        <v>5678.393</v>
      </c>
      <c r="AE31" s="1">
        <v>4781.558</v>
      </c>
      <c r="AF31" s="1">
        <v>5182.3389999999999</v>
      </c>
      <c r="AG31" s="1">
        <v>5318.7839999999997</v>
      </c>
      <c r="AH31" s="1">
        <v>5968.2849999999999</v>
      </c>
      <c r="AI31" s="1">
        <v>5639.125</v>
      </c>
      <c r="AK31" s="1">
        <v>7074.3130000000001</v>
      </c>
      <c r="AL31" s="1">
        <v>6723.1490000000003</v>
      </c>
    </row>
    <row r="32" spans="1:38" ht="12.75" customHeight="1">
      <c r="A32" s="1" t="s">
        <v>46</v>
      </c>
      <c r="J32" s="126">
        <v>2260.7429999999999</v>
      </c>
      <c r="M32" s="1">
        <v>3238.0889999999999</v>
      </c>
      <c r="O32" s="1">
        <v>4183</v>
      </c>
      <c r="R32" s="24">
        <v>7363</v>
      </c>
      <c r="S32" s="1">
        <v>8991</v>
      </c>
      <c r="T32" s="1">
        <v>10645</v>
      </c>
      <c r="U32" s="1">
        <v>10348</v>
      </c>
      <c r="V32" s="1">
        <v>4037</v>
      </c>
      <c r="W32" s="126">
        <v>3554</v>
      </c>
      <c r="X32" s="126">
        <v>3580</v>
      </c>
      <c r="Y32" s="126">
        <v>2149</v>
      </c>
      <c r="Z32" s="126">
        <v>1864</v>
      </c>
      <c r="AA32" s="126">
        <v>10662</v>
      </c>
      <c r="AB32" s="126">
        <v>13333</v>
      </c>
      <c r="AC32" s="126">
        <v>13062</v>
      </c>
      <c r="AD32" s="1">
        <v>8175</v>
      </c>
      <c r="AE32" s="1">
        <v>8053</v>
      </c>
      <c r="AF32" s="1">
        <v>7632</v>
      </c>
      <c r="AG32" s="1">
        <v>7268</v>
      </c>
      <c r="AH32" s="1">
        <v>9838</v>
      </c>
      <c r="AI32" s="1">
        <v>9883</v>
      </c>
      <c r="AK32" s="1">
        <v>12834</v>
      </c>
      <c r="AL32" s="1">
        <v>14140</v>
      </c>
    </row>
    <row r="33" spans="1:38" ht="12.75" customHeight="1">
      <c r="A33" s="1" t="s">
        <v>47</v>
      </c>
      <c r="J33" s="126">
        <v>9729.7260000000006</v>
      </c>
      <c r="M33" s="1">
        <v>8058.7910000000002</v>
      </c>
      <c r="O33" s="1">
        <v>10307.32756</v>
      </c>
      <c r="R33" s="24">
        <v>23446.232</v>
      </c>
      <c r="S33" s="1">
        <v>23477.155999999999</v>
      </c>
      <c r="T33" s="1">
        <v>22470.626</v>
      </c>
      <c r="U33" s="1">
        <v>33375.847999999998</v>
      </c>
      <c r="V33" s="1">
        <v>32666.031999999999</v>
      </c>
      <c r="W33" s="126">
        <v>32230.040999999997</v>
      </c>
      <c r="X33" s="126">
        <v>36722.163999999997</v>
      </c>
      <c r="Y33" s="126">
        <v>33002.999000000003</v>
      </c>
      <c r="Z33" s="126">
        <v>39011.733999999997</v>
      </c>
      <c r="AA33" s="126">
        <v>46919.686999999998</v>
      </c>
      <c r="AB33" s="126">
        <v>44048.896000000001</v>
      </c>
      <c r="AC33" s="126">
        <v>45930</v>
      </c>
      <c r="AD33" s="1">
        <v>44921.550999999999</v>
      </c>
      <c r="AE33" s="1">
        <v>44658.254000000001</v>
      </c>
      <c r="AF33" s="1">
        <v>38026.923999999999</v>
      </c>
      <c r="AG33" s="1">
        <v>30190.395</v>
      </c>
      <c r="AH33" s="1">
        <v>33023.156000000003</v>
      </c>
      <c r="AI33" s="1">
        <v>29005.276000000002</v>
      </c>
      <c r="AK33" s="1">
        <v>35723.864999999998</v>
      </c>
      <c r="AL33" s="1">
        <v>41704.656000000003</v>
      </c>
    </row>
    <row r="34" spans="1:38" ht="12.75" customHeight="1">
      <c r="A34" s="1" t="s">
        <v>48</v>
      </c>
      <c r="J34" s="126">
        <v>30929.987999999998</v>
      </c>
      <c r="M34" s="1">
        <v>37622.033000000003</v>
      </c>
      <c r="O34" s="1">
        <v>42571.821660000001</v>
      </c>
      <c r="R34" s="18">
        <v>49639.082000000002</v>
      </c>
      <c r="S34" s="1">
        <v>46202.161</v>
      </c>
      <c r="T34" s="1">
        <v>45599.81</v>
      </c>
      <c r="U34" s="1">
        <v>44331.381000000001</v>
      </c>
      <c r="V34" s="1">
        <v>41572.671000000002</v>
      </c>
      <c r="W34" s="126">
        <v>44720.244000000006</v>
      </c>
      <c r="X34" s="126">
        <v>51516.112999999998</v>
      </c>
      <c r="Y34" s="126">
        <v>50083.133999999998</v>
      </c>
      <c r="Z34" s="126">
        <v>60583.538</v>
      </c>
      <c r="AA34" s="126">
        <v>97820.656000000003</v>
      </c>
      <c r="AB34" s="126">
        <v>108735.215</v>
      </c>
      <c r="AC34" s="126">
        <v>61660</v>
      </c>
      <c r="AD34" s="1">
        <v>70225.987999999998</v>
      </c>
      <c r="AE34" s="1">
        <v>59845.413</v>
      </c>
      <c r="AF34" s="1">
        <v>65496.148000000001</v>
      </c>
      <c r="AG34" s="1">
        <v>64960.004999999997</v>
      </c>
      <c r="AH34" s="1">
        <v>64525.288999999997</v>
      </c>
      <c r="AI34" s="1">
        <v>100206.879</v>
      </c>
      <c r="AK34" s="1">
        <v>87676.543999999994</v>
      </c>
      <c r="AL34" s="1">
        <v>90908.934999999998</v>
      </c>
    </row>
    <row r="35" spans="1:38" ht="12.75" customHeight="1">
      <c r="A35" s="1" t="s">
        <v>49</v>
      </c>
      <c r="J35" s="126">
        <v>6171.2340000000004</v>
      </c>
      <c r="M35" s="1">
        <v>4910.0860000000002</v>
      </c>
      <c r="O35" s="1">
        <v>6987.8389999999999</v>
      </c>
      <c r="R35" s="18">
        <v>6494.3090000000002</v>
      </c>
      <c r="S35" s="1">
        <v>8932.6939999999995</v>
      </c>
      <c r="T35" s="1">
        <v>6608.2240000000002</v>
      </c>
      <c r="U35" s="1">
        <v>8214.1</v>
      </c>
      <c r="V35" s="1">
        <v>10111.867</v>
      </c>
      <c r="W35" s="126">
        <v>8831.9359999999997</v>
      </c>
      <c r="X35" s="126">
        <v>11354.646000000001</v>
      </c>
      <c r="Y35" s="126">
        <v>12553.806</v>
      </c>
      <c r="Z35" s="126">
        <v>15559.322</v>
      </c>
      <c r="AA35" s="126">
        <v>13256.558999999999</v>
      </c>
      <c r="AB35" s="126">
        <v>11970.646000000001</v>
      </c>
      <c r="AC35" s="126">
        <v>8830</v>
      </c>
      <c r="AD35" s="1">
        <v>4523.9179999999997</v>
      </c>
      <c r="AE35" s="1">
        <v>10175.885</v>
      </c>
      <c r="AF35" s="1">
        <v>7872.4070000000002</v>
      </c>
      <c r="AG35" s="1">
        <v>8443.5290000000005</v>
      </c>
      <c r="AH35" s="1">
        <v>6015.8209999999999</v>
      </c>
      <c r="AI35" s="1">
        <v>5341.9409999999998</v>
      </c>
      <c r="AK35" s="1">
        <v>6266.3969999999999</v>
      </c>
      <c r="AL35" s="1">
        <v>6755.8620000000001</v>
      </c>
    </row>
    <row r="36" spans="1:38" ht="12.75" customHeight="1">
      <c r="A36" s="1" t="s">
        <v>50</v>
      </c>
      <c r="J36" s="126">
        <v>56984.535999999993</v>
      </c>
      <c r="M36" s="1">
        <v>109589.64700000001</v>
      </c>
      <c r="O36" s="1">
        <v>124193.57549</v>
      </c>
      <c r="R36" s="18">
        <v>177782.38800000001</v>
      </c>
      <c r="S36" s="1">
        <v>213570.98499999999</v>
      </c>
      <c r="T36" s="1">
        <v>200124.84400000001</v>
      </c>
      <c r="U36" s="1">
        <v>221402.41099999999</v>
      </c>
      <c r="V36" s="1">
        <v>247348.071</v>
      </c>
      <c r="W36" s="126">
        <v>249700.56399999998</v>
      </c>
      <c r="X36" s="126">
        <v>263011.38</v>
      </c>
      <c r="Y36" s="126">
        <v>253642.16899999999</v>
      </c>
      <c r="Z36" s="126">
        <v>278364.815</v>
      </c>
      <c r="AA36" s="126">
        <v>337371.34499999997</v>
      </c>
      <c r="AB36" s="126">
        <v>329593.67099999997</v>
      </c>
      <c r="AC36" s="126">
        <v>329243</v>
      </c>
      <c r="AD36" s="1">
        <v>361576.62300000002</v>
      </c>
      <c r="AE36" s="1">
        <v>367742.01799999998</v>
      </c>
      <c r="AF36" s="1">
        <v>305406.114</v>
      </c>
      <c r="AG36" s="1">
        <v>298508.51699999999</v>
      </c>
      <c r="AH36" s="1">
        <v>409693.54100000003</v>
      </c>
      <c r="AI36" s="1">
        <v>440875.587</v>
      </c>
      <c r="AK36" s="1">
        <v>471972.92200000002</v>
      </c>
      <c r="AL36" s="1">
        <v>515218.04300000001</v>
      </c>
    </row>
    <row r="37" spans="1:38" ht="12.75" customHeight="1">
      <c r="A37" s="27" t="s">
        <v>51</v>
      </c>
      <c r="B37" s="27"/>
      <c r="C37" s="27"/>
      <c r="D37" s="27"/>
      <c r="E37" s="27"/>
      <c r="F37" s="27"/>
      <c r="G37" s="27"/>
      <c r="H37" s="27"/>
      <c r="I37" s="27"/>
      <c r="J37" s="127">
        <v>5386.8310000000001</v>
      </c>
      <c r="K37" s="27"/>
      <c r="L37" s="27"/>
      <c r="M37" s="27">
        <v>4487.0259999999998</v>
      </c>
      <c r="N37" s="27"/>
      <c r="O37" s="27">
        <v>4802.143</v>
      </c>
      <c r="P37" s="27"/>
      <c r="Q37" s="27"/>
      <c r="R37" s="37">
        <v>4035.1390000000001</v>
      </c>
      <c r="S37" s="27">
        <v>4801.6909999999998</v>
      </c>
      <c r="T37" s="27">
        <v>5498.009</v>
      </c>
      <c r="U37" s="27">
        <v>5818.3990000000003</v>
      </c>
      <c r="V37" s="27">
        <v>5815.451</v>
      </c>
      <c r="W37" s="127">
        <v>5026.3109999999997</v>
      </c>
      <c r="X37" s="127">
        <v>7215.817</v>
      </c>
      <c r="Y37" s="127">
        <v>13449.19</v>
      </c>
      <c r="Z37" s="127">
        <v>20536.207999999999</v>
      </c>
      <c r="AA37" s="127">
        <v>14238.146000000001</v>
      </c>
      <c r="AB37" s="127">
        <v>17662.842000000001</v>
      </c>
      <c r="AC37" s="127">
        <v>18423</v>
      </c>
      <c r="AD37" s="27">
        <v>20101.526999999998</v>
      </c>
      <c r="AE37" s="27">
        <v>28195.647000000001</v>
      </c>
      <c r="AF37" s="27">
        <v>28080.687999999998</v>
      </c>
      <c r="AG37" s="27">
        <v>39078.264000000003</v>
      </c>
      <c r="AH37" s="27">
        <v>28526.523000000001</v>
      </c>
      <c r="AI37" s="27">
        <v>27114.67</v>
      </c>
      <c r="AJ37" s="27"/>
      <c r="AK37" s="1">
        <v>28455.364000000001</v>
      </c>
      <c r="AL37" s="1">
        <v>24446.473999999998</v>
      </c>
    </row>
    <row r="38" spans="1:38" ht="12.75" customHeight="1">
      <c r="A38" s="6" t="s">
        <v>52</v>
      </c>
      <c r="B38" s="51">
        <f>SUM(B40:B51)</f>
        <v>0</v>
      </c>
      <c r="C38" s="51">
        <f t="shared" ref="C38:AK38" si="16">SUM(C40:C51)</f>
        <v>0</v>
      </c>
      <c r="D38" s="51">
        <f t="shared" si="16"/>
        <v>0</v>
      </c>
      <c r="E38" s="51">
        <f t="shared" si="16"/>
        <v>0</v>
      </c>
      <c r="F38" s="51">
        <f t="shared" si="16"/>
        <v>0</v>
      </c>
      <c r="G38" s="51">
        <f t="shared" si="16"/>
        <v>0</v>
      </c>
      <c r="H38" s="51">
        <f t="shared" si="16"/>
        <v>0</v>
      </c>
      <c r="I38" s="51">
        <f t="shared" si="16"/>
        <v>0</v>
      </c>
      <c r="J38" s="51">
        <f t="shared" si="16"/>
        <v>209556.00399999996</v>
      </c>
      <c r="K38" s="51">
        <f t="shared" si="16"/>
        <v>0</v>
      </c>
      <c r="L38" s="51">
        <f t="shared" si="16"/>
        <v>0</v>
      </c>
      <c r="M38" s="51">
        <f t="shared" si="16"/>
        <v>273027.66600000003</v>
      </c>
      <c r="N38" s="51">
        <f t="shared" si="16"/>
        <v>0</v>
      </c>
      <c r="O38" s="51">
        <f t="shared" si="16"/>
        <v>443447.90270000004</v>
      </c>
      <c r="P38" s="51">
        <f t="shared" si="16"/>
        <v>0</v>
      </c>
      <c r="Q38" s="51">
        <f t="shared" si="16"/>
        <v>0</v>
      </c>
      <c r="R38" s="51">
        <f t="shared" si="16"/>
        <v>478905.39800000004</v>
      </c>
      <c r="S38" s="51">
        <f t="shared" si="16"/>
        <v>514262.83299999998</v>
      </c>
      <c r="T38" s="51">
        <f t="shared" si="16"/>
        <v>601356.93700000003</v>
      </c>
      <c r="U38" s="51">
        <f t="shared" si="16"/>
        <v>592196.46400000004</v>
      </c>
      <c r="V38" s="51">
        <f t="shared" si="16"/>
        <v>740533.35100000014</v>
      </c>
      <c r="W38" s="51">
        <f t="shared" si="16"/>
        <v>646794.72199999995</v>
      </c>
      <c r="X38" s="51">
        <f t="shared" si="16"/>
        <v>656170.62799999991</v>
      </c>
      <c r="Y38" s="51">
        <f t="shared" si="16"/>
        <v>648791.34499999997</v>
      </c>
      <c r="Z38" s="51">
        <f t="shared" si="16"/>
        <v>704946.9439999999</v>
      </c>
      <c r="AA38" s="51">
        <f t="shared" si="16"/>
        <v>786388.39600000007</v>
      </c>
      <c r="AB38" s="51">
        <f t="shared" si="16"/>
        <v>699053.00300000003</v>
      </c>
      <c r="AC38" s="51">
        <f t="shared" si="16"/>
        <v>761133</v>
      </c>
      <c r="AD38" s="51">
        <f t="shared" si="16"/>
        <v>810090.09900000016</v>
      </c>
      <c r="AE38" s="51">
        <f t="shared" si="16"/>
        <v>863959.19200000004</v>
      </c>
      <c r="AF38" s="51">
        <f t="shared" si="16"/>
        <v>600730.60699999996</v>
      </c>
      <c r="AG38" s="51">
        <f t="shared" si="16"/>
        <v>630445.14500000002</v>
      </c>
      <c r="AH38" s="51">
        <f t="shared" si="16"/>
        <v>937214.64099999995</v>
      </c>
      <c r="AI38" s="51">
        <f t="shared" si="16"/>
        <v>1035415.62</v>
      </c>
      <c r="AJ38" s="51">
        <f t="shared" si="16"/>
        <v>0</v>
      </c>
      <c r="AK38" s="131">
        <f t="shared" si="16"/>
        <v>1130915.0760000001</v>
      </c>
      <c r="AL38" s="131">
        <f t="shared" ref="AL38" si="17">SUM(AL40:AL51)</f>
        <v>1231466.6299999999</v>
      </c>
    </row>
    <row r="39" spans="1:38" ht="12.75" customHeight="1">
      <c r="A39" s="6" t="s">
        <v>94</v>
      </c>
    </row>
    <row r="40" spans="1:38" ht="12.75" customHeight="1">
      <c r="A40" s="1" t="s">
        <v>53</v>
      </c>
      <c r="J40" s="126">
        <v>74626.426999999996</v>
      </c>
      <c r="M40" s="1">
        <v>90289.403999999995</v>
      </c>
      <c r="O40" s="1">
        <v>192995.60434000002</v>
      </c>
      <c r="R40" s="18">
        <v>199458.18600000002</v>
      </c>
      <c r="S40" s="1">
        <v>197560.84599999999</v>
      </c>
      <c r="T40" s="1">
        <v>260540.92199999999</v>
      </c>
      <c r="U40" s="1">
        <v>203701.43</v>
      </c>
      <c r="V40" s="1">
        <v>396319.72399999999</v>
      </c>
      <c r="W40" s="126">
        <v>265367.69699999999</v>
      </c>
      <c r="X40" s="126">
        <v>267790.48499999999</v>
      </c>
      <c r="Y40" s="126">
        <v>241575.266</v>
      </c>
      <c r="Z40" s="126">
        <v>266347.70699999999</v>
      </c>
      <c r="AA40" s="126">
        <v>268620.06599999999</v>
      </c>
      <c r="AB40" s="126">
        <v>307533.98599999998</v>
      </c>
      <c r="AC40" s="126">
        <v>343150</v>
      </c>
      <c r="AD40" s="1">
        <v>384309.36200000002</v>
      </c>
      <c r="AE40" s="1">
        <v>425286.93099999998</v>
      </c>
      <c r="AF40" s="1">
        <v>234203.64499999999</v>
      </c>
      <c r="AG40" s="1">
        <v>242282.91699999999</v>
      </c>
      <c r="AH40" s="1">
        <v>434117.533</v>
      </c>
      <c r="AI40" s="1">
        <v>546365.95900000003</v>
      </c>
      <c r="AK40" s="1">
        <v>610454.90700000001</v>
      </c>
      <c r="AL40" s="1">
        <v>706576.17700000003</v>
      </c>
    </row>
    <row r="41" spans="1:38" ht="12.75" customHeight="1">
      <c r="A41" s="1" t="s">
        <v>54</v>
      </c>
      <c r="J41" s="126">
        <v>22199.527999999998</v>
      </c>
      <c r="M41" s="1">
        <v>24864.249</v>
      </c>
      <c r="O41" s="1">
        <v>45467.952000000005</v>
      </c>
      <c r="R41" s="18">
        <v>40637.999000000003</v>
      </c>
      <c r="S41" s="1">
        <v>40887.557000000001</v>
      </c>
      <c r="T41" s="1">
        <v>41544.805</v>
      </c>
      <c r="U41" s="1">
        <v>47669.84</v>
      </c>
      <c r="V41" s="1">
        <v>29943.322</v>
      </c>
      <c r="W41" s="126">
        <v>37714.468999999997</v>
      </c>
      <c r="X41" s="126">
        <v>37652.555</v>
      </c>
      <c r="Y41" s="126">
        <v>27403.518</v>
      </c>
      <c r="Z41" s="126">
        <v>30778.828000000001</v>
      </c>
      <c r="AA41" s="126">
        <v>39544.591999999997</v>
      </c>
      <c r="AB41" s="126">
        <v>52221.993000000002</v>
      </c>
      <c r="AC41" s="126">
        <v>65939</v>
      </c>
      <c r="AD41" s="1">
        <v>65987.769</v>
      </c>
      <c r="AE41" s="1">
        <v>70567.798999999999</v>
      </c>
      <c r="AF41" s="1">
        <v>74208.563999999998</v>
      </c>
      <c r="AG41" s="1">
        <v>71714.414999999994</v>
      </c>
      <c r="AH41" s="1">
        <v>51091.504000000001</v>
      </c>
      <c r="AI41" s="1">
        <v>48378.743999999999</v>
      </c>
      <c r="AK41" s="1">
        <v>69489.762000000002</v>
      </c>
      <c r="AL41" s="1">
        <v>68197.682000000001</v>
      </c>
    </row>
    <row r="42" spans="1:38" ht="12.75" customHeight="1">
      <c r="A42" s="1" t="s">
        <v>55</v>
      </c>
      <c r="J42" s="126">
        <v>9259.3729999999996</v>
      </c>
      <c r="M42" s="1">
        <v>9809.610999999999</v>
      </c>
      <c r="O42" s="1">
        <v>9283.9490000000005</v>
      </c>
      <c r="R42" s="18">
        <v>16372.244999999999</v>
      </c>
      <c r="S42" s="1">
        <v>18493.987000000001</v>
      </c>
      <c r="T42" s="1">
        <v>22519.385999999999</v>
      </c>
      <c r="U42" s="1">
        <v>32851.978999999999</v>
      </c>
      <c r="V42" s="1">
        <v>39153.754999999997</v>
      </c>
      <c r="W42" s="126">
        <v>41200.117000000006</v>
      </c>
      <c r="X42" s="126">
        <v>48555.349000000002</v>
      </c>
      <c r="Y42" s="126">
        <v>48016.836000000003</v>
      </c>
      <c r="Z42" s="126">
        <v>60008.408000000003</v>
      </c>
      <c r="AA42" s="126">
        <v>71319.591</v>
      </c>
      <c r="AB42" s="126">
        <v>45269.593999999997</v>
      </c>
      <c r="AC42" s="126">
        <v>50757</v>
      </c>
      <c r="AD42" s="1">
        <v>52459.427000000003</v>
      </c>
      <c r="AE42" s="1">
        <v>60581.116999999998</v>
      </c>
      <c r="AF42" s="1">
        <v>44576.534</v>
      </c>
      <c r="AG42" s="1">
        <v>56729.163999999997</v>
      </c>
      <c r="AH42" s="1">
        <v>49982.216999999997</v>
      </c>
      <c r="AI42" s="1">
        <v>48005.900999999998</v>
      </c>
      <c r="AK42" s="1">
        <v>52091.724000000002</v>
      </c>
      <c r="AL42" s="1">
        <v>52486.065000000002</v>
      </c>
    </row>
    <row r="43" spans="1:38" ht="12.75" customHeight="1">
      <c r="A43" s="1" t="s">
        <v>56</v>
      </c>
      <c r="J43" s="126">
        <v>11528.324999999999</v>
      </c>
      <c r="M43" s="1">
        <v>8299.4850000000006</v>
      </c>
      <c r="O43" s="1">
        <v>12455.384</v>
      </c>
      <c r="R43" s="18">
        <v>16927.240000000002</v>
      </c>
      <c r="S43" s="1">
        <v>12960.513000000001</v>
      </c>
      <c r="T43" s="1">
        <v>20446.915000000001</v>
      </c>
      <c r="U43" s="1">
        <v>22557.677</v>
      </c>
      <c r="V43" s="1">
        <v>13170.397000000001</v>
      </c>
      <c r="W43" s="126">
        <v>24563.913</v>
      </c>
      <c r="X43" s="126">
        <v>16017.813</v>
      </c>
      <c r="Y43" s="126">
        <v>16670.436000000002</v>
      </c>
      <c r="Z43" s="126">
        <v>17394.222000000002</v>
      </c>
      <c r="AA43" s="126">
        <v>56666.936999999998</v>
      </c>
      <c r="AB43" s="126">
        <v>19761.284</v>
      </c>
      <c r="AC43" s="126">
        <v>19426</v>
      </c>
      <c r="AD43" s="1">
        <v>18693.675999999999</v>
      </c>
      <c r="AE43" s="1">
        <v>24967.105</v>
      </c>
      <c r="AF43" s="1">
        <v>13336.161</v>
      </c>
      <c r="AG43" s="1">
        <v>12825.467000000001</v>
      </c>
      <c r="AH43" s="1">
        <v>21696.483</v>
      </c>
      <c r="AI43" s="1">
        <v>23971.891</v>
      </c>
      <c r="AK43" s="1">
        <v>28101.244999999999</v>
      </c>
      <c r="AL43" s="1">
        <v>29498.959999999999</v>
      </c>
    </row>
    <row r="44" spans="1:38" ht="12.75" customHeight="1">
      <c r="A44" s="1" t="s">
        <v>57</v>
      </c>
      <c r="J44" s="126">
        <v>28454.725000000002</v>
      </c>
      <c r="M44" s="1">
        <v>52992.383999999998</v>
      </c>
      <c r="O44" s="1">
        <v>42874.014000000003</v>
      </c>
      <c r="R44" s="18">
        <v>51550.662000000004</v>
      </c>
      <c r="S44" s="1">
        <v>63462.338000000003</v>
      </c>
      <c r="T44" s="1">
        <v>73318.847999999998</v>
      </c>
      <c r="U44" s="1">
        <v>79905.683000000005</v>
      </c>
      <c r="V44" s="1">
        <v>62050.826999999997</v>
      </c>
      <c r="W44" s="126">
        <v>63240.837</v>
      </c>
      <c r="X44" s="126">
        <v>67254.570999999996</v>
      </c>
      <c r="Y44" s="126">
        <v>69858.42</v>
      </c>
      <c r="Z44" s="126">
        <v>63008.455999999998</v>
      </c>
      <c r="AA44" s="126">
        <v>63072.879000000001</v>
      </c>
      <c r="AB44" s="126">
        <v>47465.712</v>
      </c>
      <c r="AC44" s="126">
        <v>48169</v>
      </c>
      <c r="AD44" s="1">
        <v>54352.436999999998</v>
      </c>
      <c r="AE44" s="1">
        <v>37395.000999999997</v>
      </c>
      <c r="AF44" s="1">
        <v>45346.48</v>
      </c>
      <c r="AG44" s="1">
        <v>54765.85</v>
      </c>
      <c r="AH44" s="1">
        <v>55300.646999999997</v>
      </c>
      <c r="AI44" s="1">
        <v>64154.837</v>
      </c>
      <c r="AK44" s="1">
        <v>55168.959999999999</v>
      </c>
      <c r="AL44" s="1">
        <v>60362.203000000001</v>
      </c>
    </row>
    <row r="45" spans="1:38" ht="12.75" customHeight="1">
      <c r="A45" s="1" t="s">
        <v>58</v>
      </c>
      <c r="J45" s="126">
        <v>16648.028999999999</v>
      </c>
      <c r="M45" s="1">
        <v>32191.817999999999</v>
      </c>
      <c r="O45" s="1">
        <v>42967.273609999997</v>
      </c>
      <c r="R45" s="18">
        <v>41541.069000000003</v>
      </c>
      <c r="S45" s="1">
        <v>44312.54</v>
      </c>
      <c r="T45" s="1">
        <v>49928.107000000004</v>
      </c>
      <c r="U45" s="1">
        <v>40677.417999999998</v>
      </c>
      <c r="V45" s="1">
        <v>37582.356</v>
      </c>
      <c r="W45" s="126">
        <v>45354.127</v>
      </c>
      <c r="X45" s="126">
        <v>47658.853000000003</v>
      </c>
      <c r="Y45" s="126">
        <v>57705.576999999997</v>
      </c>
      <c r="Z45" s="126">
        <v>56369.508000000002</v>
      </c>
      <c r="AA45" s="126">
        <v>57176.500999999997</v>
      </c>
      <c r="AB45" s="126">
        <v>57850.313000000002</v>
      </c>
      <c r="AC45" s="126">
        <v>44224</v>
      </c>
      <c r="AD45" s="1">
        <v>47873.658000000003</v>
      </c>
      <c r="AE45" s="1">
        <v>57721.781000000003</v>
      </c>
      <c r="AF45" s="1">
        <v>47645.542999999998</v>
      </c>
      <c r="AG45" s="1">
        <v>52965.788999999997</v>
      </c>
      <c r="AH45" s="1">
        <v>68109.589000000007</v>
      </c>
      <c r="AI45" s="1">
        <v>76189.735000000001</v>
      </c>
      <c r="AK45" s="1">
        <v>70256.504000000001</v>
      </c>
      <c r="AL45" s="1">
        <v>69629.990000000005</v>
      </c>
    </row>
    <row r="46" spans="1:38" ht="12.75" customHeight="1">
      <c r="A46" s="1" t="s">
        <v>59</v>
      </c>
      <c r="J46" s="126">
        <v>14336.849</v>
      </c>
      <c r="M46" s="1">
        <v>9245.5079999999998</v>
      </c>
      <c r="O46" s="1">
        <v>38370.078999999998</v>
      </c>
      <c r="R46" s="18">
        <v>28598.16</v>
      </c>
      <c r="S46" s="1">
        <v>37012.542000000001</v>
      </c>
      <c r="T46" s="1">
        <v>20923.314999999999</v>
      </c>
      <c r="U46" s="1">
        <v>18542.218000000001</v>
      </c>
      <c r="V46" s="1">
        <v>20130.542000000001</v>
      </c>
      <c r="W46" s="126">
        <v>18285.224999999999</v>
      </c>
      <c r="X46" s="126">
        <v>19817.516</v>
      </c>
      <c r="Y46" s="126">
        <v>22542.624</v>
      </c>
      <c r="Z46" s="126">
        <v>42131.247000000003</v>
      </c>
      <c r="AA46" s="126">
        <v>28089.656999999999</v>
      </c>
      <c r="AB46" s="126">
        <v>30225.473000000002</v>
      </c>
      <c r="AC46" s="126">
        <v>30347</v>
      </c>
      <c r="AD46" s="1">
        <v>41774.334000000003</v>
      </c>
      <c r="AE46" s="1">
        <v>29349.359</v>
      </c>
      <c r="AF46" s="1">
        <v>36781.108</v>
      </c>
      <c r="AG46" s="1">
        <v>31404.532999999999</v>
      </c>
      <c r="AH46" s="1">
        <v>46287.71</v>
      </c>
      <c r="AI46" s="1">
        <v>40379.786999999997</v>
      </c>
      <c r="AK46" s="1">
        <v>42726.688999999998</v>
      </c>
      <c r="AL46" s="1">
        <v>45937.010999999999</v>
      </c>
    </row>
    <row r="47" spans="1:38" ht="12.75" customHeight="1">
      <c r="A47" s="1" t="s">
        <v>60</v>
      </c>
      <c r="J47" s="126">
        <v>2871.1469999999999</v>
      </c>
      <c r="M47" s="1">
        <v>1919.835</v>
      </c>
      <c r="O47" s="1">
        <v>3801.2550000000001</v>
      </c>
      <c r="R47" s="24">
        <v>2991.683</v>
      </c>
      <c r="S47" s="1">
        <v>3117.6909999999998</v>
      </c>
      <c r="T47" s="1">
        <v>4720.7870000000003</v>
      </c>
      <c r="U47" s="1">
        <v>6335.9170000000004</v>
      </c>
      <c r="V47" s="1">
        <v>6364.1750000000002</v>
      </c>
      <c r="W47" s="126">
        <v>6481.0380000000005</v>
      </c>
      <c r="X47" s="126">
        <v>6084.915</v>
      </c>
      <c r="Y47" s="126">
        <v>4639.83</v>
      </c>
      <c r="Z47" s="126">
        <v>4580.4679999999998</v>
      </c>
      <c r="AA47" s="126">
        <v>5256.3549999999996</v>
      </c>
      <c r="AB47" s="126">
        <v>3950.5770000000002</v>
      </c>
      <c r="AC47" s="126">
        <v>5969</v>
      </c>
      <c r="AD47" s="1">
        <v>7003.0349999999999</v>
      </c>
      <c r="AE47" s="1">
        <v>5938.8389999999999</v>
      </c>
      <c r="AF47" s="1">
        <v>7439.5240000000003</v>
      </c>
      <c r="AG47" s="1">
        <v>9162.0239999999994</v>
      </c>
      <c r="AH47" s="1">
        <v>8674.7990000000009</v>
      </c>
      <c r="AI47" s="1">
        <v>8488.4410000000007</v>
      </c>
      <c r="AK47" s="1">
        <v>13842.772999999999</v>
      </c>
      <c r="AL47" s="1">
        <v>10461.334999999999</v>
      </c>
    </row>
    <row r="48" spans="1:38" ht="12.75" customHeight="1">
      <c r="A48" s="1" t="s">
        <v>61</v>
      </c>
      <c r="J48" s="126">
        <v>3341.2969999999996</v>
      </c>
      <c r="M48" s="1">
        <v>4106.5839999999998</v>
      </c>
      <c r="O48" s="1">
        <v>2268.18262</v>
      </c>
      <c r="R48" s="18">
        <v>5170.0779999999995</v>
      </c>
      <c r="S48" s="1">
        <v>4948.7209999999995</v>
      </c>
      <c r="T48" s="1">
        <v>4152.6180000000004</v>
      </c>
      <c r="U48" s="1">
        <v>3530.239</v>
      </c>
      <c r="V48" s="1">
        <v>3668.87</v>
      </c>
      <c r="W48" s="126">
        <v>4512.1559999999999</v>
      </c>
      <c r="X48" s="126">
        <v>5637.7719999999999</v>
      </c>
      <c r="Y48" s="126">
        <v>6050.9170000000004</v>
      </c>
      <c r="Z48" s="126">
        <v>5357.6440000000002</v>
      </c>
      <c r="AA48" s="126">
        <v>9032.1090000000004</v>
      </c>
      <c r="AB48" s="126">
        <v>8875.5110000000004</v>
      </c>
      <c r="AC48" s="126">
        <v>10141</v>
      </c>
      <c r="AD48" s="1">
        <v>11532.513999999999</v>
      </c>
      <c r="AE48" s="1">
        <v>11110.82</v>
      </c>
      <c r="AF48" s="1">
        <v>18538.57</v>
      </c>
      <c r="AG48" s="1">
        <v>19168.856</v>
      </c>
      <c r="AH48" s="1">
        <v>16086.512000000001</v>
      </c>
      <c r="AI48" s="1">
        <v>14576.481</v>
      </c>
      <c r="AK48" s="1">
        <v>13697.154</v>
      </c>
      <c r="AL48" s="1">
        <v>13553.089</v>
      </c>
    </row>
    <row r="49" spans="1:38" ht="12.75" customHeight="1">
      <c r="A49" s="1" t="s">
        <v>62</v>
      </c>
      <c r="J49" s="126">
        <v>24486.482</v>
      </c>
      <c r="M49" s="1">
        <v>35340.245999999999</v>
      </c>
      <c r="O49" s="1">
        <v>39123.569000000003</v>
      </c>
      <c r="R49" s="18">
        <v>52672.271999999997</v>
      </c>
      <c r="S49" s="1">
        <v>62040.481</v>
      </c>
      <c r="T49" s="1">
        <v>53669.716999999997</v>
      </c>
      <c r="U49" s="1">
        <v>63477.184999999998</v>
      </c>
      <c r="V49" s="1">
        <v>63051.788999999997</v>
      </c>
      <c r="W49" s="126">
        <v>68814.05</v>
      </c>
      <c r="X49" s="126">
        <v>67923.116999999998</v>
      </c>
      <c r="Y49" s="126">
        <v>79533.84</v>
      </c>
      <c r="Z49" s="126">
        <v>83823.255999999994</v>
      </c>
      <c r="AA49" s="126">
        <v>104930.274</v>
      </c>
      <c r="AB49" s="126">
        <v>37243.048000000003</v>
      </c>
      <c r="AC49" s="126">
        <v>49053</v>
      </c>
      <c r="AD49" s="1">
        <v>41403.900999999998</v>
      </c>
      <c r="AE49" s="1">
        <v>43537.387000000002</v>
      </c>
      <c r="AF49" s="1">
        <v>44522.05</v>
      </c>
      <c r="AG49" s="1">
        <v>46835.08</v>
      </c>
      <c r="AH49" s="1">
        <v>51055.669000000002</v>
      </c>
      <c r="AI49" s="1">
        <v>50982.516000000003</v>
      </c>
      <c r="AK49" s="1">
        <v>53136.144999999997</v>
      </c>
      <c r="AL49" s="1">
        <v>53406.733</v>
      </c>
    </row>
    <row r="50" spans="1:38" ht="12.75" customHeight="1">
      <c r="A50" s="1" t="s">
        <v>63</v>
      </c>
      <c r="J50" s="126">
        <v>0</v>
      </c>
      <c r="M50" s="1">
        <v>151.07499999999999</v>
      </c>
      <c r="O50" s="1">
        <v>7592.74413</v>
      </c>
      <c r="R50" s="18">
        <v>5440.9639999999999</v>
      </c>
      <c r="S50" s="1">
        <v>5896.6869999999999</v>
      </c>
      <c r="T50" s="1">
        <v>7914.7619999999997</v>
      </c>
      <c r="U50" s="1">
        <v>7922.3760000000002</v>
      </c>
      <c r="V50" s="1">
        <v>8009.3</v>
      </c>
      <c r="W50" s="126">
        <v>8481.9629999999997</v>
      </c>
      <c r="X50" s="126">
        <v>8446.09</v>
      </c>
      <c r="Y50" s="126">
        <v>11077.92</v>
      </c>
      <c r="Z50" s="126">
        <v>9820.2540000000008</v>
      </c>
      <c r="AA50" s="126">
        <v>16785.525000000001</v>
      </c>
      <c r="AB50" s="126">
        <v>16441.839</v>
      </c>
      <c r="AC50" s="126">
        <v>16091</v>
      </c>
      <c r="AD50" s="1">
        <v>11998.707</v>
      </c>
      <c r="AE50" s="1">
        <v>19298.600999999999</v>
      </c>
      <c r="AF50" s="1">
        <v>19851.738000000001</v>
      </c>
      <c r="AG50" s="1">
        <v>14891.591</v>
      </c>
      <c r="AH50" s="1">
        <v>30522.289000000001</v>
      </c>
      <c r="AI50" s="1">
        <v>19740.68</v>
      </c>
      <c r="AK50" s="1">
        <v>12879.897999999999</v>
      </c>
      <c r="AL50" s="63">
        <v>18153.464</v>
      </c>
    </row>
    <row r="51" spans="1:38" ht="12.75" customHeight="1">
      <c r="A51" s="27" t="s">
        <v>64</v>
      </c>
      <c r="B51" s="27"/>
      <c r="C51" s="27"/>
      <c r="D51" s="27"/>
      <c r="E51" s="27"/>
      <c r="F51" s="27"/>
      <c r="G51" s="27"/>
      <c r="H51" s="27"/>
      <c r="I51" s="27"/>
      <c r="J51" s="127">
        <v>1803.8220000000001</v>
      </c>
      <c r="K51" s="27"/>
      <c r="L51" s="27"/>
      <c r="M51" s="27">
        <v>3817.4670000000001</v>
      </c>
      <c r="N51" s="27"/>
      <c r="O51" s="27">
        <v>6247.8959999999997</v>
      </c>
      <c r="P51" s="27"/>
      <c r="Q51" s="27"/>
      <c r="R51" s="37">
        <v>17544.84</v>
      </c>
      <c r="S51" s="27">
        <v>23568.93</v>
      </c>
      <c r="T51" s="27">
        <v>41676.754999999997</v>
      </c>
      <c r="U51" s="27">
        <v>65024.502</v>
      </c>
      <c r="V51" s="27">
        <v>61088.294000000002</v>
      </c>
      <c r="W51" s="127">
        <v>62779.13</v>
      </c>
      <c r="X51" s="127">
        <v>63331.591999999997</v>
      </c>
      <c r="Y51" s="127">
        <v>63716.161</v>
      </c>
      <c r="Z51" s="127">
        <v>65326.946000000004</v>
      </c>
      <c r="AA51" s="127">
        <v>65893.91</v>
      </c>
      <c r="AB51" s="127">
        <v>72213.672999999995</v>
      </c>
      <c r="AC51" s="127">
        <v>77867</v>
      </c>
      <c r="AD51" s="27">
        <v>72701.278999999995</v>
      </c>
      <c r="AE51" s="27">
        <v>78204.452000000005</v>
      </c>
      <c r="AF51" s="27">
        <v>14280.69</v>
      </c>
      <c r="AG51" s="27">
        <v>17699.458999999999</v>
      </c>
      <c r="AH51" s="27">
        <v>104289.689</v>
      </c>
      <c r="AI51" s="27">
        <v>94180.648000000001</v>
      </c>
      <c r="AJ51" s="27"/>
      <c r="AK51" s="1">
        <v>109069.315</v>
      </c>
      <c r="AL51" s="1">
        <v>103203.921</v>
      </c>
    </row>
    <row r="52" spans="1:38" ht="12.75" customHeight="1">
      <c r="A52" s="6" t="s">
        <v>65</v>
      </c>
      <c r="B52" s="51">
        <f>SUM(B54:B62)</f>
        <v>0</v>
      </c>
      <c r="C52" s="51">
        <f t="shared" ref="C52:AK52" si="18">SUM(C54:C62)</f>
        <v>0</v>
      </c>
      <c r="D52" s="51">
        <f t="shared" si="18"/>
        <v>0</v>
      </c>
      <c r="E52" s="51">
        <f t="shared" si="18"/>
        <v>0</v>
      </c>
      <c r="F52" s="51">
        <f t="shared" si="18"/>
        <v>0</v>
      </c>
      <c r="G52" s="51">
        <f t="shared" si="18"/>
        <v>0</v>
      </c>
      <c r="H52" s="51">
        <f t="shared" si="18"/>
        <v>0</v>
      </c>
      <c r="I52" s="51">
        <f t="shared" si="18"/>
        <v>0</v>
      </c>
      <c r="J52" s="51">
        <f t="shared" si="18"/>
        <v>171995.81400000001</v>
      </c>
      <c r="K52" s="51">
        <f t="shared" si="18"/>
        <v>0</v>
      </c>
      <c r="L52" s="51">
        <f t="shared" si="18"/>
        <v>0</v>
      </c>
      <c r="M52" s="51">
        <f t="shared" si="18"/>
        <v>236731.54800000001</v>
      </c>
      <c r="N52" s="51">
        <f t="shared" si="18"/>
        <v>0</v>
      </c>
      <c r="O52" s="51">
        <f t="shared" si="18"/>
        <v>259046.97106999994</v>
      </c>
      <c r="P52" s="51">
        <f t="shared" si="18"/>
        <v>0</v>
      </c>
      <c r="Q52" s="51">
        <f t="shared" si="18"/>
        <v>0</v>
      </c>
      <c r="R52" s="51">
        <f t="shared" si="18"/>
        <v>266858.12299999996</v>
      </c>
      <c r="S52" s="51">
        <f t="shared" si="18"/>
        <v>330505.09000000003</v>
      </c>
      <c r="T52" s="51">
        <f t="shared" si="18"/>
        <v>432742.55499999999</v>
      </c>
      <c r="U52" s="51">
        <f t="shared" si="18"/>
        <v>410107.54999999993</v>
      </c>
      <c r="V52" s="51">
        <f t="shared" si="18"/>
        <v>392195.56999999995</v>
      </c>
      <c r="W52" s="51">
        <f t="shared" si="18"/>
        <v>407443.54</v>
      </c>
      <c r="X52" s="51">
        <f t="shared" si="18"/>
        <v>419684.522</v>
      </c>
      <c r="Y52" s="51">
        <f t="shared" si="18"/>
        <v>434639.299</v>
      </c>
      <c r="Z52" s="51">
        <f t="shared" si="18"/>
        <v>461070.09500000003</v>
      </c>
      <c r="AA52" s="51">
        <f t="shared" si="18"/>
        <v>505509.75799999997</v>
      </c>
      <c r="AB52" s="51">
        <f t="shared" si="18"/>
        <v>506218.23599999998</v>
      </c>
      <c r="AC52" s="51">
        <f t="shared" si="18"/>
        <v>524736</v>
      </c>
      <c r="AD52" s="51">
        <f t="shared" si="18"/>
        <v>551015.62699999998</v>
      </c>
      <c r="AE52" s="51">
        <f t="shared" si="18"/>
        <v>559295.23599999992</v>
      </c>
      <c r="AF52" s="51">
        <f t="shared" si="18"/>
        <v>586638.12699999998</v>
      </c>
      <c r="AG52" s="51">
        <f t="shared" si="18"/>
        <v>621838.1</v>
      </c>
      <c r="AH52" s="51">
        <f t="shared" si="18"/>
        <v>622395.9709999999</v>
      </c>
      <c r="AI52" s="51">
        <f t="shared" si="18"/>
        <v>615664.39099999995</v>
      </c>
      <c r="AJ52" s="51">
        <f t="shared" si="18"/>
        <v>0</v>
      </c>
      <c r="AK52" s="131">
        <f t="shared" si="18"/>
        <v>632668.076</v>
      </c>
      <c r="AL52" s="131">
        <f t="shared" ref="AL52" si="19">SUM(AL54:AL62)</f>
        <v>631848.34200000006</v>
      </c>
    </row>
    <row r="53" spans="1:38" ht="12.75" customHeight="1">
      <c r="A53" s="6" t="s">
        <v>94</v>
      </c>
    </row>
    <row r="54" spans="1:38" ht="12.75" customHeight="1">
      <c r="A54" s="1" t="s">
        <v>66</v>
      </c>
      <c r="J54" s="126">
        <v>3953.44</v>
      </c>
      <c r="M54" s="1">
        <v>4280.585</v>
      </c>
      <c r="O54" s="1">
        <v>4356.9875000000002</v>
      </c>
      <c r="R54" s="18">
        <v>8956.66</v>
      </c>
      <c r="S54" s="1">
        <v>11286.565000000001</v>
      </c>
      <c r="T54" s="1">
        <v>10854.808000000001</v>
      </c>
      <c r="U54" s="1">
        <v>9420.5820000000003</v>
      </c>
      <c r="V54" s="1">
        <v>8870.9290000000001</v>
      </c>
      <c r="W54" s="126">
        <v>9700.56</v>
      </c>
      <c r="X54" s="126">
        <v>10463.397999999999</v>
      </c>
      <c r="Y54" s="126">
        <v>12410.865</v>
      </c>
      <c r="Z54" s="126">
        <v>17930.524000000001</v>
      </c>
      <c r="AA54" s="126">
        <v>18826.455999999998</v>
      </c>
      <c r="AB54" s="126">
        <v>21009.035</v>
      </c>
      <c r="AC54" s="126">
        <v>20278</v>
      </c>
      <c r="AD54" s="1">
        <v>22749.627</v>
      </c>
      <c r="AE54" s="1">
        <v>18658.399000000001</v>
      </c>
      <c r="AF54" s="1">
        <v>13013.083000000001</v>
      </c>
      <c r="AG54" s="1">
        <v>13482.075999999999</v>
      </c>
      <c r="AH54" s="1">
        <v>13404.557000000001</v>
      </c>
      <c r="AI54" s="1">
        <v>19966.607</v>
      </c>
      <c r="AK54" s="1">
        <v>17506.813999999998</v>
      </c>
      <c r="AL54" s="1">
        <v>16377.795</v>
      </c>
    </row>
    <row r="55" spans="1:38" ht="12.75" customHeight="1">
      <c r="A55" s="1" t="s">
        <v>67</v>
      </c>
      <c r="J55" s="126">
        <v>3077.6610000000001</v>
      </c>
      <c r="M55" s="1">
        <v>2991.6440000000002</v>
      </c>
      <c r="O55" s="1">
        <v>3031.4470000000001</v>
      </c>
      <c r="R55" s="18">
        <v>4372.0290000000005</v>
      </c>
      <c r="S55" s="1">
        <v>4767.3680000000004</v>
      </c>
      <c r="T55" s="1">
        <v>7874.13</v>
      </c>
      <c r="U55" s="1">
        <v>6046.2060000000001</v>
      </c>
      <c r="V55" s="1">
        <v>7478.223</v>
      </c>
      <c r="W55" s="126">
        <v>8540.1869999999999</v>
      </c>
      <c r="X55" s="126">
        <v>6713.3119999999999</v>
      </c>
      <c r="Y55" s="126">
        <v>8394.7240000000002</v>
      </c>
      <c r="Z55" s="126">
        <v>8122.7020000000002</v>
      </c>
      <c r="AA55" s="126">
        <v>8337.1650000000009</v>
      </c>
      <c r="AB55" s="126">
        <v>7856.5879999999997</v>
      </c>
      <c r="AC55" s="126">
        <v>9458</v>
      </c>
      <c r="AD55" s="1">
        <v>20350.481</v>
      </c>
      <c r="AE55" s="1">
        <v>11051.648999999999</v>
      </c>
      <c r="AF55" s="1">
        <v>8170.1790000000001</v>
      </c>
      <c r="AG55" s="1">
        <v>11054.028</v>
      </c>
      <c r="AH55" s="1">
        <v>10713.752</v>
      </c>
      <c r="AI55" s="1">
        <v>11521.34</v>
      </c>
      <c r="AK55" s="1">
        <v>11700.223</v>
      </c>
      <c r="AL55" s="1">
        <v>12190.433000000001</v>
      </c>
    </row>
    <row r="56" spans="1:38" ht="12.75" customHeight="1">
      <c r="A56" s="1" t="s">
        <v>68</v>
      </c>
      <c r="J56" s="126">
        <v>13994.897999999999</v>
      </c>
      <c r="M56" s="1">
        <v>17487.345999999998</v>
      </c>
      <c r="O56" s="1">
        <v>21316.377</v>
      </c>
      <c r="R56" s="18">
        <v>41379.923999999999</v>
      </c>
      <c r="S56" s="1">
        <v>45969.967999999993</v>
      </c>
      <c r="T56" s="1">
        <v>42593.042999999998</v>
      </c>
      <c r="U56" s="1">
        <v>41163.230000000003</v>
      </c>
      <c r="V56" s="1">
        <v>39453.896999999997</v>
      </c>
      <c r="W56" s="126">
        <v>38265.790999999997</v>
      </c>
      <c r="X56" s="126">
        <v>48838.936999999998</v>
      </c>
      <c r="Y56" s="126">
        <v>51182.142999999996</v>
      </c>
      <c r="Z56" s="126">
        <v>57492.951999999997</v>
      </c>
      <c r="AA56" s="126">
        <v>65121.614000000001</v>
      </c>
      <c r="AB56" s="126">
        <v>52590.860999999997</v>
      </c>
      <c r="AC56" s="126">
        <v>61412</v>
      </c>
      <c r="AD56" s="1">
        <v>55296.247000000003</v>
      </c>
      <c r="AE56" s="1">
        <v>60259.875999999997</v>
      </c>
      <c r="AF56" s="1">
        <v>69772.258000000002</v>
      </c>
      <c r="AG56" s="1">
        <v>68946.392999999996</v>
      </c>
      <c r="AH56" s="1">
        <v>70057.508000000002</v>
      </c>
      <c r="AI56" s="1">
        <v>67730.307000000001</v>
      </c>
      <c r="AK56" s="1">
        <v>66485.135999999999</v>
      </c>
      <c r="AL56" s="1">
        <v>87536.877999999997</v>
      </c>
    </row>
    <row r="57" spans="1:38" ht="12.75" customHeight="1">
      <c r="A57" s="1" t="s">
        <v>69</v>
      </c>
      <c r="J57" s="126">
        <v>296.12</v>
      </c>
      <c r="M57" s="1">
        <v>177.93299999999999</v>
      </c>
      <c r="O57" s="1">
        <v>1158.72</v>
      </c>
      <c r="R57" s="24">
        <v>658.65699999999993</v>
      </c>
      <c r="S57" s="1">
        <v>623.63200000000006</v>
      </c>
      <c r="T57" s="1">
        <v>680.51900000000001</v>
      </c>
      <c r="U57" s="1">
        <v>788.04700000000003</v>
      </c>
      <c r="V57" s="1">
        <v>271.27800000000002</v>
      </c>
      <c r="W57" s="126">
        <v>822.90899999999999</v>
      </c>
      <c r="X57" s="126">
        <v>898.58900000000006</v>
      </c>
      <c r="Y57" s="126">
        <v>7991.8869999999997</v>
      </c>
      <c r="Z57" s="126">
        <v>1463.596</v>
      </c>
      <c r="AA57" s="126">
        <v>3049.5709999999999</v>
      </c>
      <c r="AB57" s="126">
        <v>1441.2239999999999</v>
      </c>
      <c r="AC57" s="126">
        <v>4936</v>
      </c>
      <c r="AD57" s="1">
        <v>2969.1089999999999</v>
      </c>
      <c r="AE57" s="1">
        <v>3528.6489999999999</v>
      </c>
      <c r="AF57" s="1">
        <v>2921.3719999999998</v>
      </c>
      <c r="AG57" s="1">
        <v>3705.136</v>
      </c>
      <c r="AH57" s="1">
        <v>2970.8209999999999</v>
      </c>
      <c r="AI57" s="1">
        <v>3503.5610000000001</v>
      </c>
      <c r="AK57" s="1">
        <v>5785.3149999999996</v>
      </c>
      <c r="AL57" s="1">
        <v>5674.8230000000003</v>
      </c>
    </row>
    <row r="58" spans="1:38" ht="12.75" customHeight="1">
      <c r="A58" s="1" t="s">
        <v>70</v>
      </c>
      <c r="J58" s="126">
        <v>40291.692999999999</v>
      </c>
      <c r="M58" s="1">
        <v>38098.889000000003</v>
      </c>
      <c r="O58" s="1">
        <v>44859.597999999998</v>
      </c>
      <c r="R58" s="24">
        <v>46707.212</v>
      </c>
      <c r="S58" s="1">
        <v>55765.611000000004</v>
      </c>
      <c r="T58" s="1">
        <v>73192.493000000002</v>
      </c>
      <c r="U58" s="1">
        <v>65227.889000000003</v>
      </c>
      <c r="V58" s="1">
        <v>77290.315000000002</v>
      </c>
      <c r="W58" s="126">
        <v>80297.47099999999</v>
      </c>
      <c r="X58" s="126">
        <v>77560.612999999998</v>
      </c>
      <c r="Y58" s="126">
        <v>82071.676000000007</v>
      </c>
      <c r="Z58" s="126">
        <v>87002.989000000001</v>
      </c>
      <c r="AA58" s="126">
        <v>102684.803</v>
      </c>
      <c r="AB58" s="126">
        <v>115434.981</v>
      </c>
      <c r="AC58" s="126">
        <v>99357</v>
      </c>
      <c r="AD58" s="1">
        <v>89564.198999999993</v>
      </c>
      <c r="AE58" s="1">
        <v>95477.606</v>
      </c>
      <c r="AF58" s="1">
        <v>96136.588000000003</v>
      </c>
      <c r="AG58" s="1">
        <v>87928.145999999993</v>
      </c>
      <c r="AH58" s="1">
        <v>97789.841</v>
      </c>
      <c r="AI58" s="1">
        <v>79919.201000000001</v>
      </c>
      <c r="AK58" s="1">
        <v>112080.383</v>
      </c>
      <c r="AL58" s="1">
        <v>121573.08</v>
      </c>
    </row>
    <row r="59" spans="1:38" ht="12.75" customHeight="1">
      <c r="A59" s="1" t="s">
        <v>71</v>
      </c>
      <c r="J59" s="126">
        <v>90631.627000000008</v>
      </c>
      <c r="M59" s="1">
        <v>145409.071</v>
      </c>
      <c r="O59" s="1">
        <v>156917.95699999999</v>
      </c>
      <c r="R59" s="24">
        <v>132590.94</v>
      </c>
      <c r="S59" s="1">
        <v>175695.283</v>
      </c>
      <c r="T59" s="1">
        <v>257893.516</v>
      </c>
      <c r="U59" s="1">
        <v>246216.851</v>
      </c>
      <c r="V59" s="1">
        <v>214730.70499999999</v>
      </c>
      <c r="W59" s="126">
        <v>224489.53899999999</v>
      </c>
      <c r="X59" s="126">
        <v>230340.014</v>
      </c>
      <c r="Y59" s="126">
        <v>228667.54500000001</v>
      </c>
      <c r="Z59" s="126">
        <v>238213.49900000001</v>
      </c>
      <c r="AA59" s="126">
        <v>260609.951</v>
      </c>
      <c r="AB59" s="126">
        <v>265497.57199999999</v>
      </c>
      <c r="AC59" s="126">
        <v>283785</v>
      </c>
      <c r="AD59" s="1">
        <v>307324.51400000002</v>
      </c>
      <c r="AE59" s="1">
        <v>313023.429</v>
      </c>
      <c r="AF59" s="1">
        <v>340666.80499999999</v>
      </c>
      <c r="AG59" s="1">
        <v>375496.152</v>
      </c>
      <c r="AH59" s="1">
        <v>370442.50199999998</v>
      </c>
      <c r="AI59" s="1">
        <v>373028.57699999999</v>
      </c>
      <c r="AK59" s="1">
        <v>351376.99300000002</v>
      </c>
      <c r="AL59" s="1">
        <v>317207.29800000001</v>
      </c>
    </row>
    <row r="60" spans="1:38" ht="12.75" customHeight="1">
      <c r="A60" s="1" t="s">
        <v>72</v>
      </c>
      <c r="J60" s="126">
        <v>13709.864</v>
      </c>
      <c r="M60" s="1">
        <v>24005.351999999999</v>
      </c>
      <c r="O60" s="1">
        <v>23211.295569999998</v>
      </c>
      <c r="R60" s="18">
        <v>26920.093000000001</v>
      </c>
      <c r="S60" s="1">
        <v>32403.476999999999</v>
      </c>
      <c r="T60" s="1">
        <v>36521.044000000002</v>
      </c>
      <c r="U60" s="1">
        <v>38410.182000000001</v>
      </c>
      <c r="V60" s="1">
        <v>40765.330999999998</v>
      </c>
      <c r="W60" s="126">
        <v>42090.668999999994</v>
      </c>
      <c r="X60" s="126">
        <v>41584.480000000003</v>
      </c>
      <c r="Y60" s="126">
        <v>40917.269999999997</v>
      </c>
      <c r="Z60" s="126">
        <v>47128.271000000001</v>
      </c>
      <c r="AA60" s="126">
        <v>40710.974999999999</v>
      </c>
      <c r="AB60" s="126">
        <v>38533.830999999998</v>
      </c>
      <c r="AC60" s="126">
        <v>42412</v>
      </c>
      <c r="AD60" s="1">
        <v>49666.203000000001</v>
      </c>
      <c r="AE60" s="1">
        <v>52214.624000000003</v>
      </c>
      <c r="AF60" s="1">
        <v>50878.097999999998</v>
      </c>
      <c r="AG60" s="1">
        <v>54600.252999999997</v>
      </c>
      <c r="AH60" s="1">
        <v>49331.347999999998</v>
      </c>
      <c r="AI60" s="1">
        <v>52022.699000000001</v>
      </c>
      <c r="AK60" s="1">
        <v>53229.284</v>
      </c>
      <c r="AL60" s="1">
        <v>55415.921999999999</v>
      </c>
    </row>
    <row r="61" spans="1:38" ht="12.75" customHeight="1">
      <c r="A61" s="1" t="s">
        <v>73</v>
      </c>
      <c r="J61" s="126">
        <v>4136.7449999999999</v>
      </c>
      <c r="M61" s="1">
        <v>3572.6529999999998</v>
      </c>
      <c r="O61" s="1">
        <v>3423.0169999999998</v>
      </c>
      <c r="R61" s="18">
        <v>4478.7440000000006</v>
      </c>
      <c r="S61" s="1">
        <v>3194.95</v>
      </c>
      <c r="T61" s="1">
        <v>2032.942</v>
      </c>
      <c r="U61" s="1">
        <v>2232.0929999999998</v>
      </c>
      <c r="V61" s="1">
        <v>2820.1439999999998</v>
      </c>
      <c r="W61" s="126">
        <v>2841.3049999999998</v>
      </c>
      <c r="X61" s="126">
        <v>2885.116</v>
      </c>
      <c r="Y61" s="126">
        <v>2887.3409999999999</v>
      </c>
      <c r="Z61" s="126">
        <v>3497.5259999999998</v>
      </c>
      <c r="AA61" s="126">
        <v>4156.8559999999998</v>
      </c>
      <c r="AB61" s="126">
        <v>3052.7559999999999</v>
      </c>
      <c r="AC61" s="126">
        <v>2615</v>
      </c>
      <c r="AD61" s="1">
        <v>2696.9650000000001</v>
      </c>
      <c r="AE61" s="1">
        <v>2794.0390000000002</v>
      </c>
      <c r="AF61" s="1">
        <v>2902.328</v>
      </c>
      <c r="AG61" s="1">
        <v>2637.0909999999999</v>
      </c>
      <c r="AH61" s="1">
        <v>6438.8710000000001</v>
      </c>
      <c r="AI61" s="1">
        <v>6508.3689999999997</v>
      </c>
      <c r="AK61" s="1">
        <v>12715.129000000001</v>
      </c>
      <c r="AL61" s="1">
        <v>14163.261</v>
      </c>
    </row>
    <row r="62" spans="1:38" ht="12.75" customHeight="1">
      <c r="A62" s="27" t="s">
        <v>74</v>
      </c>
      <c r="B62" s="27"/>
      <c r="C62" s="27"/>
      <c r="D62" s="27"/>
      <c r="E62" s="27"/>
      <c r="F62" s="27"/>
      <c r="G62" s="27"/>
      <c r="H62" s="27"/>
      <c r="I62" s="27"/>
      <c r="J62" s="127">
        <v>1903.7660000000001</v>
      </c>
      <c r="K62" s="27"/>
      <c r="L62" s="27"/>
      <c r="M62" s="27">
        <v>708.07500000000005</v>
      </c>
      <c r="N62" s="27"/>
      <c r="O62" s="27">
        <v>771.572</v>
      </c>
      <c r="P62" s="27"/>
      <c r="Q62" s="27"/>
      <c r="R62" s="37">
        <v>793.86399999999992</v>
      </c>
      <c r="S62" s="27">
        <v>798.2360000000001</v>
      </c>
      <c r="T62" s="27">
        <v>1100.06</v>
      </c>
      <c r="U62" s="27">
        <v>602.47</v>
      </c>
      <c r="V62" s="27">
        <v>514.74800000000005</v>
      </c>
      <c r="W62" s="127">
        <v>395.10899999999998</v>
      </c>
      <c r="X62" s="127">
        <v>400.06299999999999</v>
      </c>
      <c r="Y62" s="127">
        <v>115.848</v>
      </c>
      <c r="Z62" s="127">
        <v>218.036</v>
      </c>
      <c r="AA62" s="127">
        <v>2012.367</v>
      </c>
      <c r="AB62" s="127">
        <v>801.38800000000003</v>
      </c>
      <c r="AC62" s="127">
        <v>483</v>
      </c>
      <c r="AD62" s="1">
        <v>398.28199999999998</v>
      </c>
      <c r="AE62" s="1">
        <v>2286.9650000000001</v>
      </c>
      <c r="AF62" s="1">
        <v>2177.4160000000002</v>
      </c>
      <c r="AG62" s="1">
        <v>3988.8249999999998</v>
      </c>
      <c r="AH62" s="1">
        <v>1246.771</v>
      </c>
      <c r="AI62" s="1">
        <v>1463.73</v>
      </c>
      <c r="AK62" s="1">
        <v>1788.799</v>
      </c>
      <c r="AL62" s="1">
        <v>1708.8520000000001</v>
      </c>
    </row>
    <row r="63" spans="1:38">
      <c r="A63" s="49" t="s">
        <v>75</v>
      </c>
      <c r="B63" s="46"/>
      <c r="C63" s="46"/>
      <c r="D63" s="46"/>
      <c r="E63" s="46"/>
      <c r="F63" s="46"/>
      <c r="G63" s="46"/>
      <c r="H63" s="46"/>
      <c r="I63" s="46"/>
      <c r="J63" s="128">
        <v>0</v>
      </c>
      <c r="K63" s="46"/>
      <c r="L63" s="46"/>
      <c r="M63" s="46">
        <v>0</v>
      </c>
      <c r="N63" s="46"/>
      <c r="O63" s="46">
        <v>0</v>
      </c>
      <c r="P63" s="46"/>
      <c r="Q63" s="46"/>
      <c r="R63" s="47">
        <v>0</v>
      </c>
      <c r="S63" s="46">
        <v>0</v>
      </c>
      <c r="T63" s="46">
        <v>0</v>
      </c>
      <c r="U63" s="46">
        <v>0</v>
      </c>
      <c r="V63" s="46">
        <v>0</v>
      </c>
      <c r="W63" s="128">
        <v>0</v>
      </c>
      <c r="X63" s="128">
        <v>0</v>
      </c>
      <c r="Y63" s="128">
        <v>0</v>
      </c>
      <c r="Z63" s="128">
        <v>0</v>
      </c>
      <c r="AA63" s="128">
        <v>0</v>
      </c>
      <c r="AB63" s="128">
        <v>0</v>
      </c>
      <c r="AC63" s="128">
        <v>0</v>
      </c>
      <c r="AD63" s="128">
        <v>0</v>
      </c>
      <c r="AE63" s="128">
        <v>0</v>
      </c>
      <c r="AF63" s="128">
        <v>0</v>
      </c>
      <c r="AG63" s="128">
        <v>0</v>
      </c>
      <c r="AH63" s="128"/>
      <c r="AI63" s="128"/>
      <c r="AJ63" s="128"/>
      <c r="AK63" s="128"/>
      <c r="AL63" s="134"/>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9" ht="9.9499999999999993" customHeight="1"/>
    <row r="82" spans="2:209" ht="9.9499999999999993" customHeight="1">
      <c r="GS82" s="4"/>
      <c r="GT82" s="4"/>
      <c r="GU82" s="4"/>
      <c r="GV82" s="4"/>
      <c r="GW82" s="4"/>
      <c r="GX82" s="4"/>
      <c r="GY82" s="4"/>
      <c r="GZ82" s="4"/>
      <c r="HA82" s="4"/>
    </row>
    <row r="83" spans="2:209">
      <c r="GQ83" s="4"/>
      <c r="GR83" s="4"/>
      <c r="GS83" s="4"/>
      <c r="GT83" s="4"/>
      <c r="GU83" s="4"/>
      <c r="GV83" s="4"/>
      <c r="GW83" s="4"/>
      <c r="GX83" s="4"/>
      <c r="GY83" s="4"/>
      <c r="GZ83" s="4"/>
      <c r="HA83" s="4"/>
    </row>
    <row r="84" spans="2:209">
      <c r="GQ84" s="4"/>
      <c r="GR84" s="4"/>
      <c r="GS84" s="4"/>
      <c r="GT84" s="4"/>
      <c r="GU84" s="4"/>
      <c r="GV84" s="4"/>
      <c r="GW84" s="4"/>
      <c r="GX84" s="4"/>
      <c r="GY84" s="4"/>
      <c r="GZ84" s="4"/>
      <c r="HA84" s="4"/>
    </row>
    <row r="85" spans="2:209">
      <c r="GS85" s="4"/>
      <c r="GT85" s="4"/>
      <c r="GU85" s="4"/>
      <c r="GV85" s="4"/>
      <c r="GW85" s="4"/>
      <c r="GX85" s="4"/>
      <c r="GY85" s="4"/>
    </row>
    <row r="86" spans="2:209">
      <c r="GS86" s="4"/>
      <c r="GT86" s="4"/>
      <c r="GU86" s="4"/>
      <c r="GV86" s="4"/>
      <c r="GW86" s="4"/>
      <c r="GX86" s="4"/>
      <c r="GY86" s="4"/>
    </row>
    <row r="87" spans="2:209">
      <c r="GS87" s="4"/>
      <c r="GT87" s="4"/>
      <c r="GU87" s="4"/>
      <c r="GV87" s="4"/>
      <c r="GW87" s="4"/>
      <c r="GX87" s="4"/>
      <c r="GY87" s="4"/>
    </row>
    <row r="92" spans="2:209">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8"/>
  </sheetPr>
  <dimension ref="A1:HA92"/>
  <sheetViews>
    <sheetView zoomScaleNormal="100" workbookViewId="0">
      <pane xSplit="1" ySplit="3" topLeftCell="AI4" activePane="bottomRight" state="frozen"/>
      <selection pane="bottomRight" activeCell="AM1" sqref="AM1"/>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0.7109375" style="1" bestFit="1" customWidth="1"/>
    <col min="33" max="38" width="10.7109375" style="1" customWidth="1"/>
    <col min="39" max="173" width="9.7109375" style="1"/>
    <col min="174" max="174" width="11.7109375" style="1" customWidth="1"/>
    <col min="175" max="198" width="9.7109375" style="1"/>
    <col min="199" max="199" width="5.7109375" style="1" customWidth="1"/>
    <col min="200" max="200" width="6.7109375" style="1" customWidth="1"/>
    <col min="201" max="202" width="8.7109375" style="1" customWidth="1"/>
    <col min="203" max="204" width="6.7109375" style="1" customWidth="1"/>
    <col min="205" max="206" width="8.7109375" style="1" customWidth="1"/>
    <col min="207" max="208" width="6.7109375" style="1" customWidth="1"/>
    <col min="209" max="209" width="1.7109375" style="1" customWidth="1"/>
    <col min="210" max="16384" width="9.7109375" style="1"/>
  </cols>
  <sheetData>
    <row r="1" spans="1:38">
      <c r="A1" s="36" t="s">
        <v>92</v>
      </c>
      <c r="B1" s="11"/>
      <c r="C1" s="11"/>
      <c r="D1" s="11"/>
      <c r="E1" s="11"/>
      <c r="F1" s="11"/>
      <c r="G1" s="11"/>
      <c r="H1" s="11"/>
      <c r="I1" s="11"/>
      <c r="J1" s="11"/>
      <c r="K1" s="11"/>
      <c r="L1" s="11"/>
    </row>
    <row r="2" spans="1:38">
      <c r="A2" s="1" t="s">
        <v>164</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1">
        <v>12650</v>
      </c>
      <c r="C4" s="1">
        <v>12844</v>
      </c>
      <c r="D4" s="1">
        <v>13738</v>
      </c>
      <c r="I4" s="1">
        <v>15350.384</v>
      </c>
      <c r="J4" s="52">
        <f>+J5+J23+J38+J52+J63</f>
        <v>15145.375000000002</v>
      </c>
      <c r="K4" s="39">
        <v>15656.78</v>
      </c>
      <c r="L4" s="39">
        <v>17605.739000000001</v>
      </c>
      <c r="M4" s="52">
        <f>+M5+M23+M38+M52+M63</f>
        <v>24178.597000000002</v>
      </c>
      <c r="N4" s="39">
        <v>23588.491000000002</v>
      </c>
      <c r="O4" s="52">
        <f>+O5+O23+O38+O52+O63</f>
        <v>19300.043300000001</v>
      </c>
      <c r="R4" s="52">
        <f t="shared" ref="R4:AA4" si="0">+R5+R23+R38+R52+R63</f>
        <v>22651.368999999999</v>
      </c>
      <c r="S4" s="52">
        <f t="shared" si="0"/>
        <v>27170.374</v>
      </c>
      <c r="T4" s="52">
        <f t="shared" si="0"/>
        <v>202883.76699999996</v>
      </c>
      <c r="U4" s="52">
        <f t="shared" si="0"/>
        <v>221126.92800000004</v>
      </c>
      <c r="V4" s="52">
        <f t="shared" si="0"/>
        <v>191113.65400000001</v>
      </c>
      <c r="W4" s="52">
        <f t="shared" si="0"/>
        <v>377091.402</v>
      </c>
      <c r="X4" s="52">
        <f t="shared" si="0"/>
        <v>600373.78399999999</v>
      </c>
      <c r="Y4" s="52">
        <f t="shared" si="0"/>
        <v>891025.505</v>
      </c>
      <c r="Z4" s="52">
        <f t="shared" si="0"/>
        <v>741866.08400000015</v>
      </c>
      <c r="AA4" s="52">
        <f t="shared" si="0"/>
        <v>412002.29600000003</v>
      </c>
      <c r="AB4" s="52">
        <f t="shared" ref="AB4:AC4" si="1">+AB5+AB23+AB38+AB52+AB63</f>
        <v>411167.82000000007</v>
      </c>
      <c r="AC4" s="52">
        <f t="shared" si="1"/>
        <v>460299</v>
      </c>
      <c r="AD4" s="52">
        <f t="shared" ref="AD4:AE4" si="2">+AD5+AD23+AD38+AD52+AD63</f>
        <v>193005.45199999999</v>
      </c>
      <c r="AE4" s="52">
        <f t="shared" si="2"/>
        <v>194445.00599999999</v>
      </c>
      <c r="AF4" s="52">
        <f t="shared" ref="AF4" si="3">+AF5+AF23+AF38+AF52+AF63</f>
        <v>339321.989</v>
      </c>
      <c r="AG4" s="52">
        <f t="shared" ref="AG4:AI4" si="4">+AG5+AG23+AG38+AG52+AG63</f>
        <v>126635.06800000001</v>
      </c>
      <c r="AH4" s="52">
        <f t="shared" si="4"/>
        <v>186423.20199999999</v>
      </c>
      <c r="AI4" s="52">
        <f t="shared" si="4"/>
        <v>282429.74400000001</v>
      </c>
      <c r="AJ4" s="52">
        <f t="shared" ref="AJ4:AK4" si="5">+AJ5+AJ23+AJ38+AJ52+AJ63</f>
        <v>0</v>
      </c>
      <c r="AK4" s="52">
        <f t="shared" si="5"/>
        <v>723171.64899999998</v>
      </c>
      <c r="AL4" s="52">
        <f t="shared" ref="AL4" si="6">+AL5+AL23+AL38+AL52+AL63</f>
        <v>623211.64100000006</v>
      </c>
    </row>
    <row r="5" spans="1:38" ht="12.75" customHeight="1">
      <c r="A5" s="1" t="s">
        <v>21</v>
      </c>
      <c r="B5" s="51">
        <f>SUM(B7:B22)</f>
        <v>1070</v>
      </c>
      <c r="C5" s="51">
        <f t="shared" ref="C5:AA5" si="7">SUM(C7:C22)</f>
        <v>1590</v>
      </c>
      <c r="D5" s="51">
        <f t="shared" si="7"/>
        <v>1506</v>
      </c>
      <c r="E5" s="51">
        <f t="shared" si="7"/>
        <v>0</v>
      </c>
      <c r="F5" s="51">
        <f t="shared" si="7"/>
        <v>0</v>
      </c>
      <c r="G5" s="51">
        <f t="shared" si="7"/>
        <v>0</v>
      </c>
      <c r="H5" s="51">
        <f t="shared" si="7"/>
        <v>0</v>
      </c>
      <c r="I5" s="51">
        <f t="shared" si="7"/>
        <v>2785.3649999999998</v>
      </c>
      <c r="J5" s="51">
        <f t="shared" si="7"/>
        <v>3131.5579999999995</v>
      </c>
      <c r="K5" s="51">
        <f t="shared" si="7"/>
        <v>3501.4280000000003</v>
      </c>
      <c r="L5" s="51">
        <f t="shared" si="7"/>
        <v>3172.8630000000003</v>
      </c>
      <c r="M5" s="51">
        <f t="shared" si="7"/>
        <v>8702.0370000000003</v>
      </c>
      <c r="N5" s="51">
        <f t="shared" si="7"/>
        <v>9593.1370000000006</v>
      </c>
      <c r="O5" s="51">
        <f t="shared" si="7"/>
        <v>4056.6189999999997</v>
      </c>
      <c r="P5" s="51">
        <f t="shared" si="7"/>
        <v>0</v>
      </c>
      <c r="Q5" s="51">
        <f t="shared" si="7"/>
        <v>0</v>
      </c>
      <c r="R5" s="51">
        <f t="shared" si="7"/>
        <v>5067.4139999999989</v>
      </c>
      <c r="S5" s="51">
        <f t="shared" si="7"/>
        <v>5895.3780000000015</v>
      </c>
      <c r="T5" s="51">
        <f t="shared" si="7"/>
        <v>62830.86099999999</v>
      </c>
      <c r="U5" s="51">
        <f t="shared" si="7"/>
        <v>58767.548000000003</v>
      </c>
      <c r="V5" s="51">
        <f t="shared" si="7"/>
        <v>52123.091</v>
      </c>
      <c r="W5" s="51">
        <f t="shared" si="7"/>
        <v>80870.803999999989</v>
      </c>
      <c r="X5" s="51">
        <f t="shared" si="7"/>
        <v>154161.77300000002</v>
      </c>
      <c r="Y5" s="51">
        <f t="shared" si="7"/>
        <v>258509.40400000001</v>
      </c>
      <c r="Z5" s="51">
        <f t="shared" si="7"/>
        <v>174868.86400000003</v>
      </c>
      <c r="AA5" s="51">
        <f t="shared" si="7"/>
        <v>54793.446000000011</v>
      </c>
      <c r="AB5" s="51">
        <f t="shared" ref="AB5:AC5" si="8">SUM(AB7:AB22)</f>
        <v>101592.67600000001</v>
      </c>
      <c r="AC5" s="51">
        <f t="shared" si="8"/>
        <v>86427</v>
      </c>
      <c r="AD5" s="51">
        <f t="shared" ref="AD5:AE5" si="9">SUM(AD7:AD22)</f>
        <v>46485.152999999998</v>
      </c>
      <c r="AE5" s="51">
        <f t="shared" si="9"/>
        <v>44490.125999999997</v>
      </c>
      <c r="AF5" s="51">
        <f t="shared" ref="AF5" si="10">SUM(AF7:AF22)</f>
        <v>88459.109000000011</v>
      </c>
      <c r="AG5" s="51">
        <f t="shared" ref="AG5:AI5" si="11">SUM(AG7:AG22)</f>
        <v>29957.196</v>
      </c>
      <c r="AH5" s="51">
        <f t="shared" si="11"/>
        <v>53374.313000000002</v>
      </c>
      <c r="AI5" s="51">
        <f t="shared" si="11"/>
        <v>91996.27399999999</v>
      </c>
      <c r="AJ5" s="51">
        <f t="shared" ref="AJ5:AK5" si="12">SUM(AJ7:AJ22)</f>
        <v>0</v>
      </c>
      <c r="AK5" s="51">
        <f t="shared" si="12"/>
        <v>210060.88800000001</v>
      </c>
      <c r="AL5" s="51">
        <f t="shared" ref="AL5" si="13">SUM(AL7:AL22)</f>
        <v>160963.84300000002</v>
      </c>
    </row>
    <row r="6" spans="1:38" ht="12.75" customHeight="1">
      <c r="A6" s="6" t="s">
        <v>94</v>
      </c>
      <c r="J6" s="126"/>
      <c r="R6" s="18"/>
      <c r="T6" s="44"/>
    </row>
    <row r="7" spans="1:38" ht="12.75" customHeight="1">
      <c r="A7" s="1" t="s">
        <v>22</v>
      </c>
      <c r="B7" s="1">
        <v>12</v>
      </c>
      <c r="C7" s="1">
        <v>253</v>
      </c>
      <c r="D7" s="1">
        <v>50</v>
      </c>
      <c r="I7" s="1">
        <v>185.39599999999999</v>
      </c>
      <c r="J7" s="126">
        <v>155.57300000000001</v>
      </c>
      <c r="K7" s="1">
        <v>103.79600000000001</v>
      </c>
      <c r="L7" s="1">
        <v>70.313999999999993</v>
      </c>
      <c r="M7" s="1">
        <v>107.04</v>
      </c>
      <c r="N7" s="1">
        <v>142.011</v>
      </c>
      <c r="O7" s="1">
        <v>134.309</v>
      </c>
      <c r="R7" s="24">
        <v>142.80500000000001</v>
      </c>
      <c r="S7" s="1">
        <v>154.387</v>
      </c>
      <c r="T7" s="44">
        <v>3146.1990000000001</v>
      </c>
      <c r="U7" s="1">
        <v>3192.6179999999999</v>
      </c>
      <c r="V7" s="1">
        <v>3843.9960000000001</v>
      </c>
      <c r="W7" s="126">
        <v>6501.0469999999996</v>
      </c>
      <c r="X7" s="126">
        <v>11690.317999999999</v>
      </c>
      <c r="Y7" s="126">
        <v>12726.099</v>
      </c>
      <c r="Z7" s="126">
        <v>9018.1470000000008</v>
      </c>
      <c r="AA7" s="126">
        <v>4080.6770000000001</v>
      </c>
      <c r="AB7" s="126">
        <v>3093.5729999999999</v>
      </c>
      <c r="AC7" s="126">
        <v>2977</v>
      </c>
      <c r="AD7" s="1">
        <v>25348.763999999999</v>
      </c>
      <c r="AE7" s="1">
        <v>24438.946</v>
      </c>
      <c r="AF7" s="1">
        <v>865.65899999999999</v>
      </c>
      <c r="AG7" s="1">
        <v>909.97900000000004</v>
      </c>
      <c r="AH7" s="1">
        <v>279.75700000000001</v>
      </c>
      <c r="AI7" s="1">
        <v>1134.087</v>
      </c>
      <c r="AK7" s="1">
        <v>4831.6220000000003</v>
      </c>
      <c r="AL7" s="1">
        <v>4328.527</v>
      </c>
    </row>
    <row r="8" spans="1:38" ht="12.75" customHeight="1">
      <c r="A8" s="1" t="s">
        <v>23</v>
      </c>
      <c r="B8" s="1">
        <v>32</v>
      </c>
      <c r="C8" s="1">
        <v>4</v>
      </c>
      <c r="D8" s="1">
        <v>1</v>
      </c>
      <c r="I8" s="1">
        <v>0</v>
      </c>
      <c r="J8" s="126">
        <v>0.878</v>
      </c>
      <c r="K8" s="1">
        <v>0.82100000000000006</v>
      </c>
      <c r="L8" s="1">
        <v>3.2229999999999999</v>
      </c>
      <c r="M8" s="1">
        <v>65.376999999999995</v>
      </c>
      <c r="N8" s="1">
        <v>102.592</v>
      </c>
      <c r="O8" s="1">
        <v>0</v>
      </c>
      <c r="R8" s="24">
        <v>0</v>
      </c>
      <c r="S8" s="1">
        <v>0</v>
      </c>
      <c r="T8" s="44">
        <v>1648.1389999999999</v>
      </c>
      <c r="U8" s="1">
        <v>1704.15</v>
      </c>
      <c r="V8" s="1">
        <v>1589.1849999999999</v>
      </c>
      <c r="W8" s="126">
        <v>2416.1489999999999</v>
      </c>
      <c r="X8" s="126">
        <v>4136.7290000000003</v>
      </c>
      <c r="Y8" s="126">
        <v>6538.9870000000001</v>
      </c>
      <c r="Z8" s="126">
        <v>5366.6750000000002</v>
      </c>
      <c r="AA8" s="126">
        <v>2691.6950000000002</v>
      </c>
      <c r="AB8" s="126">
        <v>2098.3339999999998</v>
      </c>
      <c r="AC8" s="126">
        <v>1966</v>
      </c>
      <c r="AD8" s="1">
        <v>-3104.07</v>
      </c>
      <c r="AE8" s="1">
        <v>-3400.8919999999998</v>
      </c>
      <c r="AF8" s="1">
        <v>1163.5360000000001</v>
      </c>
      <c r="AG8" s="1">
        <v>643.34299999999996</v>
      </c>
      <c r="AH8" s="1">
        <v>604.99800000000005</v>
      </c>
      <c r="AI8" s="1">
        <v>1369.5909999999999</v>
      </c>
      <c r="AK8" s="1">
        <v>2975.047</v>
      </c>
      <c r="AL8" s="1">
        <v>3172.19</v>
      </c>
    </row>
    <row r="9" spans="1:38" ht="12.75" customHeight="1">
      <c r="A9" s="1" t="s">
        <v>24</v>
      </c>
      <c r="D9" s="1">
        <v>0</v>
      </c>
      <c r="J9" s="126">
        <v>0</v>
      </c>
      <c r="M9" s="1">
        <v>0</v>
      </c>
      <c r="N9" s="1">
        <v>0</v>
      </c>
      <c r="O9" s="1">
        <v>0</v>
      </c>
      <c r="R9" s="24">
        <v>0</v>
      </c>
      <c r="S9" s="35">
        <v>0</v>
      </c>
      <c r="T9" s="45">
        <v>0</v>
      </c>
      <c r="U9" s="35">
        <v>0</v>
      </c>
      <c r="V9" s="35">
        <v>0</v>
      </c>
      <c r="W9" s="126">
        <v>0</v>
      </c>
      <c r="X9" s="126">
        <v>0</v>
      </c>
      <c r="Y9" s="126">
        <v>0</v>
      </c>
      <c r="Z9" s="126">
        <v>0</v>
      </c>
      <c r="AA9" s="126">
        <v>0</v>
      </c>
      <c r="AB9" s="126">
        <v>0</v>
      </c>
      <c r="AC9" s="126">
        <v>0</v>
      </c>
      <c r="AD9" s="1">
        <v>1233.528</v>
      </c>
      <c r="AE9" s="1">
        <v>1347.5419999999999</v>
      </c>
      <c r="AF9" s="1">
        <v>0</v>
      </c>
      <c r="AG9" s="1">
        <v>0</v>
      </c>
      <c r="AH9" s="1">
        <v>0</v>
      </c>
      <c r="AI9" s="1">
        <v>0</v>
      </c>
      <c r="AK9" s="1">
        <v>0</v>
      </c>
      <c r="AL9" s="1">
        <v>0</v>
      </c>
    </row>
    <row r="10" spans="1:38" ht="12.75" customHeight="1">
      <c r="A10" s="1" t="s">
        <v>25</v>
      </c>
      <c r="B10" s="1">
        <v>58</v>
      </c>
      <c r="C10" s="1">
        <v>67</v>
      </c>
      <c r="D10" s="1">
        <v>249</v>
      </c>
      <c r="I10" s="1">
        <v>640.62099999999998</v>
      </c>
      <c r="J10" s="126">
        <v>514.21199999999999</v>
      </c>
      <c r="K10" s="1">
        <v>985.74699999999996</v>
      </c>
      <c r="L10" s="1">
        <v>611.47400000000005</v>
      </c>
      <c r="M10" s="1">
        <v>282.33999999999997</v>
      </c>
      <c r="N10" s="1">
        <v>122.395</v>
      </c>
      <c r="O10" s="1">
        <v>27.213999999999999</v>
      </c>
      <c r="R10" s="24">
        <v>0</v>
      </c>
      <c r="S10" s="1">
        <v>4.0010000000000003</v>
      </c>
      <c r="T10" s="44">
        <v>13659.191000000001</v>
      </c>
      <c r="U10" s="1">
        <v>13075.2</v>
      </c>
      <c r="V10" s="1">
        <v>8204.9419999999991</v>
      </c>
      <c r="W10" s="126">
        <v>11518.267</v>
      </c>
      <c r="X10" s="126">
        <v>18215.071</v>
      </c>
      <c r="Y10" s="126">
        <v>55819.749000000003</v>
      </c>
      <c r="Z10" s="126">
        <v>21665.934000000001</v>
      </c>
      <c r="AA10" s="126">
        <v>-12699.781999999999</v>
      </c>
      <c r="AB10" s="126">
        <v>53737.930999999997</v>
      </c>
      <c r="AC10" s="126">
        <v>47823</v>
      </c>
      <c r="AD10" s="1">
        <v>928.14499999999998</v>
      </c>
      <c r="AE10" s="1">
        <v>782.90599999999995</v>
      </c>
      <c r="AF10" s="1">
        <v>54238.47</v>
      </c>
      <c r="AG10" s="1">
        <v>10817.61</v>
      </c>
      <c r="AH10" s="1">
        <v>24539.725999999999</v>
      </c>
      <c r="AI10" s="1">
        <v>25285.453000000001</v>
      </c>
      <c r="AK10" s="1">
        <v>54189.053</v>
      </c>
      <c r="AL10" s="1">
        <v>38460.406000000003</v>
      </c>
    </row>
    <row r="11" spans="1:38" ht="12.75" customHeight="1">
      <c r="A11" s="1" t="s">
        <v>26</v>
      </c>
      <c r="B11" s="1">
        <v>21</v>
      </c>
      <c r="C11" s="1">
        <v>23</v>
      </c>
      <c r="D11" s="1">
        <v>19</v>
      </c>
      <c r="I11" s="1">
        <v>105.73099999999999</v>
      </c>
      <c r="J11" s="126">
        <v>103.883</v>
      </c>
      <c r="K11" s="1">
        <v>158.67400000000001</v>
      </c>
      <c r="L11" s="1">
        <v>74.462000000000003</v>
      </c>
      <c r="M11" s="1">
        <v>56.021999999999998</v>
      </c>
      <c r="N11" s="1">
        <v>67.816000000000003</v>
      </c>
      <c r="O11" s="1">
        <v>80.852999999999994</v>
      </c>
      <c r="R11" s="24">
        <v>144.494</v>
      </c>
      <c r="S11" s="1">
        <v>126.99299999999999</v>
      </c>
      <c r="T11" s="44">
        <v>1631.788</v>
      </c>
      <c r="U11" s="1">
        <v>717.52200000000005</v>
      </c>
      <c r="V11" s="1">
        <v>887.36900000000003</v>
      </c>
      <c r="W11" s="126">
        <v>1428.377</v>
      </c>
      <c r="X11" s="126">
        <v>3294.8739999999998</v>
      </c>
      <c r="Y11" s="126">
        <v>4104.7349999999997</v>
      </c>
      <c r="Z11" s="126">
        <v>2738.3380000000002</v>
      </c>
      <c r="AA11" s="126">
        <v>1050.739</v>
      </c>
      <c r="AB11" s="126">
        <v>1060.7929999999999</v>
      </c>
      <c r="AC11" s="126">
        <v>-5496</v>
      </c>
      <c r="AD11" s="1">
        <v>964.92899999999997</v>
      </c>
      <c r="AE11" s="1">
        <v>949.75300000000004</v>
      </c>
      <c r="AF11" s="1">
        <v>-3467.0059999999999</v>
      </c>
      <c r="AG11" s="1">
        <v>-3574.806</v>
      </c>
      <c r="AH11" s="1">
        <v>-3035.7620000000002</v>
      </c>
      <c r="AI11" s="1">
        <v>-174.60400000000001</v>
      </c>
      <c r="AK11" s="1">
        <v>2111.4780000000001</v>
      </c>
      <c r="AL11" s="1">
        <v>1051.7460000000001</v>
      </c>
    </row>
    <row r="12" spans="1:38" ht="12.75" customHeight="1">
      <c r="A12" s="1" t="s">
        <v>27</v>
      </c>
      <c r="B12" s="1">
        <v>3</v>
      </c>
      <c r="C12" s="1">
        <v>41</v>
      </c>
      <c r="D12" s="1">
        <v>33</v>
      </c>
      <c r="I12" s="1">
        <v>133.053</v>
      </c>
      <c r="J12" s="126">
        <v>225.44900000000001</v>
      </c>
      <c r="K12" s="1">
        <v>222.07</v>
      </c>
      <c r="L12" s="1">
        <v>220.67599999999999</v>
      </c>
      <c r="M12" s="1">
        <v>221.00700000000001</v>
      </c>
      <c r="N12" s="1">
        <v>319.649</v>
      </c>
      <c r="O12" s="1">
        <v>374.54399999999998</v>
      </c>
      <c r="R12" s="18">
        <v>301.97199999999998</v>
      </c>
      <c r="S12" s="1">
        <v>281.16300000000001</v>
      </c>
      <c r="T12" s="44">
        <v>24.939</v>
      </c>
      <c r="U12" s="1">
        <v>27.56</v>
      </c>
      <c r="V12" s="1">
        <v>25.344000000000001</v>
      </c>
      <c r="W12" s="126">
        <v>971.57399999999996</v>
      </c>
      <c r="X12" s="126">
        <v>1079.4649999999999</v>
      </c>
      <c r="Y12" s="126">
        <v>1257.557</v>
      </c>
      <c r="Z12" s="126">
        <v>1603.0050000000001</v>
      </c>
      <c r="AA12" s="126">
        <v>1662.08</v>
      </c>
      <c r="AB12" s="126">
        <v>1005.524</v>
      </c>
      <c r="AC12" s="126">
        <v>1108</v>
      </c>
      <c r="AD12" s="1">
        <v>966.44299999999998</v>
      </c>
      <c r="AE12" s="1">
        <v>752.12199999999996</v>
      </c>
      <c r="AF12" s="1">
        <v>1388.5640000000001</v>
      </c>
      <c r="AG12" s="1">
        <v>1476.2829999999999</v>
      </c>
      <c r="AH12" s="1">
        <v>1668.0119999999999</v>
      </c>
      <c r="AI12" s="1">
        <v>1592.952</v>
      </c>
      <c r="AK12" s="1">
        <v>1867.5730000000001</v>
      </c>
      <c r="AL12" s="1">
        <v>2050.5590000000002</v>
      </c>
    </row>
    <row r="13" spans="1:38" ht="12.75" customHeight="1">
      <c r="A13" s="1" t="s">
        <v>28</v>
      </c>
      <c r="B13" s="1">
        <v>2</v>
      </c>
      <c r="C13" s="1">
        <v>2</v>
      </c>
      <c r="D13" s="1">
        <v>2</v>
      </c>
      <c r="I13" s="1">
        <v>3.6</v>
      </c>
      <c r="J13" s="126">
        <v>3.3</v>
      </c>
      <c r="K13" s="1">
        <v>2.6</v>
      </c>
      <c r="L13" s="1">
        <v>3.0539999999999998</v>
      </c>
      <c r="M13" s="1">
        <v>0.6</v>
      </c>
      <c r="N13" s="1">
        <v>1.474</v>
      </c>
      <c r="O13" s="1">
        <v>6.2110000000000003</v>
      </c>
      <c r="R13" s="18">
        <v>55.845999999999997</v>
      </c>
      <c r="S13" s="1">
        <v>120.379</v>
      </c>
      <c r="T13" s="44">
        <v>412.43799999999999</v>
      </c>
      <c r="U13" s="1">
        <v>1093.0409999999999</v>
      </c>
      <c r="V13" s="1">
        <v>546.29200000000003</v>
      </c>
      <c r="W13" s="126">
        <v>1215.213</v>
      </c>
      <c r="X13" s="126">
        <v>2800.5039999999999</v>
      </c>
      <c r="Y13" s="126">
        <v>4360.348</v>
      </c>
      <c r="Z13" s="126">
        <v>3453.3809999999999</v>
      </c>
      <c r="AA13" s="126">
        <v>3468.9780000000001</v>
      </c>
      <c r="AB13" s="126">
        <v>1173.759</v>
      </c>
      <c r="AC13" s="126">
        <v>1158</v>
      </c>
      <c r="AD13" s="1">
        <v>1407.299</v>
      </c>
      <c r="AE13" s="1">
        <v>7215.6040000000003</v>
      </c>
      <c r="AF13" s="1">
        <v>849.01199999999994</v>
      </c>
      <c r="AG13" s="1">
        <v>308.24200000000002</v>
      </c>
      <c r="AH13" s="1">
        <v>451.762</v>
      </c>
      <c r="AI13" s="1">
        <v>713.31200000000001</v>
      </c>
      <c r="AK13" s="1">
        <v>1423.43</v>
      </c>
      <c r="AL13" s="1">
        <v>1548.8589999999999</v>
      </c>
    </row>
    <row r="14" spans="1:38" ht="12.75" customHeight="1">
      <c r="A14" s="1" t="s">
        <v>29</v>
      </c>
      <c r="B14" s="1">
        <v>0</v>
      </c>
      <c r="C14" s="1">
        <v>0</v>
      </c>
      <c r="D14" s="1">
        <v>12</v>
      </c>
      <c r="I14" s="1">
        <v>0</v>
      </c>
      <c r="J14" s="126">
        <v>144.529</v>
      </c>
      <c r="K14" s="1">
        <v>131.27799999999999</v>
      </c>
      <c r="L14" s="1">
        <v>21.164000000000001</v>
      </c>
      <c r="M14" s="1">
        <v>90.254999999999995</v>
      </c>
      <c r="N14" s="1">
        <v>103.217</v>
      </c>
      <c r="O14" s="1">
        <v>89.37</v>
      </c>
      <c r="R14" s="18">
        <v>126.79300000000001</v>
      </c>
      <c r="S14" s="1">
        <v>143.13999999999999</v>
      </c>
      <c r="T14" s="44">
        <v>4058.8989999999999</v>
      </c>
      <c r="U14" s="1">
        <v>3334.1089999999999</v>
      </c>
      <c r="V14" s="1">
        <v>2693.2170000000001</v>
      </c>
      <c r="W14" s="126">
        <v>5144.2820000000002</v>
      </c>
      <c r="X14" s="126">
        <v>9282.607</v>
      </c>
      <c r="Y14" s="126">
        <v>12922.173000000001</v>
      </c>
      <c r="Z14" s="126">
        <v>11400.776</v>
      </c>
      <c r="AA14" s="126">
        <v>4291.4970000000003</v>
      </c>
      <c r="AB14" s="126">
        <v>1441.0650000000001</v>
      </c>
      <c r="AC14" s="126">
        <v>1421</v>
      </c>
      <c r="AD14" s="1">
        <v>1388.4590000000001</v>
      </c>
      <c r="AE14" s="1">
        <v>1676.508</v>
      </c>
      <c r="AF14" s="1">
        <v>874.90300000000002</v>
      </c>
      <c r="AG14" s="1">
        <v>982.03499999999997</v>
      </c>
      <c r="AH14" s="1">
        <v>1638.1590000000001</v>
      </c>
      <c r="AI14" s="1">
        <v>2026.6980000000001</v>
      </c>
      <c r="AK14" s="1">
        <v>6700.085</v>
      </c>
      <c r="AL14" s="1">
        <v>5377.76</v>
      </c>
    </row>
    <row r="15" spans="1:38" ht="12.75" customHeight="1">
      <c r="A15" s="1" t="s">
        <v>30</v>
      </c>
      <c r="B15" s="1">
        <v>16</v>
      </c>
      <c r="C15" s="1">
        <v>45</v>
      </c>
      <c r="D15" s="1">
        <v>40</v>
      </c>
      <c r="I15" s="1">
        <v>14.393000000000001</v>
      </c>
      <c r="J15" s="126">
        <v>30.481000000000002</v>
      </c>
      <c r="K15" s="1">
        <v>0</v>
      </c>
      <c r="L15" s="1">
        <v>0</v>
      </c>
      <c r="M15" s="1">
        <v>60</v>
      </c>
      <c r="N15" s="1">
        <v>0</v>
      </c>
      <c r="O15" s="1">
        <v>15.7</v>
      </c>
      <c r="R15" s="18">
        <v>0</v>
      </c>
      <c r="S15" s="1">
        <v>0</v>
      </c>
      <c r="T15" s="44">
        <v>0</v>
      </c>
      <c r="U15" s="1">
        <v>2048.6779999999999</v>
      </c>
      <c r="V15" s="1">
        <v>2391.944</v>
      </c>
      <c r="W15" s="126">
        <v>3497.027</v>
      </c>
      <c r="X15" s="126">
        <v>5586.6350000000002</v>
      </c>
      <c r="Y15" s="126">
        <v>7929.1729999999998</v>
      </c>
      <c r="Z15" s="126">
        <v>7163.59</v>
      </c>
      <c r="AA15" s="126">
        <v>3444.6460000000002</v>
      </c>
      <c r="AB15" s="126">
        <v>2421.5010000000002</v>
      </c>
      <c r="AC15" s="126">
        <v>1395</v>
      </c>
      <c r="AD15" s="1">
        <v>1783.1289999999999</v>
      </c>
      <c r="AE15" s="1">
        <v>1064.3309999999999</v>
      </c>
      <c r="AF15" s="1">
        <v>745.92700000000002</v>
      </c>
      <c r="AG15" s="1">
        <v>826.77499999999998</v>
      </c>
      <c r="AH15" s="1">
        <v>866.82299999999998</v>
      </c>
      <c r="AI15" s="1">
        <v>1507.518</v>
      </c>
      <c r="AK15" s="1">
        <v>4020.6729999999998</v>
      </c>
      <c r="AL15" s="1">
        <v>2779.7730000000001</v>
      </c>
    </row>
    <row r="16" spans="1:38" ht="12.75" customHeight="1">
      <c r="A16" s="1" t="s">
        <v>31</v>
      </c>
      <c r="B16" s="1">
        <v>109</v>
      </c>
      <c r="C16" s="1">
        <v>169</v>
      </c>
      <c r="D16" s="1">
        <v>158</v>
      </c>
      <c r="I16" s="1">
        <v>534.39400000000001</v>
      </c>
      <c r="J16" s="126">
        <v>481.464</v>
      </c>
      <c r="K16" s="1">
        <v>237.14099999999999</v>
      </c>
      <c r="L16" s="1">
        <v>543.904</v>
      </c>
      <c r="M16" s="1">
        <v>6399.1080000000002</v>
      </c>
      <c r="N16" s="1">
        <v>6883.527</v>
      </c>
      <c r="O16" s="1">
        <v>529.49699999999996</v>
      </c>
      <c r="R16" s="18">
        <v>1146.366</v>
      </c>
      <c r="S16" s="1">
        <v>803.09699999999998</v>
      </c>
      <c r="T16" s="1">
        <v>2753.384</v>
      </c>
      <c r="U16" s="1">
        <v>4381.7359999999999</v>
      </c>
      <c r="V16" s="1">
        <v>4935.6059999999998</v>
      </c>
      <c r="W16" s="126">
        <v>5328.6419999999998</v>
      </c>
      <c r="X16" s="126">
        <v>7711.4750000000004</v>
      </c>
      <c r="Y16" s="126">
        <v>15045.165000000001</v>
      </c>
      <c r="Z16" s="126">
        <v>4484.4369999999999</v>
      </c>
      <c r="AA16" s="126">
        <v>-3440.98</v>
      </c>
      <c r="AB16" s="126">
        <v>7968.4059999999999</v>
      </c>
      <c r="AC16" s="126">
        <v>12059</v>
      </c>
      <c r="AD16" s="1">
        <v>472.154</v>
      </c>
      <c r="AE16" s="1">
        <v>456.89400000000001</v>
      </c>
      <c r="AF16" s="1">
        <v>11512.964</v>
      </c>
      <c r="AG16" s="1">
        <v>2443.79</v>
      </c>
      <c r="AH16" s="1">
        <v>962.23500000000001</v>
      </c>
      <c r="AI16" s="1">
        <v>11269.598</v>
      </c>
      <c r="AK16" s="1">
        <v>11120.434999999999</v>
      </c>
      <c r="AL16" s="1">
        <v>9565.9590000000007</v>
      </c>
    </row>
    <row r="17" spans="1:38" ht="12.75" customHeight="1">
      <c r="A17" s="1" t="s">
        <v>32</v>
      </c>
      <c r="B17" s="1">
        <v>7</v>
      </c>
      <c r="C17" s="1">
        <v>25</v>
      </c>
      <c r="D17" s="1">
        <v>8</v>
      </c>
      <c r="I17" s="1">
        <v>11.78</v>
      </c>
      <c r="J17" s="126">
        <v>14.355</v>
      </c>
      <c r="K17" s="1">
        <v>8.6229999999999993</v>
      </c>
      <c r="L17" s="1">
        <v>8.9659999999999993</v>
      </c>
      <c r="M17" s="1">
        <v>8.6750000000000007</v>
      </c>
      <c r="N17" s="1">
        <v>11.746</v>
      </c>
      <c r="O17" s="1">
        <v>5.9550000000000001</v>
      </c>
      <c r="R17" s="18">
        <v>6.0289999999999999</v>
      </c>
      <c r="S17" s="1">
        <v>6.8289999999999997</v>
      </c>
      <c r="T17" s="1">
        <v>2020.4749999999999</v>
      </c>
      <c r="U17" s="1">
        <v>1475.28</v>
      </c>
      <c r="V17" s="1">
        <v>915.44500000000005</v>
      </c>
      <c r="W17" s="126">
        <v>1711.1189999999999</v>
      </c>
      <c r="X17" s="126">
        <v>4186.8760000000002</v>
      </c>
      <c r="Y17" s="126">
        <v>8915.6</v>
      </c>
      <c r="Z17" s="126">
        <v>6877.22</v>
      </c>
      <c r="AA17" s="126">
        <v>2929.1779999999999</v>
      </c>
      <c r="AB17" s="126">
        <v>3937.7860000000001</v>
      </c>
      <c r="AC17" s="126">
        <v>2701</v>
      </c>
      <c r="AD17" s="1">
        <v>11827.918</v>
      </c>
      <c r="AE17" s="1">
        <v>6547.1379999999999</v>
      </c>
      <c r="AF17" s="1">
        <v>1309.607</v>
      </c>
      <c r="AG17" s="1">
        <v>233.541</v>
      </c>
      <c r="AH17" s="1">
        <v>8.7230000000000008</v>
      </c>
      <c r="AI17" s="1">
        <v>10473.002</v>
      </c>
      <c r="AK17" s="1">
        <v>4167.076</v>
      </c>
      <c r="AL17" s="1">
        <v>-745.11699999999996</v>
      </c>
    </row>
    <row r="18" spans="1:38" ht="12.75" customHeight="1">
      <c r="A18" s="1" t="s">
        <v>33</v>
      </c>
      <c r="B18" s="1">
        <v>0</v>
      </c>
      <c r="C18" s="1">
        <v>0</v>
      </c>
      <c r="D18" s="1">
        <v>0</v>
      </c>
      <c r="I18" s="1">
        <v>0</v>
      </c>
      <c r="J18" s="126">
        <v>0.995</v>
      </c>
      <c r="K18" s="1">
        <v>2.3980000000000001</v>
      </c>
      <c r="L18" s="1">
        <v>0</v>
      </c>
      <c r="M18" s="1">
        <v>61.768999999999998</v>
      </c>
      <c r="N18" s="1">
        <v>35.901000000000003</v>
      </c>
      <c r="O18" s="1">
        <v>58.292000000000002</v>
      </c>
      <c r="R18" s="18">
        <v>45.387999999999998</v>
      </c>
      <c r="S18" s="1">
        <v>86.688000000000002</v>
      </c>
      <c r="T18" s="1">
        <v>2655.62</v>
      </c>
      <c r="U18" s="1">
        <v>2016.3109999999999</v>
      </c>
      <c r="V18" s="1">
        <v>1523.9480000000001</v>
      </c>
      <c r="W18" s="126">
        <v>3492.4059999999999</v>
      </c>
      <c r="X18" s="126">
        <v>7641.15</v>
      </c>
      <c r="Y18" s="126">
        <v>10391.712</v>
      </c>
      <c r="Z18" s="126">
        <v>7816.3140000000003</v>
      </c>
      <c r="AA18" s="126">
        <v>3379.3939999999998</v>
      </c>
      <c r="AB18" s="126">
        <v>2275.2130000000002</v>
      </c>
      <c r="AC18" s="126">
        <v>2224</v>
      </c>
      <c r="AD18" s="1">
        <v>3200.011</v>
      </c>
      <c r="AE18" s="1">
        <v>2572.29</v>
      </c>
      <c r="AF18" s="1">
        <v>1725.4380000000001</v>
      </c>
      <c r="AG18" s="1">
        <v>1793.712</v>
      </c>
      <c r="AH18" s="1">
        <v>2690.55</v>
      </c>
      <c r="AI18" s="1">
        <v>1127.576</v>
      </c>
      <c r="AK18" s="1">
        <v>7186.027</v>
      </c>
      <c r="AL18" s="1">
        <v>8176.0209999999997</v>
      </c>
    </row>
    <row r="19" spans="1:38" ht="12.75" customHeight="1">
      <c r="A19" s="1" t="s">
        <v>34</v>
      </c>
      <c r="B19" s="1">
        <v>1</v>
      </c>
      <c r="C19" s="1">
        <v>0</v>
      </c>
      <c r="D19" s="1">
        <v>1</v>
      </c>
      <c r="I19" s="1">
        <v>10.035</v>
      </c>
      <c r="J19" s="126">
        <v>5.6509999999999998</v>
      </c>
      <c r="K19" s="1">
        <v>3.4969999999999999</v>
      </c>
      <c r="L19" s="1">
        <v>6.8840000000000003</v>
      </c>
      <c r="M19" s="1">
        <v>5.7080000000000002</v>
      </c>
      <c r="N19" s="1">
        <v>9.1850000000000005</v>
      </c>
      <c r="O19" s="1">
        <v>13.991</v>
      </c>
      <c r="R19" s="24">
        <v>16.449000000000002</v>
      </c>
      <c r="S19" s="1">
        <v>13.419</v>
      </c>
      <c r="T19" s="1">
        <v>1631.6120000000001</v>
      </c>
      <c r="U19" s="1">
        <v>1299.057</v>
      </c>
      <c r="V19" s="1">
        <v>1137.866</v>
      </c>
      <c r="W19" s="126">
        <v>2772.3209999999999</v>
      </c>
      <c r="X19" s="126">
        <v>5782.6570000000002</v>
      </c>
      <c r="Y19" s="126">
        <v>7378.8649999999998</v>
      </c>
      <c r="Z19" s="126">
        <v>6287.7139999999999</v>
      </c>
      <c r="AA19" s="126">
        <v>2683.1689999999999</v>
      </c>
      <c r="AB19" s="126">
        <v>854.58500000000004</v>
      </c>
      <c r="AC19" s="126">
        <v>643</v>
      </c>
      <c r="AD19" s="1">
        <v>68.444000000000003</v>
      </c>
      <c r="AE19" s="1">
        <v>86.983999999999995</v>
      </c>
      <c r="AF19" s="1">
        <v>360.02100000000002</v>
      </c>
      <c r="AG19" s="1">
        <v>322.89</v>
      </c>
      <c r="AH19" s="1">
        <v>723.21100000000001</v>
      </c>
      <c r="AI19" s="1">
        <v>1719.3689999999999</v>
      </c>
      <c r="AK19" s="1">
        <v>8616.7479999999996</v>
      </c>
      <c r="AL19" s="1">
        <v>6923.0529999999999</v>
      </c>
    </row>
    <row r="20" spans="1:38" ht="12.75" customHeight="1">
      <c r="A20" s="1" t="s">
        <v>35</v>
      </c>
      <c r="B20" s="1">
        <v>802</v>
      </c>
      <c r="C20" s="1">
        <v>954</v>
      </c>
      <c r="D20" s="1">
        <v>924</v>
      </c>
      <c r="I20" s="1">
        <v>1131.33</v>
      </c>
      <c r="J20" s="126">
        <v>1437.8</v>
      </c>
      <c r="K20" s="1">
        <v>1486.597</v>
      </c>
      <c r="L20" s="1">
        <v>1590.1010000000001</v>
      </c>
      <c r="M20" s="1">
        <v>1331.556</v>
      </c>
      <c r="N20" s="1">
        <v>1782.721</v>
      </c>
      <c r="O20" s="1">
        <v>2705.5349999999999</v>
      </c>
      <c r="R20" s="18">
        <v>3067.7289999999998</v>
      </c>
      <c r="S20" s="1">
        <v>4035.5590000000002</v>
      </c>
      <c r="T20" s="1">
        <v>27318.476999999999</v>
      </c>
      <c r="U20" s="1">
        <v>22828.708999999999</v>
      </c>
      <c r="V20" s="1">
        <v>22153.65</v>
      </c>
      <c r="W20" s="126">
        <v>33336.228999999999</v>
      </c>
      <c r="X20" s="126">
        <v>69768.231</v>
      </c>
      <c r="Y20" s="126">
        <v>104253.92600000001</v>
      </c>
      <c r="Z20" s="126">
        <v>79286.77</v>
      </c>
      <c r="AA20" s="126">
        <v>35491.633000000002</v>
      </c>
      <c r="AB20" s="126">
        <v>17306.655999999999</v>
      </c>
      <c r="AC20" s="126">
        <v>13597</v>
      </c>
      <c r="AD20" s="1">
        <v>0</v>
      </c>
      <c r="AE20" s="1">
        <v>0</v>
      </c>
      <c r="AF20" s="1">
        <v>15726.22</v>
      </c>
      <c r="AG20" s="1">
        <v>11764.977999999999</v>
      </c>
      <c r="AH20" s="1">
        <v>20359.024000000001</v>
      </c>
      <c r="AI20" s="1">
        <v>32327.155999999999</v>
      </c>
      <c r="AK20" s="1">
        <v>93924.292000000001</v>
      </c>
      <c r="AL20" s="1">
        <v>72724.63</v>
      </c>
    </row>
    <row r="21" spans="1:38" ht="12.75" customHeight="1">
      <c r="A21" s="1" t="s">
        <v>36</v>
      </c>
      <c r="B21" s="1">
        <v>7</v>
      </c>
      <c r="C21" s="1">
        <v>7</v>
      </c>
      <c r="D21" s="1">
        <v>9</v>
      </c>
      <c r="I21" s="1">
        <v>15.032</v>
      </c>
      <c r="J21" s="126">
        <v>12.988</v>
      </c>
      <c r="K21" s="1">
        <v>17.186</v>
      </c>
      <c r="L21" s="1">
        <v>18.640999999999998</v>
      </c>
      <c r="M21" s="1">
        <v>12.58</v>
      </c>
      <c r="N21" s="1">
        <v>10.903</v>
      </c>
      <c r="O21" s="1">
        <v>15.148</v>
      </c>
      <c r="R21" s="18">
        <v>13.542999999999999</v>
      </c>
      <c r="S21" s="1">
        <v>14.404</v>
      </c>
      <c r="T21" s="1">
        <v>1569.4369999999999</v>
      </c>
      <c r="U21" s="1">
        <v>1250.5930000000001</v>
      </c>
      <c r="V21" s="1">
        <v>1233.133</v>
      </c>
      <c r="W21" s="126">
        <v>1178.9949999999999</v>
      </c>
      <c r="X21" s="126">
        <v>2176.48</v>
      </c>
      <c r="Y21" s="126">
        <v>5368.8220000000001</v>
      </c>
      <c r="Z21" s="126">
        <v>6519.5950000000003</v>
      </c>
      <c r="AA21" s="126">
        <v>5255.7960000000003</v>
      </c>
      <c r="AB21" s="126">
        <v>3100.7550000000001</v>
      </c>
      <c r="AC21" s="126">
        <v>2738</v>
      </c>
      <c r="AD21" s="1">
        <v>0</v>
      </c>
      <c r="AE21" s="1">
        <v>0</v>
      </c>
      <c r="AF21" s="1">
        <v>1077.0429999999999</v>
      </c>
      <c r="AG21" s="1">
        <v>932.67600000000004</v>
      </c>
      <c r="AH21" s="1">
        <v>1404.6959999999999</v>
      </c>
      <c r="AI21" s="1">
        <v>1027.117</v>
      </c>
      <c r="AK21" s="1">
        <v>5181.6400000000003</v>
      </c>
      <c r="AL21" s="1">
        <v>4218.2960000000003</v>
      </c>
    </row>
    <row r="22" spans="1:38" ht="12.75" customHeight="1">
      <c r="A22" s="27" t="s">
        <v>37</v>
      </c>
      <c r="B22" s="27">
        <v>0</v>
      </c>
      <c r="C22" s="27">
        <v>0</v>
      </c>
      <c r="D22" s="27">
        <v>0</v>
      </c>
      <c r="E22" s="27"/>
      <c r="F22" s="27"/>
      <c r="G22" s="27"/>
      <c r="H22" s="27"/>
      <c r="I22" s="27">
        <v>0</v>
      </c>
      <c r="J22" s="127">
        <v>0</v>
      </c>
      <c r="K22" s="27">
        <v>141</v>
      </c>
      <c r="L22" s="27">
        <v>0</v>
      </c>
      <c r="M22" s="27">
        <v>0</v>
      </c>
      <c r="N22" s="27">
        <v>0</v>
      </c>
      <c r="O22" s="27">
        <v>0</v>
      </c>
      <c r="P22" s="27"/>
      <c r="Q22" s="27"/>
      <c r="R22" s="27">
        <v>0</v>
      </c>
      <c r="S22" s="27">
        <v>105.319</v>
      </c>
      <c r="T22" s="27">
        <v>300.26299999999998</v>
      </c>
      <c r="U22" s="27">
        <v>322.98399999999998</v>
      </c>
      <c r="V22" s="27">
        <v>41.154000000000003</v>
      </c>
      <c r="W22" s="127">
        <v>359.15600000000001</v>
      </c>
      <c r="X22" s="127">
        <v>808.70100000000002</v>
      </c>
      <c r="Y22" s="127">
        <v>1496.4929999999999</v>
      </c>
      <c r="Z22" s="127">
        <v>1186.9680000000001</v>
      </c>
      <c r="AA22" s="127">
        <v>504.726</v>
      </c>
      <c r="AB22" s="127">
        <v>116.795</v>
      </c>
      <c r="AC22" s="127">
        <v>113</v>
      </c>
      <c r="AD22" s="27">
        <v>0</v>
      </c>
      <c r="AE22" s="27">
        <v>0</v>
      </c>
      <c r="AF22" s="27">
        <v>88.751000000000005</v>
      </c>
      <c r="AG22" s="27">
        <v>76.147999999999996</v>
      </c>
      <c r="AH22" s="27">
        <v>212.399</v>
      </c>
      <c r="AI22" s="27">
        <v>597.44899999999996</v>
      </c>
      <c r="AJ22" s="27"/>
      <c r="AK22" s="1">
        <v>1745.7090000000001</v>
      </c>
      <c r="AL22" s="1">
        <v>1331.181</v>
      </c>
    </row>
    <row r="23" spans="1:38" ht="12.75" customHeight="1">
      <c r="A23" s="6" t="s">
        <v>38</v>
      </c>
      <c r="B23" s="51">
        <f>SUM(B25:B37)</f>
        <v>0</v>
      </c>
      <c r="C23" s="51">
        <f t="shared" ref="C23:AK23" si="14">SUM(C25:C37)</f>
        <v>0</v>
      </c>
      <c r="D23" s="51">
        <f t="shared" si="14"/>
        <v>0</v>
      </c>
      <c r="E23" s="51">
        <f t="shared" si="14"/>
        <v>0</v>
      </c>
      <c r="F23" s="51">
        <f t="shared" si="14"/>
        <v>0</v>
      </c>
      <c r="G23" s="51">
        <f t="shared" si="14"/>
        <v>0</v>
      </c>
      <c r="H23" s="51">
        <f t="shared" si="14"/>
        <v>0</v>
      </c>
      <c r="I23" s="51">
        <f t="shared" si="14"/>
        <v>0</v>
      </c>
      <c r="J23" s="51">
        <f t="shared" si="14"/>
        <v>7028.6230000000005</v>
      </c>
      <c r="K23" s="51">
        <f t="shared" si="14"/>
        <v>0</v>
      </c>
      <c r="L23" s="51">
        <f t="shared" si="14"/>
        <v>0</v>
      </c>
      <c r="M23" s="51">
        <f t="shared" si="14"/>
        <v>9477.107</v>
      </c>
      <c r="N23" s="51">
        <f t="shared" si="14"/>
        <v>0</v>
      </c>
      <c r="O23" s="51">
        <f t="shared" si="14"/>
        <v>8689.8261799999982</v>
      </c>
      <c r="P23" s="51">
        <f t="shared" si="14"/>
        <v>0</v>
      </c>
      <c r="Q23" s="51">
        <f t="shared" si="14"/>
        <v>0</v>
      </c>
      <c r="R23" s="51">
        <f t="shared" si="14"/>
        <v>10415.861000000001</v>
      </c>
      <c r="S23" s="51">
        <f t="shared" si="14"/>
        <v>12699.14</v>
      </c>
      <c r="T23" s="51">
        <f t="shared" si="14"/>
        <v>65518.197</v>
      </c>
      <c r="U23" s="51">
        <f t="shared" si="14"/>
        <v>72506.692999999999</v>
      </c>
      <c r="V23" s="51">
        <f t="shared" si="14"/>
        <v>73045.187999999995</v>
      </c>
      <c r="W23" s="51">
        <f t="shared" si="14"/>
        <v>186508.31600000002</v>
      </c>
      <c r="X23" s="51">
        <f t="shared" si="14"/>
        <v>262128.62800000003</v>
      </c>
      <c r="Y23" s="51">
        <f t="shared" si="14"/>
        <v>359681.55399999995</v>
      </c>
      <c r="Z23" s="51">
        <f t="shared" si="14"/>
        <v>334861.99000000011</v>
      </c>
      <c r="AA23" s="51">
        <f t="shared" si="14"/>
        <v>231912.28600000002</v>
      </c>
      <c r="AB23" s="51">
        <f t="shared" si="14"/>
        <v>200461.83900000001</v>
      </c>
      <c r="AC23" s="51">
        <f t="shared" si="14"/>
        <v>280540</v>
      </c>
      <c r="AD23" s="51">
        <f t="shared" si="14"/>
        <v>77517.070999999996</v>
      </c>
      <c r="AE23" s="51">
        <f t="shared" si="14"/>
        <v>115830.10399999999</v>
      </c>
      <c r="AF23" s="51">
        <f t="shared" si="14"/>
        <v>160266.51</v>
      </c>
      <c r="AG23" s="51">
        <f t="shared" si="14"/>
        <v>54149.114000000001</v>
      </c>
      <c r="AH23" s="51">
        <f t="shared" si="14"/>
        <v>63792.652999999984</v>
      </c>
      <c r="AI23" s="51">
        <f t="shared" si="14"/>
        <v>127353.052</v>
      </c>
      <c r="AJ23" s="51">
        <f t="shared" si="14"/>
        <v>0</v>
      </c>
      <c r="AK23" s="131">
        <f t="shared" si="14"/>
        <v>242841.66899999999</v>
      </c>
      <c r="AL23" s="131">
        <f t="shared" ref="AL23" si="15">SUM(AL25:AL37)</f>
        <v>232701.65500000006</v>
      </c>
    </row>
    <row r="24" spans="1:38" ht="12.75" customHeight="1">
      <c r="A24" s="6" t="s">
        <v>94</v>
      </c>
    </row>
    <row r="25" spans="1:38" ht="12.75" customHeight="1">
      <c r="A25" s="1" t="s">
        <v>39</v>
      </c>
      <c r="J25" s="126">
        <v>0</v>
      </c>
      <c r="M25" s="1">
        <v>1</v>
      </c>
      <c r="O25" s="1">
        <v>15</v>
      </c>
      <c r="R25" s="18">
        <v>15.808999999999999</v>
      </c>
      <c r="S25" s="1">
        <v>13.191000000000001</v>
      </c>
      <c r="T25" s="1">
        <v>44.054000000000002</v>
      </c>
      <c r="U25" s="1">
        <v>6.7679999999999998</v>
      </c>
      <c r="V25" s="1">
        <v>17.248999999999999</v>
      </c>
      <c r="W25" s="126">
        <v>0</v>
      </c>
      <c r="X25" s="126">
        <v>62.206000000000003</v>
      </c>
      <c r="Y25" s="126">
        <v>39.061</v>
      </c>
      <c r="Z25" s="126">
        <v>19.364999999999998</v>
      </c>
      <c r="AA25" s="126">
        <v>1.9430000000000001</v>
      </c>
      <c r="AB25" s="126">
        <v>0.34200000000000003</v>
      </c>
      <c r="AC25" s="126">
        <v>0</v>
      </c>
      <c r="AD25" s="1">
        <v>-10.02</v>
      </c>
      <c r="AE25" s="1">
        <v>246.27500000000001</v>
      </c>
      <c r="AF25" s="1">
        <v>0</v>
      </c>
      <c r="AG25" s="1">
        <v>0</v>
      </c>
      <c r="AH25" s="1">
        <v>-21.247</v>
      </c>
      <c r="AI25" s="1">
        <v>487.779</v>
      </c>
      <c r="AK25" s="1">
        <v>370.81400000000002</v>
      </c>
      <c r="AL25" s="1">
        <v>93.825000000000003</v>
      </c>
    </row>
    <row r="26" spans="1:38" ht="12.75" customHeight="1">
      <c r="A26" s="1" t="s">
        <v>40</v>
      </c>
      <c r="J26" s="126">
        <v>208.173</v>
      </c>
      <c r="M26" s="1">
        <v>275.90800000000002</v>
      </c>
      <c r="O26" s="1">
        <v>237.54</v>
      </c>
      <c r="R26" s="18">
        <v>307.05799999999999</v>
      </c>
      <c r="S26" s="1">
        <v>100</v>
      </c>
      <c r="T26" s="1">
        <v>7074.13</v>
      </c>
      <c r="U26" s="1">
        <v>1543.559</v>
      </c>
      <c r="V26" s="1">
        <v>2400.9029999999998</v>
      </c>
      <c r="W26" s="126">
        <v>3952.623</v>
      </c>
      <c r="X26" s="126">
        <v>7821.3119999999999</v>
      </c>
      <c r="Y26" s="126">
        <v>14498.272000000001</v>
      </c>
      <c r="Z26" s="126">
        <v>12602.165000000001</v>
      </c>
      <c r="AA26" s="126">
        <v>3746.8649999999998</v>
      </c>
      <c r="AB26" s="126">
        <v>2426.1979999999999</v>
      </c>
      <c r="AC26" s="126">
        <v>2004</v>
      </c>
      <c r="AD26" s="1">
        <v>1417.3409999999999</v>
      </c>
      <c r="AE26" s="1">
        <v>2251.9580000000001</v>
      </c>
      <c r="AF26" s="1">
        <v>994.13300000000004</v>
      </c>
      <c r="AG26" s="1">
        <v>419.072</v>
      </c>
      <c r="AH26" s="1">
        <v>5005.5039999999999</v>
      </c>
      <c r="AI26" s="1">
        <v>1304.6859999999999</v>
      </c>
      <c r="AK26" s="1">
        <v>10788.487999999999</v>
      </c>
      <c r="AL26" s="1">
        <v>12771.397000000001</v>
      </c>
    </row>
    <row r="27" spans="1:38" ht="12.75" customHeight="1">
      <c r="A27" s="1" t="s">
        <v>41</v>
      </c>
      <c r="J27" s="126">
        <v>255.18600000000001</v>
      </c>
      <c r="M27" s="1">
        <v>3099.578</v>
      </c>
      <c r="O27" s="1">
        <v>1818.6924099999999</v>
      </c>
      <c r="R27" s="18">
        <v>2810.623</v>
      </c>
      <c r="S27" s="1">
        <v>4416.03</v>
      </c>
      <c r="T27" s="1">
        <v>37744.875999999997</v>
      </c>
      <c r="U27" s="1">
        <v>46995.108</v>
      </c>
      <c r="V27" s="1">
        <v>27604.3</v>
      </c>
      <c r="W27" s="126">
        <v>111252.124</v>
      </c>
      <c r="X27" s="126">
        <v>164617.39000000001</v>
      </c>
      <c r="Y27" s="126">
        <v>212053.541</v>
      </c>
      <c r="Z27" s="126">
        <v>264743.06800000003</v>
      </c>
      <c r="AA27" s="126">
        <v>250906.587</v>
      </c>
      <c r="AB27" s="126">
        <v>110676.43</v>
      </c>
      <c r="AC27" s="126">
        <v>165272</v>
      </c>
      <c r="AD27" s="1">
        <v>42611.173999999999</v>
      </c>
      <c r="AE27" s="1">
        <v>36127.864000000001</v>
      </c>
      <c r="AF27" s="1">
        <v>53084.288</v>
      </c>
      <c r="AG27" s="1">
        <v>28645.212</v>
      </c>
      <c r="AH27" s="1">
        <v>36546.760999999999</v>
      </c>
      <c r="AI27" s="1">
        <v>78811.796000000002</v>
      </c>
      <c r="AK27" s="1">
        <v>140753.67600000001</v>
      </c>
      <c r="AL27" s="1">
        <v>146016.36300000001</v>
      </c>
    </row>
    <row r="28" spans="1:38" ht="12.75" customHeight="1">
      <c r="A28" s="1" t="s">
        <v>42</v>
      </c>
      <c r="J28" s="126">
        <v>0</v>
      </c>
      <c r="M28" s="1">
        <v>0</v>
      </c>
      <c r="O28" s="1">
        <v>0</v>
      </c>
      <c r="R28" s="18">
        <v>0</v>
      </c>
      <c r="S28" s="1">
        <v>0</v>
      </c>
      <c r="T28" s="1">
        <v>1972.3810000000001</v>
      </c>
      <c r="U28" s="1">
        <v>2239.9780000000001</v>
      </c>
      <c r="V28" s="1">
        <v>1745</v>
      </c>
      <c r="W28" s="126">
        <v>2220.1439999999998</v>
      </c>
      <c r="X28" s="126">
        <v>4895.518</v>
      </c>
      <c r="Y28" s="126">
        <v>6970.4539999999997</v>
      </c>
      <c r="Z28" s="126">
        <v>7808.91</v>
      </c>
      <c r="AA28" s="126">
        <v>5243.625</v>
      </c>
      <c r="AB28" s="126">
        <v>4992.6980000000003</v>
      </c>
      <c r="AC28" s="126">
        <v>5511</v>
      </c>
      <c r="AD28" s="1">
        <v>3833.826</v>
      </c>
      <c r="AE28" s="1">
        <v>490.06099999999998</v>
      </c>
      <c r="AF28" s="1">
        <v>1260.152</v>
      </c>
      <c r="AG28" s="1">
        <v>1363.39</v>
      </c>
      <c r="AH28" s="1">
        <v>3213.9430000000002</v>
      </c>
      <c r="AI28" s="1">
        <v>2340.0569999999998</v>
      </c>
      <c r="AK28" s="1">
        <v>7837.2250000000004</v>
      </c>
      <c r="AL28" s="1">
        <v>7796.9440000000004</v>
      </c>
    </row>
    <row r="29" spans="1:38" ht="12.75" customHeight="1">
      <c r="A29" s="1" t="s">
        <v>43</v>
      </c>
      <c r="J29" s="126">
        <v>8.5389999999999997</v>
      </c>
      <c r="M29" s="1">
        <v>10.314</v>
      </c>
      <c r="O29" s="1">
        <v>12.682</v>
      </c>
      <c r="R29" s="18">
        <v>25.661000000000001</v>
      </c>
      <c r="S29" s="1">
        <v>27.968</v>
      </c>
      <c r="T29" s="1">
        <v>549.35699999999997</v>
      </c>
      <c r="U29" s="1">
        <v>475.19099999999997</v>
      </c>
      <c r="V29" s="1">
        <v>310.036</v>
      </c>
      <c r="W29" s="126">
        <v>447.72899999999998</v>
      </c>
      <c r="X29" s="126">
        <v>685.32299999999998</v>
      </c>
      <c r="Y29" s="126">
        <v>1101.93</v>
      </c>
      <c r="Z29" s="126">
        <v>1235.8589999999999</v>
      </c>
      <c r="AA29" s="126">
        <v>848.96900000000005</v>
      </c>
      <c r="AB29" s="126">
        <v>432.96800000000002</v>
      </c>
      <c r="AC29" s="126">
        <v>376</v>
      </c>
      <c r="AD29" s="1">
        <v>300.13799999999998</v>
      </c>
      <c r="AE29" s="1">
        <v>249.34899999999999</v>
      </c>
      <c r="AF29" s="1">
        <v>188.166</v>
      </c>
      <c r="AG29" s="1">
        <v>99.006</v>
      </c>
      <c r="AH29" s="1">
        <v>-579.70399999999995</v>
      </c>
      <c r="AI29" s="1">
        <v>-36.201000000000001</v>
      </c>
      <c r="AK29" s="1">
        <v>1445.4110000000001</v>
      </c>
      <c r="AL29" s="1">
        <v>1283.3710000000001</v>
      </c>
    </row>
    <row r="30" spans="1:38" ht="12.75" customHeight="1">
      <c r="A30" s="1" t="s">
        <v>44</v>
      </c>
      <c r="J30" s="126">
        <v>0</v>
      </c>
      <c r="M30" s="1">
        <v>0</v>
      </c>
      <c r="O30" s="1">
        <v>0</v>
      </c>
      <c r="R30" s="18">
        <v>0</v>
      </c>
      <c r="S30" s="1">
        <v>0</v>
      </c>
      <c r="T30" s="1">
        <v>10.446</v>
      </c>
      <c r="U30" s="1">
        <v>-439.04700000000003</v>
      </c>
      <c r="V30" s="1">
        <v>183.435</v>
      </c>
      <c r="W30" s="126">
        <v>196.357</v>
      </c>
      <c r="X30" s="126">
        <v>304.90499999999997</v>
      </c>
      <c r="Y30" s="126">
        <v>562.19100000000003</v>
      </c>
      <c r="Z30" s="126">
        <v>562.08100000000002</v>
      </c>
      <c r="AA30" s="126">
        <v>221.86699999999999</v>
      </c>
      <c r="AB30" s="126">
        <v>57.353999999999999</v>
      </c>
      <c r="AC30" s="126">
        <v>74</v>
      </c>
      <c r="AD30" s="1">
        <v>155.762</v>
      </c>
      <c r="AE30" s="1">
        <v>223.00800000000001</v>
      </c>
      <c r="AF30" s="1">
        <v>216.798</v>
      </c>
      <c r="AG30" s="1">
        <v>195.559</v>
      </c>
      <c r="AH30" s="1">
        <v>612.89499999999998</v>
      </c>
      <c r="AI30" s="1">
        <v>312.88900000000001</v>
      </c>
      <c r="AK30" s="1">
        <v>3573.3820000000001</v>
      </c>
      <c r="AL30" s="1">
        <v>3667.7959999999998</v>
      </c>
    </row>
    <row r="31" spans="1:38" ht="12.75" customHeight="1">
      <c r="A31" s="1" t="s">
        <v>45</v>
      </c>
      <c r="J31" s="126">
        <v>98.722999999999999</v>
      </c>
      <c r="M31" s="1">
        <v>141.512</v>
      </c>
      <c r="O31" s="1">
        <v>218.691</v>
      </c>
      <c r="R31" s="24">
        <v>319.11399999999998</v>
      </c>
      <c r="S31" s="1">
        <v>365.32</v>
      </c>
      <c r="T31" s="1">
        <v>542.596</v>
      </c>
      <c r="U31" s="1">
        <v>429.822</v>
      </c>
      <c r="V31" s="1">
        <v>342.50700000000001</v>
      </c>
      <c r="W31" s="126">
        <v>611.21199999999999</v>
      </c>
      <c r="X31" s="126">
        <v>2112.8220000000001</v>
      </c>
      <c r="Y31" s="126">
        <v>2403.42</v>
      </c>
      <c r="Z31" s="126">
        <v>1057.058</v>
      </c>
      <c r="AA31" s="126">
        <v>421.15300000000002</v>
      </c>
      <c r="AB31" s="126">
        <v>1080.857</v>
      </c>
      <c r="AC31" s="126">
        <v>472</v>
      </c>
      <c r="AD31" s="1">
        <v>939.10799999999995</v>
      </c>
      <c r="AE31" s="1">
        <v>779.51499999999999</v>
      </c>
      <c r="AF31" s="1">
        <v>1311.5619999999999</v>
      </c>
      <c r="AG31" s="1">
        <v>409.11399999999998</v>
      </c>
      <c r="AH31" s="1">
        <v>548.37800000000004</v>
      </c>
      <c r="AI31" s="1">
        <v>1486.174</v>
      </c>
      <c r="AK31" s="1">
        <v>1473.482</v>
      </c>
      <c r="AL31" s="1">
        <v>878.93499999999995</v>
      </c>
    </row>
    <row r="32" spans="1:38" ht="12.75" customHeight="1">
      <c r="A32" s="1" t="s">
        <v>46</v>
      </c>
      <c r="J32" s="126">
        <v>289.92599999999999</v>
      </c>
      <c r="M32" s="1">
        <v>103.33199999999999</v>
      </c>
      <c r="O32" s="1">
        <v>162</v>
      </c>
      <c r="R32" s="24">
        <v>236</v>
      </c>
      <c r="S32" s="1">
        <v>227</v>
      </c>
      <c r="T32" s="1">
        <v>124</v>
      </c>
      <c r="U32" s="1">
        <v>1867</v>
      </c>
      <c r="V32" s="1">
        <v>1961</v>
      </c>
      <c r="W32" s="126">
        <v>1849</v>
      </c>
      <c r="X32" s="126">
        <v>2173</v>
      </c>
      <c r="Y32" s="126">
        <v>3000</v>
      </c>
      <c r="Z32" s="126">
        <v>547</v>
      </c>
      <c r="AA32" s="126">
        <v>-8411</v>
      </c>
      <c r="AB32" s="126">
        <v>8673</v>
      </c>
      <c r="AC32" s="126">
        <v>9067</v>
      </c>
      <c r="AD32" s="1">
        <v>2380</v>
      </c>
      <c r="AE32" s="1">
        <v>7819</v>
      </c>
      <c r="AF32" s="1">
        <v>10959</v>
      </c>
      <c r="AG32" s="1">
        <v>1788</v>
      </c>
      <c r="AH32" s="1">
        <v>174</v>
      </c>
      <c r="AI32" s="1">
        <v>8351</v>
      </c>
      <c r="AK32" s="1">
        <v>9026</v>
      </c>
      <c r="AL32" s="1">
        <v>3528</v>
      </c>
    </row>
    <row r="33" spans="1:38" ht="12.75" customHeight="1">
      <c r="A33" s="1" t="s">
        <v>47</v>
      </c>
      <c r="J33" s="126">
        <v>5087.3940000000002</v>
      </c>
      <c r="M33" s="1">
        <v>5046.192</v>
      </c>
      <c r="O33" s="1">
        <v>5211.2947699999995</v>
      </c>
      <c r="R33" s="24">
        <v>5590.3639999999996</v>
      </c>
      <c r="S33" s="1">
        <v>6094.24</v>
      </c>
      <c r="T33" s="1">
        <v>8801.6290000000008</v>
      </c>
      <c r="U33" s="1">
        <v>6334.6120000000001</v>
      </c>
      <c r="V33" s="1">
        <v>18485.079000000002</v>
      </c>
      <c r="W33" s="126">
        <v>14115.513999999999</v>
      </c>
      <c r="X33" s="126">
        <v>18498.844000000001</v>
      </c>
      <c r="Y33" s="126">
        <v>36369.906999999999</v>
      </c>
      <c r="Z33" s="126">
        <v>7160.4160000000002</v>
      </c>
      <c r="AA33" s="126">
        <v>-31505.850999999999</v>
      </c>
      <c r="AB33" s="126">
        <v>26811.510999999999</v>
      </c>
      <c r="AC33" s="126">
        <v>44534</v>
      </c>
      <c r="AD33" s="1">
        <v>11733.186</v>
      </c>
      <c r="AE33" s="1">
        <v>32002.602999999999</v>
      </c>
      <c r="AF33" s="1">
        <v>41063.150999999998</v>
      </c>
      <c r="AG33" s="1">
        <v>13179.081</v>
      </c>
      <c r="AH33" s="1">
        <v>5773.6130000000003</v>
      </c>
      <c r="AI33" s="1">
        <v>13608.587</v>
      </c>
      <c r="AK33" s="1">
        <v>17395.614000000001</v>
      </c>
      <c r="AL33" s="1">
        <v>16150.432000000001</v>
      </c>
    </row>
    <row r="34" spans="1:38" ht="12.75" customHeight="1">
      <c r="A34" s="1" t="s">
        <v>48</v>
      </c>
      <c r="J34" s="126">
        <v>17.341999999999999</v>
      </c>
      <c r="M34" s="1">
        <v>6.806</v>
      </c>
      <c r="O34" s="1">
        <v>9.718</v>
      </c>
      <c r="R34" s="18">
        <v>98.942999999999998</v>
      </c>
      <c r="S34" s="1">
        <v>132.636</v>
      </c>
      <c r="T34" s="1">
        <v>7383.6610000000001</v>
      </c>
      <c r="U34" s="1">
        <v>9529.7180000000008</v>
      </c>
      <c r="V34" s="1">
        <v>12264.138000000001</v>
      </c>
      <c r="W34" s="126">
        <v>41572.103999999999</v>
      </c>
      <c r="X34" s="126">
        <v>43110.764000000003</v>
      </c>
      <c r="Y34" s="126">
        <v>53304.627999999997</v>
      </c>
      <c r="Z34" s="126">
        <v>18564.309000000001</v>
      </c>
      <c r="AA34" s="126">
        <v>3093.9609999999998</v>
      </c>
      <c r="AB34" s="126">
        <v>31646.31</v>
      </c>
      <c r="AC34" s="126">
        <v>37241</v>
      </c>
      <c r="AD34" s="1">
        <v>8645.9539999999997</v>
      </c>
      <c r="AE34" s="1">
        <v>23895.931</v>
      </c>
      <c r="AF34" s="1">
        <v>37133.373</v>
      </c>
      <c r="AG34" s="1">
        <v>2508.4270000000001</v>
      </c>
      <c r="AH34" s="1">
        <v>3310.47</v>
      </c>
      <c r="AI34" s="1">
        <v>4865.2439999999997</v>
      </c>
      <c r="AK34" s="1">
        <v>20602.442999999999</v>
      </c>
      <c r="AL34" s="1">
        <v>16749.830999999998</v>
      </c>
    </row>
    <row r="35" spans="1:38" ht="12.75" customHeight="1">
      <c r="A35" s="1" t="s">
        <v>49</v>
      </c>
      <c r="J35" s="126">
        <v>289.66800000000001</v>
      </c>
      <c r="M35" s="1">
        <v>561.89800000000002</v>
      </c>
      <c r="O35" s="1">
        <v>642.80600000000004</v>
      </c>
      <c r="R35" s="18">
        <v>752.85</v>
      </c>
      <c r="S35" s="1">
        <v>1100.0250000000001</v>
      </c>
      <c r="T35" s="1">
        <v>912.94600000000003</v>
      </c>
      <c r="U35" s="1">
        <v>2339.7840000000001</v>
      </c>
      <c r="V35" s="1">
        <v>3337.9450000000002</v>
      </c>
      <c r="W35" s="126">
        <v>3664.9609999999998</v>
      </c>
      <c r="X35" s="126">
        <v>4184.4319999999998</v>
      </c>
      <c r="Y35" s="126">
        <v>8230.7350000000006</v>
      </c>
      <c r="Z35" s="126">
        <v>4630.4030000000002</v>
      </c>
      <c r="AA35" s="126">
        <v>671.38800000000003</v>
      </c>
      <c r="AB35" s="126">
        <v>4361.4319999999998</v>
      </c>
      <c r="AC35" s="126">
        <v>5291</v>
      </c>
      <c r="AD35" s="1">
        <v>1586.6079999999999</v>
      </c>
      <c r="AE35" s="1">
        <v>2950.4050000000002</v>
      </c>
      <c r="AF35" s="1">
        <v>2927.0079999999998</v>
      </c>
      <c r="AG35" s="1">
        <v>1485.8420000000001</v>
      </c>
      <c r="AH35" s="1">
        <v>2234.9140000000002</v>
      </c>
      <c r="AI35" s="1">
        <v>2988.5160000000001</v>
      </c>
      <c r="AK35" s="1">
        <v>6531.0550000000003</v>
      </c>
      <c r="AL35" s="1">
        <v>3947.03</v>
      </c>
    </row>
    <row r="36" spans="1:38" ht="12.75" customHeight="1">
      <c r="A36" s="1" t="s">
        <v>50</v>
      </c>
      <c r="J36" s="126">
        <v>672.28300000000002</v>
      </c>
      <c r="M36" s="1">
        <v>180.279</v>
      </c>
      <c r="O36" s="1">
        <v>314.73599999999999</v>
      </c>
      <c r="R36" s="18">
        <v>217.00899999999999</v>
      </c>
      <c r="S36" s="1">
        <v>165.58199999999999</v>
      </c>
      <c r="T36" s="1">
        <v>310.72800000000001</v>
      </c>
      <c r="U36" s="1">
        <v>187.809</v>
      </c>
      <c r="V36" s="1">
        <v>3843.7710000000002</v>
      </c>
      <c r="W36" s="126">
        <v>5522.4049999999997</v>
      </c>
      <c r="X36" s="126">
        <v>10663.59</v>
      </c>
      <c r="Y36" s="126">
        <v>15318.757</v>
      </c>
      <c r="Z36" s="126">
        <v>13242.547</v>
      </c>
      <c r="AA36" s="126">
        <v>7214.7849999999999</v>
      </c>
      <c r="AB36" s="126">
        <v>4726.7169999999996</v>
      </c>
      <c r="AC36" s="126">
        <v>3926</v>
      </c>
      <c r="AD36" s="1">
        <v>2919.28</v>
      </c>
      <c r="AE36" s="1">
        <v>3643.6469999999999</v>
      </c>
      <c r="AF36" s="1">
        <v>1693.548</v>
      </c>
      <c r="AG36" s="1">
        <v>2325.3229999999999</v>
      </c>
      <c r="AH36" s="1">
        <v>5459.6170000000002</v>
      </c>
      <c r="AI36" s="1">
        <v>4399.2579999999998</v>
      </c>
      <c r="AK36" s="1">
        <v>17634.381000000001</v>
      </c>
      <c r="AL36" s="1">
        <v>17890.023000000001</v>
      </c>
    </row>
    <row r="37" spans="1:38" ht="12.75" customHeight="1">
      <c r="A37" s="27" t="s">
        <v>51</v>
      </c>
      <c r="B37" s="27"/>
      <c r="C37" s="27"/>
      <c r="D37" s="27"/>
      <c r="E37" s="27"/>
      <c r="F37" s="27"/>
      <c r="G37" s="27"/>
      <c r="H37" s="27"/>
      <c r="I37" s="27"/>
      <c r="J37" s="127">
        <v>101.389</v>
      </c>
      <c r="K37" s="27"/>
      <c r="L37" s="27"/>
      <c r="M37" s="27">
        <v>50.287999999999997</v>
      </c>
      <c r="N37" s="27"/>
      <c r="O37" s="27">
        <v>46.665999999999997</v>
      </c>
      <c r="P37" s="27"/>
      <c r="Q37" s="27"/>
      <c r="R37" s="37">
        <v>42.43</v>
      </c>
      <c r="S37" s="27">
        <v>57.148000000000003</v>
      </c>
      <c r="T37" s="27">
        <v>47.393000000000001</v>
      </c>
      <c r="U37" s="27">
        <v>996.39099999999996</v>
      </c>
      <c r="V37" s="27">
        <v>549.82500000000005</v>
      </c>
      <c r="W37" s="127">
        <v>1104.143</v>
      </c>
      <c r="X37" s="127">
        <v>2998.5219999999999</v>
      </c>
      <c r="Y37" s="127">
        <v>5828.6580000000004</v>
      </c>
      <c r="Z37" s="127">
        <v>2688.8090000000002</v>
      </c>
      <c r="AA37" s="127">
        <v>-542.00599999999997</v>
      </c>
      <c r="AB37" s="127">
        <v>4576.0219999999999</v>
      </c>
      <c r="AC37" s="127">
        <v>6772</v>
      </c>
      <c r="AD37" s="27">
        <v>1004.7140000000001</v>
      </c>
      <c r="AE37" s="27">
        <v>5150.4880000000003</v>
      </c>
      <c r="AF37" s="27">
        <v>9435.3310000000001</v>
      </c>
      <c r="AG37" s="27">
        <v>1731.088</v>
      </c>
      <c r="AH37" s="27">
        <v>1513.509</v>
      </c>
      <c r="AI37" s="27">
        <v>8433.2669999999998</v>
      </c>
      <c r="AJ37" s="27"/>
      <c r="AK37" s="27">
        <v>5409.6980000000003</v>
      </c>
      <c r="AL37" s="1">
        <v>1927.7080000000001</v>
      </c>
    </row>
    <row r="38" spans="1:38" ht="12.75" customHeight="1">
      <c r="A38" s="6" t="s">
        <v>52</v>
      </c>
      <c r="B38" s="51">
        <f>SUM(B40:B51)</f>
        <v>0</v>
      </c>
      <c r="C38" s="51">
        <f t="shared" ref="C38:AK38" si="16">SUM(C40:C51)</f>
        <v>0</v>
      </c>
      <c r="D38" s="51">
        <f t="shared" si="16"/>
        <v>0</v>
      </c>
      <c r="E38" s="51">
        <f t="shared" si="16"/>
        <v>0</v>
      </c>
      <c r="F38" s="51">
        <f t="shared" si="16"/>
        <v>0</v>
      </c>
      <c r="G38" s="51">
        <f t="shared" si="16"/>
        <v>0</v>
      </c>
      <c r="H38" s="51">
        <f t="shared" si="16"/>
        <v>0</v>
      </c>
      <c r="I38" s="51">
        <f t="shared" si="16"/>
        <v>0</v>
      </c>
      <c r="J38" s="51">
        <f t="shared" si="16"/>
        <v>4190.8120000000008</v>
      </c>
      <c r="K38" s="51">
        <f t="shared" si="16"/>
        <v>0</v>
      </c>
      <c r="L38" s="51">
        <f t="shared" si="16"/>
        <v>0</v>
      </c>
      <c r="M38" s="51">
        <f t="shared" si="16"/>
        <v>4851.5920000000006</v>
      </c>
      <c r="N38" s="51">
        <f t="shared" si="16"/>
        <v>0</v>
      </c>
      <c r="O38" s="51">
        <f t="shared" si="16"/>
        <v>5391.3401199999998</v>
      </c>
      <c r="P38" s="51">
        <f t="shared" si="16"/>
        <v>0</v>
      </c>
      <c r="Q38" s="51">
        <f t="shared" si="16"/>
        <v>0</v>
      </c>
      <c r="R38" s="51">
        <f t="shared" si="16"/>
        <v>6269.3839999999991</v>
      </c>
      <c r="S38" s="51">
        <f t="shared" si="16"/>
        <v>7704.5680000000002</v>
      </c>
      <c r="T38" s="51">
        <f t="shared" si="16"/>
        <v>59454.669999999991</v>
      </c>
      <c r="U38" s="51">
        <f t="shared" si="16"/>
        <v>75285.767000000007</v>
      </c>
      <c r="V38" s="51">
        <f t="shared" si="16"/>
        <v>49988.014999999999</v>
      </c>
      <c r="W38" s="51">
        <f t="shared" si="16"/>
        <v>86028.088000000003</v>
      </c>
      <c r="X38" s="51">
        <f t="shared" si="16"/>
        <v>136057.39099999997</v>
      </c>
      <c r="Y38" s="51">
        <f t="shared" si="16"/>
        <v>205807.32599999997</v>
      </c>
      <c r="Z38" s="51">
        <f t="shared" si="16"/>
        <v>182894.87199999997</v>
      </c>
      <c r="AA38" s="51">
        <f t="shared" si="16"/>
        <v>101997.79999999999</v>
      </c>
      <c r="AB38" s="51">
        <f t="shared" si="16"/>
        <v>81491.51400000001</v>
      </c>
      <c r="AC38" s="51">
        <f t="shared" si="16"/>
        <v>65459</v>
      </c>
      <c r="AD38" s="51">
        <f t="shared" si="16"/>
        <v>59604.008999999998</v>
      </c>
      <c r="AE38" s="51">
        <f t="shared" si="16"/>
        <v>21350.894</v>
      </c>
      <c r="AF38" s="51">
        <f t="shared" si="16"/>
        <v>68071.115999999995</v>
      </c>
      <c r="AG38" s="51">
        <f t="shared" si="16"/>
        <v>36593.132000000005</v>
      </c>
      <c r="AH38" s="51">
        <f t="shared" si="16"/>
        <v>63030.598000000005</v>
      </c>
      <c r="AI38" s="51">
        <f t="shared" si="16"/>
        <v>59069.448999999993</v>
      </c>
      <c r="AJ38" s="51">
        <f t="shared" si="16"/>
        <v>0</v>
      </c>
      <c r="AK38" s="51">
        <f t="shared" si="16"/>
        <v>231388.25200000001</v>
      </c>
      <c r="AL38" s="51">
        <f t="shared" ref="AL38" si="17">SUM(AL40:AL51)</f>
        <v>199115.50599999999</v>
      </c>
    </row>
    <row r="39" spans="1:38" ht="12.75" customHeight="1">
      <c r="A39" s="6" t="s">
        <v>94</v>
      </c>
    </row>
    <row r="40" spans="1:38" ht="12.75" customHeight="1">
      <c r="A40" s="1" t="s">
        <v>53</v>
      </c>
      <c r="J40" s="126">
        <v>384.76799999999997</v>
      </c>
      <c r="M40" s="1">
        <v>470.911</v>
      </c>
      <c r="O40" s="1">
        <v>583.50800000000004</v>
      </c>
      <c r="R40" s="18">
        <v>624.08699999999999</v>
      </c>
      <c r="S40" s="1">
        <v>795.75800000000004</v>
      </c>
      <c r="T40" s="1">
        <v>23969.655999999999</v>
      </c>
      <c r="U40" s="1">
        <v>22450.031999999999</v>
      </c>
      <c r="V40" s="1">
        <v>15188.962</v>
      </c>
      <c r="W40" s="126">
        <v>25558.06</v>
      </c>
      <c r="X40" s="126">
        <v>42344.743999999999</v>
      </c>
      <c r="Y40" s="126">
        <v>65471.248</v>
      </c>
      <c r="Z40" s="126">
        <v>61361.035000000003</v>
      </c>
      <c r="AA40" s="126">
        <v>37789.082999999999</v>
      </c>
      <c r="AB40" s="126">
        <v>25015.396000000001</v>
      </c>
      <c r="AC40" s="126">
        <v>16095</v>
      </c>
      <c r="AD40" s="1">
        <v>13810.82</v>
      </c>
      <c r="AE40" s="1">
        <v>7262.4440000000004</v>
      </c>
      <c r="AF40" s="1">
        <v>13536.316999999999</v>
      </c>
      <c r="AG40" s="1">
        <v>4288.6480000000001</v>
      </c>
      <c r="AH40" s="1">
        <v>13267.619000000001</v>
      </c>
      <c r="AI40" s="1">
        <v>13859.343000000001</v>
      </c>
      <c r="AK40" s="1">
        <v>52860.423999999999</v>
      </c>
      <c r="AL40" s="1">
        <v>46680.711000000003</v>
      </c>
    </row>
    <row r="41" spans="1:38" ht="12.75" customHeight="1">
      <c r="A41" s="1" t="s">
        <v>54</v>
      </c>
      <c r="J41" s="126">
        <v>1324.077</v>
      </c>
      <c r="M41" s="1">
        <v>1205.9839999999999</v>
      </c>
      <c r="O41" s="1">
        <v>1032.3309999999999</v>
      </c>
      <c r="R41" s="18">
        <v>916.03</v>
      </c>
      <c r="S41" s="1">
        <v>952.10699999999997</v>
      </c>
      <c r="T41" s="1">
        <v>4113.38</v>
      </c>
      <c r="U41" s="1">
        <v>3821.375</v>
      </c>
      <c r="V41" s="1">
        <v>43.881999999999998</v>
      </c>
      <c r="W41" s="126">
        <v>259.31200000000001</v>
      </c>
      <c r="X41" s="126">
        <v>1205.95</v>
      </c>
      <c r="Y41" s="126">
        <v>1993.1949999999999</v>
      </c>
      <c r="Z41" s="126">
        <v>121.181</v>
      </c>
      <c r="AA41" s="126">
        <v>22.917999999999999</v>
      </c>
      <c r="AB41" s="126">
        <v>-1E-3</v>
      </c>
      <c r="AC41" s="126">
        <v>6</v>
      </c>
      <c r="AD41" s="1">
        <v>3729.7759999999998</v>
      </c>
      <c r="AE41" s="1">
        <v>2501.8809999999999</v>
      </c>
      <c r="AF41" s="1">
        <v>3652.922</v>
      </c>
      <c r="AG41" s="1">
        <v>5564.5240000000003</v>
      </c>
      <c r="AH41" s="1">
        <v>5301.0159999999996</v>
      </c>
      <c r="AI41" s="1">
        <v>2909.7080000000001</v>
      </c>
      <c r="AK41" s="1">
        <v>28916.891</v>
      </c>
      <c r="AL41" s="1">
        <v>27737.262999999999</v>
      </c>
    </row>
    <row r="42" spans="1:38" ht="12.75" customHeight="1">
      <c r="A42" s="1" t="s">
        <v>55</v>
      </c>
      <c r="J42" s="126">
        <v>3.9980000000000002</v>
      </c>
      <c r="M42" s="1">
        <v>6.2320000000000002</v>
      </c>
      <c r="O42" s="1">
        <v>7.7249999999999996</v>
      </c>
      <c r="R42" s="18">
        <v>7.1660000000000004</v>
      </c>
      <c r="S42" s="1">
        <v>7.516</v>
      </c>
      <c r="T42" s="1">
        <v>14.696999999999999</v>
      </c>
      <c r="U42" s="1">
        <v>4675.0450000000001</v>
      </c>
      <c r="V42" s="1">
        <v>4160.9189999999999</v>
      </c>
      <c r="W42" s="126">
        <v>6422.4229999999998</v>
      </c>
      <c r="X42" s="126">
        <v>12184.638000000001</v>
      </c>
      <c r="Y42" s="126">
        <v>17935.580000000002</v>
      </c>
      <c r="Z42" s="126">
        <v>23358.912</v>
      </c>
      <c r="AA42" s="126">
        <v>8526.8310000000001</v>
      </c>
      <c r="AB42" s="126">
        <v>4434.0569999999998</v>
      </c>
      <c r="AC42" s="126">
        <v>3544</v>
      </c>
      <c r="AD42" s="1">
        <v>2137.2139999999999</v>
      </c>
      <c r="AE42" s="1">
        <v>1857.078</v>
      </c>
      <c r="AF42" s="1">
        <v>2011.0740000000001</v>
      </c>
      <c r="AG42" s="1">
        <v>2339.1019999999999</v>
      </c>
      <c r="AH42" s="1">
        <v>2143.498</v>
      </c>
      <c r="AI42" s="1">
        <v>3544.011</v>
      </c>
      <c r="AK42" s="1">
        <v>11480.112999999999</v>
      </c>
      <c r="AL42" s="1">
        <v>9473.9959999999992</v>
      </c>
    </row>
    <row r="43" spans="1:38" ht="12.75" customHeight="1">
      <c r="A43" s="1" t="s">
        <v>56</v>
      </c>
      <c r="J43" s="126">
        <v>73.966999999999999</v>
      </c>
      <c r="M43" s="1">
        <v>214.58699999999999</v>
      </c>
      <c r="O43" s="1">
        <v>355.65600000000001</v>
      </c>
      <c r="R43" s="18">
        <v>707.88800000000003</v>
      </c>
      <c r="S43" s="1">
        <v>578.10900000000004</v>
      </c>
      <c r="T43" s="1">
        <v>1917.9069999999999</v>
      </c>
      <c r="U43" s="1">
        <v>2662.538</v>
      </c>
      <c r="V43" s="1">
        <v>2983.0749999999998</v>
      </c>
      <c r="W43" s="126">
        <v>5634.0039999999999</v>
      </c>
      <c r="X43" s="126">
        <v>10534.630999999999</v>
      </c>
      <c r="Y43" s="126">
        <v>13425.675999999999</v>
      </c>
      <c r="Z43" s="126">
        <v>9747.848</v>
      </c>
      <c r="AA43" s="126">
        <v>3582.346</v>
      </c>
      <c r="AB43" s="126">
        <v>2024.3320000000001</v>
      </c>
      <c r="AC43" s="126">
        <v>1250</v>
      </c>
      <c r="AD43" s="1">
        <v>-341.71100000000001</v>
      </c>
      <c r="AE43" s="1">
        <v>-150.15100000000001</v>
      </c>
      <c r="AF43" s="1">
        <v>-533.08900000000006</v>
      </c>
      <c r="AG43" s="1">
        <v>-805.02599999999995</v>
      </c>
      <c r="AH43" s="1">
        <v>-840.572</v>
      </c>
      <c r="AI43" s="1">
        <v>710.02499999999998</v>
      </c>
      <c r="AK43" s="1">
        <v>6203.9679999999998</v>
      </c>
      <c r="AL43" s="1">
        <v>5075.2070000000003</v>
      </c>
    </row>
    <row r="44" spans="1:38" ht="12.75" customHeight="1">
      <c r="A44" s="1" t="s">
        <v>57</v>
      </c>
      <c r="J44" s="126">
        <v>1826.991</v>
      </c>
      <c r="M44" s="1">
        <v>1831.309</v>
      </c>
      <c r="O44" s="1">
        <v>1868.99802</v>
      </c>
      <c r="R44" s="18">
        <v>2248.672</v>
      </c>
      <c r="S44" s="1">
        <v>3480.7049999999999</v>
      </c>
      <c r="T44" s="1">
        <v>9944.3330000000005</v>
      </c>
      <c r="U44" s="1">
        <v>20412.07</v>
      </c>
      <c r="V44" s="1">
        <v>15327.155000000001</v>
      </c>
      <c r="W44" s="126">
        <v>21022.982</v>
      </c>
      <c r="X44" s="126">
        <v>31723.460999999999</v>
      </c>
      <c r="Y44" s="126">
        <v>51187.527000000002</v>
      </c>
      <c r="Z44" s="126">
        <v>38721.516000000003</v>
      </c>
      <c r="AA44" s="126">
        <v>21283.646000000001</v>
      </c>
      <c r="AB44" s="126">
        <v>25053.16</v>
      </c>
      <c r="AC44" s="126">
        <v>19592</v>
      </c>
      <c r="AD44" s="1">
        <v>20991.612000000001</v>
      </c>
      <c r="AE44" s="1">
        <v>-8520.3080000000009</v>
      </c>
      <c r="AF44" s="1">
        <v>19414.878000000001</v>
      </c>
      <c r="AG44" s="1">
        <v>20279.786</v>
      </c>
      <c r="AH44" s="1">
        <v>22211.727999999999</v>
      </c>
      <c r="AI44" s="1">
        <v>7189.1570000000002</v>
      </c>
      <c r="AK44" s="1">
        <v>54466.035000000003</v>
      </c>
      <c r="AL44" s="1">
        <v>53359.023999999998</v>
      </c>
    </row>
    <row r="45" spans="1:38" ht="12.75" customHeight="1">
      <c r="A45" s="1" t="s">
        <v>58</v>
      </c>
      <c r="J45" s="126">
        <v>81.936000000000007</v>
      </c>
      <c r="M45" s="1">
        <v>6.7000000000000004E-2</v>
      </c>
      <c r="O45" s="1">
        <v>0</v>
      </c>
      <c r="R45" s="18">
        <v>78.988</v>
      </c>
      <c r="S45" s="1">
        <v>100.27800000000001</v>
      </c>
      <c r="T45" s="1">
        <v>64.688999999999993</v>
      </c>
      <c r="U45" s="1">
        <v>727.43</v>
      </c>
      <c r="V45" s="1">
        <v>561.52300000000002</v>
      </c>
      <c r="W45" s="126">
        <v>639.851</v>
      </c>
      <c r="X45" s="126">
        <v>1278.0519999999999</v>
      </c>
      <c r="Y45" s="126">
        <v>2089.7919999999999</v>
      </c>
      <c r="Z45" s="126">
        <v>1701.798</v>
      </c>
      <c r="AA45" s="126">
        <v>1230.665</v>
      </c>
      <c r="AB45" s="126">
        <v>1241.444</v>
      </c>
      <c r="AC45" s="126">
        <v>2751</v>
      </c>
      <c r="AD45" s="1">
        <v>2804.6390000000001</v>
      </c>
      <c r="AE45" s="1">
        <v>2680.0010000000002</v>
      </c>
      <c r="AF45" s="1">
        <v>3004.127</v>
      </c>
      <c r="AG45" s="1">
        <v>2730.598</v>
      </c>
      <c r="AH45" s="1">
        <v>4058.1370000000002</v>
      </c>
      <c r="AI45" s="1">
        <v>5476.9669999999996</v>
      </c>
      <c r="AK45" s="1">
        <v>10028.391</v>
      </c>
      <c r="AL45" s="1">
        <v>8124.3509999999997</v>
      </c>
    </row>
    <row r="46" spans="1:38" ht="12.75" customHeight="1">
      <c r="A46" s="1" t="s">
        <v>59</v>
      </c>
      <c r="J46" s="126">
        <v>20.722000000000001</v>
      </c>
      <c r="M46" s="1">
        <v>184.95</v>
      </c>
      <c r="O46" s="1">
        <v>20.896000000000001</v>
      </c>
      <c r="R46" s="18">
        <v>94.405000000000001</v>
      </c>
      <c r="S46" s="1">
        <v>91.350999999999999</v>
      </c>
      <c r="T46" s="1">
        <v>169.93899999999999</v>
      </c>
      <c r="U46" s="1">
        <v>1373.3340000000001</v>
      </c>
      <c r="V46" s="1">
        <v>1450.701</v>
      </c>
      <c r="W46" s="126">
        <v>3283.1550000000002</v>
      </c>
      <c r="X46" s="126">
        <v>5397.9120000000003</v>
      </c>
      <c r="Y46" s="126">
        <v>7678.97</v>
      </c>
      <c r="Z46" s="126">
        <v>5931.3829999999998</v>
      </c>
      <c r="AA46" s="126">
        <v>3049.6950000000002</v>
      </c>
      <c r="AB46" s="126">
        <v>2036.502</v>
      </c>
      <c r="AC46" s="126">
        <v>1791</v>
      </c>
      <c r="AD46" s="1">
        <v>2152.85</v>
      </c>
      <c r="AE46" s="1">
        <v>2166.29</v>
      </c>
      <c r="AF46" s="1">
        <v>2959.357</v>
      </c>
      <c r="AG46" s="1">
        <v>1813.221</v>
      </c>
      <c r="AH46" s="1">
        <v>2157.8040000000001</v>
      </c>
      <c r="AI46" s="1">
        <v>3635.5940000000001</v>
      </c>
      <c r="AK46" s="1">
        <v>9216.6730000000007</v>
      </c>
      <c r="AL46" s="1">
        <v>7887.7759999999998</v>
      </c>
    </row>
    <row r="47" spans="1:38" ht="12.75" customHeight="1">
      <c r="A47" s="1" t="s">
        <v>60</v>
      </c>
      <c r="J47" s="126">
        <v>5.19</v>
      </c>
      <c r="M47" s="1">
        <v>7.45</v>
      </c>
      <c r="O47" s="1">
        <v>45.908000000000001</v>
      </c>
      <c r="R47" s="24">
        <v>59.206000000000003</v>
      </c>
      <c r="S47" s="1">
        <v>25.652000000000001</v>
      </c>
      <c r="T47" s="1">
        <v>8.3610000000000007</v>
      </c>
      <c r="U47" s="1">
        <v>1370.308</v>
      </c>
      <c r="V47" s="1">
        <v>1113.251</v>
      </c>
      <c r="W47" s="126">
        <v>1386.9970000000001</v>
      </c>
      <c r="X47" s="126">
        <v>2501.6610000000001</v>
      </c>
      <c r="Y47" s="126">
        <v>3610.623</v>
      </c>
      <c r="Z47" s="126">
        <v>3245.4270000000001</v>
      </c>
      <c r="AA47" s="126">
        <v>2261.087</v>
      </c>
      <c r="AB47" s="126">
        <v>1173.3240000000001</v>
      </c>
      <c r="AC47" s="126">
        <v>709</v>
      </c>
      <c r="AD47" s="1">
        <v>465.416</v>
      </c>
      <c r="AE47" s="1">
        <v>908.572</v>
      </c>
      <c r="AF47" s="1">
        <v>360.44900000000001</v>
      </c>
      <c r="AG47" s="1">
        <v>369.89800000000002</v>
      </c>
      <c r="AH47" s="1">
        <v>512.36199999999997</v>
      </c>
      <c r="AI47" s="1">
        <v>856.12300000000005</v>
      </c>
      <c r="AK47" s="1">
        <v>5446.2950000000001</v>
      </c>
      <c r="AL47" s="1">
        <v>3704.0010000000002</v>
      </c>
    </row>
    <row r="48" spans="1:38" ht="12.75" customHeight="1">
      <c r="A48" s="1" t="s">
        <v>61</v>
      </c>
      <c r="J48" s="126">
        <v>200.90600000000001</v>
      </c>
      <c r="M48" s="1">
        <v>259.27699999999999</v>
      </c>
      <c r="O48" s="1">
        <v>273.74197999999996</v>
      </c>
      <c r="R48" s="18">
        <v>369.58300000000003</v>
      </c>
      <c r="S48" s="1">
        <v>449.274</v>
      </c>
      <c r="T48" s="1">
        <v>532.68799999999999</v>
      </c>
      <c r="U48" s="1">
        <v>430.642</v>
      </c>
      <c r="V48" s="1">
        <v>401.84100000000001</v>
      </c>
      <c r="W48" s="126">
        <v>570.65700000000004</v>
      </c>
      <c r="X48" s="126">
        <v>944.28800000000001</v>
      </c>
      <c r="Y48" s="126">
        <v>942.99199999999996</v>
      </c>
      <c r="Z48" s="126">
        <v>722.322</v>
      </c>
      <c r="AA48" s="126">
        <v>1788.575</v>
      </c>
      <c r="AB48" s="126">
        <v>2007.375</v>
      </c>
      <c r="AC48" s="126">
        <v>795</v>
      </c>
      <c r="AD48" s="1">
        <v>-13.058999999999999</v>
      </c>
      <c r="AE48" s="1">
        <v>118.14400000000001</v>
      </c>
      <c r="AF48" s="1">
        <v>806.10599999999999</v>
      </c>
      <c r="AG48" s="1">
        <v>775.30100000000004</v>
      </c>
      <c r="AH48" s="1">
        <v>832.30499999999995</v>
      </c>
      <c r="AI48" s="1">
        <v>756.572</v>
      </c>
      <c r="AK48" s="1">
        <v>1353.175</v>
      </c>
      <c r="AL48" s="1">
        <v>1455.2280000000001</v>
      </c>
    </row>
    <row r="49" spans="1:38" ht="12.75" customHeight="1">
      <c r="A49" s="1" t="s">
        <v>62</v>
      </c>
      <c r="J49" s="126">
        <v>239.43600000000001</v>
      </c>
      <c r="M49" s="1">
        <v>657.654</v>
      </c>
      <c r="O49" s="1">
        <v>878.07</v>
      </c>
      <c r="R49" s="18">
        <v>1003.891</v>
      </c>
      <c r="S49" s="1">
        <v>960.04100000000005</v>
      </c>
      <c r="T49" s="1">
        <v>15207.32</v>
      </c>
      <c r="U49" s="1">
        <v>11978.397000000001</v>
      </c>
      <c r="V49" s="1">
        <v>5177.3599999999997</v>
      </c>
      <c r="W49" s="126">
        <v>13063.968999999999</v>
      </c>
      <c r="X49" s="126">
        <v>13595.137000000001</v>
      </c>
      <c r="Y49" s="126">
        <v>24590.648000000001</v>
      </c>
      <c r="Z49" s="126">
        <v>24932.581999999999</v>
      </c>
      <c r="AA49" s="126">
        <v>13822.143</v>
      </c>
      <c r="AB49" s="126">
        <v>15180.421</v>
      </c>
      <c r="AC49" s="126">
        <v>16400</v>
      </c>
      <c r="AD49" s="1">
        <v>11201.4</v>
      </c>
      <c r="AE49" s="1">
        <v>8159.0420000000004</v>
      </c>
      <c r="AF49" s="1">
        <v>18797.077000000001</v>
      </c>
      <c r="AG49" s="1">
        <v>7708.5950000000003</v>
      </c>
      <c r="AH49" s="1">
        <v>6088.0169999999998</v>
      </c>
      <c r="AI49" s="1">
        <v>13375.762000000001</v>
      </c>
      <c r="AK49" s="1">
        <v>29157.541000000001</v>
      </c>
      <c r="AL49" s="1">
        <v>22284.376</v>
      </c>
    </row>
    <row r="50" spans="1:38" ht="12.75" customHeight="1">
      <c r="A50" s="1" t="s">
        <v>63</v>
      </c>
      <c r="J50" s="126">
        <v>0</v>
      </c>
      <c r="M50" s="1">
        <v>5.47</v>
      </c>
      <c r="O50" s="1">
        <v>89.911119999999997</v>
      </c>
      <c r="R50" s="18">
        <v>130.96199999999999</v>
      </c>
      <c r="S50" s="1">
        <v>17.684000000000001</v>
      </c>
      <c r="T50" s="1">
        <v>0</v>
      </c>
      <c r="U50" s="1">
        <v>83.504000000000005</v>
      </c>
      <c r="V50" s="1">
        <v>37.286999999999999</v>
      </c>
      <c r="W50" s="126">
        <v>372.87</v>
      </c>
      <c r="X50" s="126">
        <v>392.56</v>
      </c>
      <c r="Y50" s="126">
        <v>407.62900000000002</v>
      </c>
      <c r="Z50" s="126">
        <v>377.78899999999999</v>
      </c>
      <c r="AA50" s="126">
        <v>2939.6280000000002</v>
      </c>
      <c r="AB50" s="126">
        <v>97.528999999999996</v>
      </c>
      <c r="AC50" s="126">
        <v>109</v>
      </c>
      <c r="AD50" s="1">
        <v>116.88500000000001</v>
      </c>
      <c r="AE50" s="1">
        <v>2244.3040000000001</v>
      </c>
      <c r="AF50" s="1">
        <v>3624.9630000000002</v>
      </c>
      <c r="AG50" s="1">
        <v>-8639.6919999999991</v>
      </c>
      <c r="AH50" s="1">
        <v>4887.0010000000002</v>
      </c>
      <c r="AI50" s="1">
        <v>3797.83</v>
      </c>
      <c r="AK50" s="1">
        <v>4702.027</v>
      </c>
      <c r="AL50" s="1">
        <v>-954.14499999999998</v>
      </c>
    </row>
    <row r="51" spans="1:38" ht="12.75" customHeight="1">
      <c r="A51" s="27" t="s">
        <v>64</v>
      </c>
      <c r="B51" s="27"/>
      <c r="C51" s="27"/>
      <c r="D51" s="27"/>
      <c r="E51" s="27"/>
      <c r="F51" s="27"/>
      <c r="G51" s="27"/>
      <c r="H51" s="27"/>
      <c r="I51" s="27"/>
      <c r="J51" s="127">
        <v>28.821000000000002</v>
      </c>
      <c r="K51" s="27"/>
      <c r="L51" s="27"/>
      <c r="M51" s="27">
        <v>7.7009999999999996</v>
      </c>
      <c r="N51" s="27"/>
      <c r="O51" s="27">
        <v>234.595</v>
      </c>
      <c r="P51" s="27"/>
      <c r="Q51" s="27"/>
      <c r="R51" s="37">
        <v>28.506</v>
      </c>
      <c r="S51" s="27">
        <v>246.09299999999999</v>
      </c>
      <c r="T51" s="27">
        <v>3511.7</v>
      </c>
      <c r="U51" s="27">
        <v>5301.0919999999996</v>
      </c>
      <c r="V51" s="27">
        <v>3542.0590000000002</v>
      </c>
      <c r="W51" s="127">
        <v>7813.808</v>
      </c>
      <c r="X51" s="127">
        <v>13954.357</v>
      </c>
      <c r="Y51" s="127">
        <v>16473.446</v>
      </c>
      <c r="Z51" s="127">
        <v>12673.079</v>
      </c>
      <c r="AA51" s="127">
        <v>5701.183</v>
      </c>
      <c r="AB51" s="127">
        <v>3227.9749999999999</v>
      </c>
      <c r="AC51" s="127">
        <v>2417</v>
      </c>
      <c r="AD51" s="27">
        <v>2548.1669999999999</v>
      </c>
      <c r="AE51" s="27">
        <v>2123.5970000000002</v>
      </c>
      <c r="AF51" s="27">
        <v>436.935</v>
      </c>
      <c r="AG51" s="27">
        <v>168.17699999999999</v>
      </c>
      <c r="AH51" s="27">
        <v>2411.683</v>
      </c>
      <c r="AI51" s="27">
        <v>2958.357</v>
      </c>
      <c r="AJ51" s="27"/>
      <c r="AK51" s="1">
        <v>17556.719000000001</v>
      </c>
      <c r="AL51" s="1">
        <v>14287.718000000001</v>
      </c>
    </row>
    <row r="52" spans="1:38" ht="12.75" customHeight="1">
      <c r="A52" s="6" t="s">
        <v>65</v>
      </c>
      <c r="B52" s="51">
        <f>SUM(B54:B62)</f>
        <v>0</v>
      </c>
      <c r="C52" s="51">
        <f t="shared" ref="C52:AK52" si="18">SUM(C54:C62)</f>
        <v>0</v>
      </c>
      <c r="D52" s="51">
        <f t="shared" si="18"/>
        <v>0</v>
      </c>
      <c r="E52" s="51">
        <f t="shared" si="18"/>
        <v>0</v>
      </c>
      <c r="F52" s="51">
        <f t="shared" si="18"/>
        <v>0</v>
      </c>
      <c r="G52" s="51">
        <f t="shared" si="18"/>
        <v>0</v>
      </c>
      <c r="H52" s="51">
        <f t="shared" si="18"/>
        <v>0</v>
      </c>
      <c r="I52" s="51">
        <f t="shared" si="18"/>
        <v>0</v>
      </c>
      <c r="J52" s="51">
        <f t="shared" si="18"/>
        <v>794.38200000000006</v>
      </c>
      <c r="K52" s="51">
        <f t="shared" si="18"/>
        <v>0</v>
      </c>
      <c r="L52" s="51">
        <f t="shared" si="18"/>
        <v>0</v>
      </c>
      <c r="M52" s="51">
        <f t="shared" si="18"/>
        <v>1147.8609999999999</v>
      </c>
      <c r="N52" s="51">
        <f t="shared" si="18"/>
        <v>0</v>
      </c>
      <c r="O52" s="51">
        <f t="shared" si="18"/>
        <v>1162.258</v>
      </c>
      <c r="P52" s="51">
        <f t="shared" si="18"/>
        <v>0</v>
      </c>
      <c r="Q52" s="51">
        <f t="shared" si="18"/>
        <v>0</v>
      </c>
      <c r="R52" s="51">
        <f t="shared" si="18"/>
        <v>898.70999999999992</v>
      </c>
      <c r="S52" s="51">
        <f t="shared" si="18"/>
        <v>871.28800000000001</v>
      </c>
      <c r="T52" s="51">
        <f t="shared" si="18"/>
        <v>15080.039000000001</v>
      </c>
      <c r="U52" s="51">
        <f t="shared" si="18"/>
        <v>14566.92</v>
      </c>
      <c r="V52" s="51">
        <f t="shared" si="18"/>
        <v>15957.360000000002</v>
      </c>
      <c r="W52" s="51">
        <f t="shared" si="18"/>
        <v>23684.194</v>
      </c>
      <c r="X52" s="51">
        <f t="shared" si="18"/>
        <v>48025.991999999998</v>
      </c>
      <c r="Y52" s="51">
        <f t="shared" si="18"/>
        <v>67027.221000000005</v>
      </c>
      <c r="Z52" s="51">
        <f t="shared" si="18"/>
        <v>49240.358</v>
      </c>
      <c r="AA52" s="51">
        <f t="shared" si="18"/>
        <v>23298.763999999999</v>
      </c>
      <c r="AB52" s="51">
        <f t="shared" si="18"/>
        <v>27621.791000000001</v>
      </c>
      <c r="AC52" s="51">
        <f t="shared" si="18"/>
        <v>27873</v>
      </c>
      <c r="AD52" s="51">
        <f t="shared" si="18"/>
        <v>9399.219000000001</v>
      </c>
      <c r="AE52" s="51">
        <f t="shared" si="18"/>
        <v>12773.882</v>
      </c>
      <c r="AF52" s="51">
        <f t="shared" si="18"/>
        <v>22525.254000000001</v>
      </c>
      <c r="AG52" s="51">
        <f t="shared" si="18"/>
        <v>5935.6260000000002</v>
      </c>
      <c r="AH52" s="51">
        <f t="shared" si="18"/>
        <v>6225.6380000000008</v>
      </c>
      <c r="AI52" s="51">
        <f t="shared" si="18"/>
        <v>4010.9689999999982</v>
      </c>
      <c r="AJ52" s="51">
        <f t="shared" si="18"/>
        <v>0</v>
      </c>
      <c r="AK52" s="131">
        <f t="shared" si="18"/>
        <v>38880.839999999997</v>
      </c>
      <c r="AL52" s="131">
        <f t="shared" ref="AL52" si="19">SUM(AL54:AL62)</f>
        <v>30430.636999999999</v>
      </c>
    </row>
    <row r="53" spans="1:38" ht="12.75" customHeight="1">
      <c r="A53" s="6" t="s">
        <v>94</v>
      </c>
    </row>
    <row r="54" spans="1:38" ht="12.75" customHeight="1">
      <c r="A54" s="1" t="s">
        <v>66</v>
      </c>
      <c r="J54" s="126">
        <v>0</v>
      </c>
      <c r="M54" s="1">
        <v>0</v>
      </c>
      <c r="O54" s="1">
        <v>0</v>
      </c>
      <c r="R54" s="18">
        <v>0</v>
      </c>
      <c r="S54" s="1">
        <v>0</v>
      </c>
      <c r="T54" s="1">
        <v>830.93299999999999</v>
      </c>
      <c r="U54" s="1">
        <v>514.21699999999998</v>
      </c>
      <c r="V54" s="1">
        <v>434.404</v>
      </c>
      <c r="W54" s="126">
        <v>1003.921</v>
      </c>
      <c r="X54" s="126">
        <v>2141.971</v>
      </c>
      <c r="Y54" s="126">
        <v>3464.8220000000001</v>
      </c>
      <c r="Z54" s="126">
        <v>2812.473</v>
      </c>
      <c r="AA54" s="126">
        <v>1072.296</v>
      </c>
      <c r="AB54" s="126">
        <v>230.57300000000001</v>
      </c>
      <c r="AC54" s="126">
        <v>197</v>
      </c>
      <c r="AD54" s="1">
        <v>127.639</v>
      </c>
      <c r="AE54" s="1">
        <v>119.289</v>
      </c>
      <c r="AF54" s="1">
        <v>103.06</v>
      </c>
      <c r="AG54" s="1">
        <v>100.616</v>
      </c>
      <c r="AH54" s="1">
        <v>229.98699999999999</v>
      </c>
      <c r="AI54" s="1">
        <v>511.76499999999999</v>
      </c>
      <c r="AK54" s="1">
        <v>1632.5409999999999</v>
      </c>
      <c r="AL54" s="1">
        <v>1022.751</v>
      </c>
    </row>
    <row r="55" spans="1:38" ht="12.75" customHeight="1">
      <c r="A55" s="1" t="s">
        <v>67</v>
      </c>
      <c r="J55" s="126">
        <v>52.451999999999998</v>
      </c>
      <c r="M55" s="1">
        <v>42.642000000000003</v>
      </c>
      <c r="O55" s="1">
        <v>50.381</v>
      </c>
      <c r="R55" s="18">
        <v>102.143</v>
      </c>
      <c r="S55" s="1">
        <v>125.048</v>
      </c>
      <c r="T55" s="1">
        <v>-596.95299999999997</v>
      </c>
      <c r="U55" s="1">
        <v>-148.14699999999999</v>
      </c>
      <c r="V55" s="1">
        <v>131.66200000000001</v>
      </c>
      <c r="W55" s="126">
        <v>-6.16</v>
      </c>
      <c r="X55" s="126">
        <v>118.80800000000001</v>
      </c>
      <c r="Y55" s="126">
        <v>505.815</v>
      </c>
      <c r="Z55" s="126">
        <v>-564.25300000000004</v>
      </c>
      <c r="AA55" s="126">
        <v>-499.79399999999998</v>
      </c>
      <c r="AB55" s="126">
        <v>357.69400000000002</v>
      </c>
      <c r="AC55" s="126">
        <v>594</v>
      </c>
      <c r="AD55" s="1">
        <v>183.53299999999999</v>
      </c>
      <c r="AE55" s="1">
        <v>614.69899999999996</v>
      </c>
      <c r="AF55" s="1">
        <v>788.60500000000002</v>
      </c>
      <c r="AG55" s="1">
        <v>22.635000000000002</v>
      </c>
      <c r="AH55" s="1">
        <v>-66.22</v>
      </c>
      <c r="AI55" s="1">
        <v>622.553</v>
      </c>
      <c r="AK55" s="1">
        <v>214.875</v>
      </c>
      <c r="AL55" s="1">
        <v>256.85300000000001</v>
      </c>
    </row>
    <row r="56" spans="1:38" ht="12.75" customHeight="1">
      <c r="A56" s="1" t="s">
        <v>68</v>
      </c>
      <c r="J56" s="126">
        <v>81.551000000000002</v>
      </c>
      <c r="M56" s="1">
        <v>439.036</v>
      </c>
      <c r="O56" s="1">
        <v>326.05200000000002</v>
      </c>
      <c r="R56" s="18">
        <v>2.165</v>
      </c>
      <c r="S56" s="1">
        <v>46.850999999999999</v>
      </c>
      <c r="T56" s="1">
        <v>972.07299999999998</v>
      </c>
      <c r="U56" s="1">
        <v>1436.788</v>
      </c>
      <c r="V56" s="1">
        <v>1916.9690000000001</v>
      </c>
      <c r="W56" s="126">
        <v>3574.8240000000001</v>
      </c>
      <c r="X56" s="126">
        <v>4565.4840000000004</v>
      </c>
      <c r="Y56" s="126">
        <v>7653.44</v>
      </c>
      <c r="Z56" s="126">
        <v>3065.5509999999999</v>
      </c>
      <c r="AA56" s="126">
        <v>-1889.8579999999999</v>
      </c>
      <c r="AB56" s="126">
        <v>3502.105</v>
      </c>
      <c r="AC56" s="126">
        <v>5446</v>
      </c>
      <c r="AD56" s="1">
        <v>1358.81</v>
      </c>
      <c r="AE56" s="1">
        <v>4975.3639999999996</v>
      </c>
      <c r="AF56" s="1">
        <v>8332.9609999999993</v>
      </c>
      <c r="AG56" s="1">
        <v>1814.248</v>
      </c>
      <c r="AH56" s="1">
        <v>448.11399999999998</v>
      </c>
      <c r="AI56" s="1">
        <v>8280.5139999999992</v>
      </c>
      <c r="AK56" s="1">
        <v>7139.0029999999997</v>
      </c>
      <c r="AL56" s="1">
        <v>5271.7129999999997</v>
      </c>
    </row>
    <row r="57" spans="1:38" ht="12.75" customHeight="1">
      <c r="A57" s="1" t="s">
        <v>69</v>
      </c>
      <c r="J57" s="126">
        <v>0</v>
      </c>
      <c r="M57" s="1">
        <v>0</v>
      </c>
      <c r="O57" s="1">
        <v>0</v>
      </c>
      <c r="R57" s="24">
        <v>0</v>
      </c>
      <c r="S57" s="1">
        <v>0</v>
      </c>
      <c r="T57" s="1">
        <v>0</v>
      </c>
      <c r="U57" s="1">
        <v>0</v>
      </c>
      <c r="V57" s="1">
        <v>0</v>
      </c>
      <c r="W57" s="126">
        <v>0</v>
      </c>
      <c r="X57" s="126">
        <v>0</v>
      </c>
      <c r="Y57" s="126">
        <v>0</v>
      </c>
      <c r="Z57" s="126">
        <v>0</v>
      </c>
      <c r="AA57" s="126">
        <v>0</v>
      </c>
      <c r="AB57" s="126">
        <v>0</v>
      </c>
      <c r="AC57" s="126">
        <v>0</v>
      </c>
      <c r="AD57" s="1">
        <v>0</v>
      </c>
      <c r="AE57" s="1">
        <v>0</v>
      </c>
      <c r="AF57" s="1">
        <v>0</v>
      </c>
      <c r="AG57" s="1">
        <v>0</v>
      </c>
      <c r="AH57" s="1">
        <v>0</v>
      </c>
      <c r="AI57" s="1">
        <v>2000.66</v>
      </c>
      <c r="AK57" s="1">
        <v>1428.982</v>
      </c>
      <c r="AL57" s="1">
        <v>1284.451</v>
      </c>
    </row>
    <row r="58" spans="1:38" ht="12.75" customHeight="1">
      <c r="A58" s="1" t="s">
        <v>70</v>
      </c>
      <c r="J58" s="126">
        <v>138.465</v>
      </c>
      <c r="M58" s="1">
        <v>174.292</v>
      </c>
      <c r="O58" s="1">
        <v>91.519000000000005</v>
      </c>
      <c r="R58" s="24">
        <v>383.03</v>
      </c>
      <c r="S58" s="1">
        <v>301.69499999999999</v>
      </c>
      <c r="T58" s="1">
        <v>5663.2539999999999</v>
      </c>
      <c r="U58" s="1">
        <v>3218.3229999999999</v>
      </c>
      <c r="V58" s="1">
        <v>2000.604</v>
      </c>
      <c r="W58" s="126">
        <v>4304.7579999999998</v>
      </c>
      <c r="X58" s="126">
        <v>8533.2440000000006</v>
      </c>
      <c r="Y58" s="126">
        <v>11883.909</v>
      </c>
      <c r="Z58" s="126">
        <v>8577.4850000000006</v>
      </c>
      <c r="AA58" s="126">
        <v>4594.8710000000001</v>
      </c>
      <c r="AB58" s="126">
        <v>3173.4989999999998</v>
      </c>
      <c r="AC58" s="126">
        <v>2369</v>
      </c>
      <c r="AD58" s="1">
        <v>1140.663</v>
      </c>
      <c r="AE58" s="1">
        <v>1802.865</v>
      </c>
      <c r="AF58" s="1">
        <v>2355.5650000000001</v>
      </c>
      <c r="AG58" s="1">
        <v>1276.777</v>
      </c>
      <c r="AH58" s="1">
        <v>1208.742</v>
      </c>
      <c r="AI58" s="1">
        <v>3508.931</v>
      </c>
      <c r="AK58" s="1">
        <v>6839.0879999999997</v>
      </c>
      <c r="AL58" s="1">
        <v>5481.241</v>
      </c>
    </row>
    <row r="59" spans="1:38" ht="12.75" customHeight="1">
      <c r="A59" s="1" t="s">
        <v>71</v>
      </c>
      <c r="J59" s="126">
        <v>380.02300000000002</v>
      </c>
      <c r="M59" s="1">
        <v>432.33800000000002</v>
      </c>
      <c r="O59" s="1">
        <v>611.77800000000002</v>
      </c>
      <c r="R59" s="24">
        <v>302.05399999999997</v>
      </c>
      <c r="S59" s="1">
        <v>7.81</v>
      </c>
      <c r="T59" s="1">
        <v>5707.8909999999996</v>
      </c>
      <c r="U59" s="1">
        <v>8365.875</v>
      </c>
      <c r="V59" s="1">
        <v>10247.727000000001</v>
      </c>
      <c r="W59" s="126">
        <v>11200.316999999999</v>
      </c>
      <c r="X59" s="126">
        <v>20880.816999999999</v>
      </c>
      <c r="Y59" s="126">
        <v>28198.488000000001</v>
      </c>
      <c r="Z59" s="126">
        <v>20991.465</v>
      </c>
      <c r="AA59" s="126">
        <v>13256.746999999999</v>
      </c>
      <c r="AB59" s="126">
        <v>14567.909</v>
      </c>
      <c r="AC59" s="126">
        <v>14021</v>
      </c>
      <c r="AD59" s="1">
        <v>3062.26</v>
      </c>
      <c r="AE59" s="1">
        <v>1675.9190000000001</v>
      </c>
      <c r="AF59" s="1">
        <v>6087.0659999999998</v>
      </c>
      <c r="AG59" s="1">
        <v>-33.372</v>
      </c>
      <c r="AH59" s="1">
        <v>143.833</v>
      </c>
      <c r="AI59" s="1">
        <v>-16937.164000000001</v>
      </c>
      <c r="AK59" s="1">
        <v>5879.6409999999996</v>
      </c>
      <c r="AL59" s="1">
        <v>4175.8010000000004</v>
      </c>
    </row>
    <row r="60" spans="1:38" ht="12.75" customHeight="1">
      <c r="A60" s="1" t="s">
        <v>72</v>
      </c>
      <c r="J60" s="126">
        <v>19.600000000000001</v>
      </c>
      <c r="M60" s="1">
        <v>55.637</v>
      </c>
      <c r="O60" s="1">
        <v>76.227999999999994</v>
      </c>
      <c r="R60" s="18">
        <v>96.418000000000006</v>
      </c>
      <c r="S60" s="1">
        <v>374.78699999999998</v>
      </c>
      <c r="T60" s="1">
        <v>2264.5210000000002</v>
      </c>
      <c r="U60" s="1">
        <v>951.25800000000004</v>
      </c>
      <c r="V60" s="1">
        <v>1045.3340000000001</v>
      </c>
      <c r="W60" s="126">
        <v>3321.1120000000001</v>
      </c>
      <c r="X60" s="126">
        <v>11226.925999999999</v>
      </c>
      <c r="Y60" s="126">
        <v>14575.171</v>
      </c>
      <c r="Z60" s="126">
        <v>13836.223</v>
      </c>
      <c r="AA60" s="126">
        <v>6182.27</v>
      </c>
      <c r="AB60" s="126">
        <v>5615.183</v>
      </c>
      <c r="AC60" s="126">
        <v>4575</v>
      </c>
      <c r="AD60" s="1">
        <v>3207.857</v>
      </c>
      <c r="AE60" s="1">
        <v>2332.0439999999999</v>
      </c>
      <c r="AF60" s="1">
        <v>3567.038</v>
      </c>
      <c r="AG60" s="1">
        <v>2488.5709999999999</v>
      </c>
      <c r="AH60" s="1">
        <v>4084.8150000000001</v>
      </c>
      <c r="AI60" s="1">
        <v>5652.75</v>
      </c>
      <c r="AK60" s="1">
        <v>15405.662</v>
      </c>
      <c r="AL60" s="1">
        <v>12660.748</v>
      </c>
    </row>
    <row r="61" spans="1:38" ht="12.75" customHeight="1">
      <c r="A61" s="1" t="s">
        <v>73</v>
      </c>
      <c r="J61" s="126">
        <v>0</v>
      </c>
      <c r="M61" s="1">
        <v>0</v>
      </c>
      <c r="O61" s="1">
        <v>0</v>
      </c>
      <c r="R61" s="18">
        <v>0</v>
      </c>
      <c r="S61" s="1">
        <v>0</v>
      </c>
      <c r="T61" s="1">
        <v>135.989</v>
      </c>
      <c r="U61" s="1">
        <v>127.929</v>
      </c>
      <c r="V61" s="1">
        <v>81.823999999999998</v>
      </c>
      <c r="W61" s="126">
        <v>135.69399999999999</v>
      </c>
      <c r="X61" s="126">
        <v>317.971</v>
      </c>
      <c r="Y61" s="126">
        <v>495.077</v>
      </c>
      <c r="Z61" s="126">
        <v>349.06400000000002</v>
      </c>
      <c r="AA61" s="126">
        <v>149.15600000000001</v>
      </c>
      <c r="AB61" s="126">
        <v>57.859000000000002</v>
      </c>
      <c r="AC61" s="126">
        <v>113</v>
      </c>
      <c r="AD61" s="1">
        <v>97.114999999999995</v>
      </c>
      <c r="AE61" s="1">
        <v>120.515</v>
      </c>
      <c r="AF61" s="1">
        <v>103.584</v>
      </c>
      <c r="AG61" s="1">
        <v>110.798</v>
      </c>
      <c r="AH61" s="1">
        <v>106.629</v>
      </c>
      <c r="AI61" s="1">
        <v>108.392</v>
      </c>
      <c r="AK61" s="1">
        <v>193.86099999999999</v>
      </c>
      <c r="AL61" s="1">
        <v>194.63399999999999</v>
      </c>
    </row>
    <row r="62" spans="1:38" ht="12.75" customHeight="1">
      <c r="A62" s="27" t="s">
        <v>74</v>
      </c>
      <c r="B62" s="27"/>
      <c r="C62" s="27"/>
      <c r="D62" s="27"/>
      <c r="E62" s="27"/>
      <c r="F62" s="27"/>
      <c r="G62" s="27"/>
      <c r="H62" s="27"/>
      <c r="I62" s="27"/>
      <c r="J62" s="127">
        <v>122.291</v>
      </c>
      <c r="K62" s="27"/>
      <c r="L62" s="27"/>
      <c r="M62" s="27">
        <v>3.9159999999999999</v>
      </c>
      <c r="N62" s="27"/>
      <c r="O62" s="27">
        <v>6.3</v>
      </c>
      <c r="P62" s="27"/>
      <c r="Q62" s="27"/>
      <c r="R62" s="37">
        <v>12.9</v>
      </c>
      <c r="S62" s="27">
        <v>15.097</v>
      </c>
      <c r="T62" s="27">
        <v>102.331</v>
      </c>
      <c r="U62" s="27">
        <v>100.67700000000001</v>
      </c>
      <c r="V62" s="27">
        <v>98.835999999999999</v>
      </c>
      <c r="W62" s="127">
        <v>149.72800000000001</v>
      </c>
      <c r="X62" s="127">
        <v>240.77099999999999</v>
      </c>
      <c r="Y62" s="127">
        <v>250.499</v>
      </c>
      <c r="Z62" s="127">
        <v>172.35</v>
      </c>
      <c r="AA62" s="127">
        <v>433.07600000000002</v>
      </c>
      <c r="AB62" s="127">
        <v>116.96899999999999</v>
      </c>
      <c r="AC62" s="127">
        <v>558</v>
      </c>
      <c r="AD62" s="1">
        <v>221.34200000000001</v>
      </c>
      <c r="AE62" s="1">
        <v>1133.1869999999999</v>
      </c>
      <c r="AF62" s="27">
        <v>1187.375</v>
      </c>
      <c r="AG62" s="27">
        <v>155.35300000000001</v>
      </c>
      <c r="AH62" s="27">
        <v>69.738</v>
      </c>
      <c r="AI62" s="27">
        <v>262.56799999999998</v>
      </c>
      <c r="AJ62" s="27"/>
      <c r="AK62" s="27">
        <v>147.18700000000001</v>
      </c>
      <c r="AL62" s="1">
        <v>82.444999999999993</v>
      </c>
    </row>
    <row r="63" spans="1:38">
      <c r="A63" s="49" t="s">
        <v>75</v>
      </c>
      <c r="B63" s="46"/>
      <c r="C63" s="46"/>
      <c r="D63" s="46"/>
      <c r="E63" s="46"/>
      <c r="F63" s="46"/>
      <c r="G63" s="46"/>
      <c r="H63" s="46"/>
      <c r="I63" s="46"/>
      <c r="J63" s="128">
        <v>0</v>
      </c>
      <c r="K63" s="46"/>
      <c r="L63" s="46"/>
      <c r="M63" s="46">
        <v>0</v>
      </c>
      <c r="N63" s="46"/>
      <c r="O63" s="46">
        <v>0</v>
      </c>
      <c r="P63" s="46"/>
      <c r="Q63" s="46"/>
      <c r="R63" s="47">
        <v>0</v>
      </c>
      <c r="S63" s="46">
        <v>0</v>
      </c>
      <c r="T63" s="46">
        <v>0</v>
      </c>
      <c r="U63" s="46">
        <v>0</v>
      </c>
      <c r="V63" s="46">
        <v>0</v>
      </c>
      <c r="W63" s="128">
        <v>0</v>
      </c>
      <c r="X63" s="128">
        <v>0</v>
      </c>
      <c r="Y63" s="128">
        <v>0</v>
      </c>
      <c r="Z63" s="128">
        <v>0</v>
      </c>
      <c r="AA63" s="128">
        <v>0</v>
      </c>
      <c r="AB63" s="128">
        <v>0</v>
      </c>
      <c r="AC63" s="128">
        <v>0</v>
      </c>
      <c r="AD63" s="128">
        <v>0</v>
      </c>
      <c r="AE63" s="128">
        <v>0</v>
      </c>
      <c r="AF63" s="27">
        <v>0</v>
      </c>
      <c r="AG63" s="27">
        <v>0</v>
      </c>
      <c r="AH63" s="27"/>
      <c r="AI63" s="27"/>
      <c r="AJ63" s="27"/>
      <c r="AK63" s="27"/>
      <c r="AL63" s="130"/>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9" ht="9.9499999999999993" customHeight="1"/>
    <row r="82" spans="2:209" ht="9.9499999999999993" customHeight="1">
      <c r="GS82" s="4"/>
      <c r="GT82" s="4"/>
      <c r="GU82" s="4"/>
      <c r="GV82" s="4"/>
      <c r="GW82" s="4"/>
      <c r="GX82" s="4"/>
      <c r="GY82" s="4"/>
      <c r="GZ82" s="4"/>
      <c r="HA82" s="4"/>
    </row>
    <row r="83" spans="2:209">
      <c r="GQ83" s="4"/>
      <c r="GR83" s="4"/>
      <c r="GS83" s="4"/>
      <c r="GT83" s="4"/>
      <c r="GU83" s="4"/>
      <c r="GV83" s="4"/>
      <c r="GW83" s="4"/>
      <c r="GX83" s="4"/>
      <c r="GY83" s="4"/>
      <c r="GZ83" s="4"/>
      <c r="HA83" s="4"/>
    </row>
    <row r="84" spans="2:209">
      <c r="GQ84" s="4"/>
      <c r="GR84" s="4"/>
      <c r="GS84" s="4"/>
      <c r="GT84" s="4"/>
      <c r="GU84" s="4"/>
      <c r="GV84" s="4"/>
      <c r="GW84" s="4"/>
      <c r="GX84" s="4"/>
      <c r="GY84" s="4"/>
      <c r="GZ84" s="4"/>
      <c r="HA84" s="4"/>
    </row>
    <row r="85" spans="2:209">
      <c r="GS85" s="4"/>
      <c r="GT85" s="4"/>
      <c r="GU85" s="4"/>
      <c r="GV85" s="4"/>
      <c r="GW85" s="4"/>
      <c r="GX85" s="4"/>
      <c r="GY85" s="4"/>
    </row>
    <row r="86" spans="2:209">
      <c r="GS86" s="4"/>
      <c r="GT86" s="4"/>
      <c r="GU86" s="4"/>
      <c r="GV86" s="4"/>
      <c r="GW86" s="4"/>
      <c r="GX86" s="4"/>
      <c r="GY86" s="4"/>
    </row>
    <row r="87" spans="2:209">
      <c r="GS87" s="4"/>
      <c r="GT87" s="4"/>
      <c r="GU87" s="4"/>
      <c r="GV87" s="4"/>
      <c r="GW87" s="4"/>
      <c r="GX87" s="4"/>
      <c r="GY87" s="4"/>
    </row>
    <row r="92" spans="2:209">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8"/>
  </sheetPr>
  <dimension ref="A1:HA92"/>
  <sheetViews>
    <sheetView zoomScaleNormal="100" workbookViewId="0">
      <pane xSplit="1" ySplit="3" topLeftCell="AI5" activePane="bottomRight" state="frozen"/>
      <selection pane="bottomRight" activeCell="AM34" sqref="AM34"/>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1.7109375" style="1" bestFit="1" customWidth="1"/>
    <col min="33" max="38" width="11.7109375" style="1" customWidth="1"/>
    <col min="39" max="173" width="9.7109375" style="1"/>
    <col min="174" max="174" width="11.7109375" style="1" customWidth="1"/>
    <col min="175" max="198" width="9.7109375" style="1"/>
    <col min="199" max="199" width="5.7109375" style="1" customWidth="1"/>
    <col min="200" max="200" width="6.7109375" style="1" customWidth="1"/>
    <col min="201" max="202" width="8.7109375" style="1" customWidth="1"/>
    <col min="203" max="204" width="6.7109375" style="1" customWidth="1"/>
    <col min="205" max="206" width="8.7109375" style="1" customWidth="1"/>
    <col min="207" max="208" width="6.7109375" style="1" customWidth="1"/>
    <col min="209" max="209" width="1.7109375" style="1" customWidth="1"/>
    <col min="210" max="16384" width="9.7109375" style="1"/>
  </cols>
  <sheetData>
    <row r="1" spans="1:38">
      <c r="A1" s="36" t="s">
        <v>92</v>
      </c>
      <c r="B1" s="11"/>
      <c r="C1" s="11"/>
      <c r="D1" s="11"/>
      <c r="E1" s="11"/>
      <c r="F1" s="11"/>
      <c r="G1" s="11"/>
      <c r="H1" s="11"/>
      <c r="I1" s="11"/>
      <c r="J1" s="11"/>
      <c r="K1" s="11"/>
      <c r="L1" s="11"/>
    </row>
    <row r="2" spans="1:38">
      <c r="A2" s="1" t="s">
        <v>157</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1">
        <f>74737+45998+296533+2555</f>
        <v>419823</v>
      </c>
      <c r="C4" s="1">
        <f>70426+47115+315687+11355</f>
        <v>444583</v>
      </c>
      <c r="D4" s="1">
        <f>62490+57414+320772+15210</f>
        <v>455886</v>
      </c>
      <c r="I4" s="1">
        <f>104505.919+79485.164+516955.556+23667.075+92536</f>
        <v>817149.71399999992</v>
      </c>
      <c r="J4" s="52">
        <f>+J5+J23+J38+J52+J63</f>
        <v>728148.99499999988</v>
      </c>
      <c r="K4" s="39">
        <f>105249.874+126372.827+518035.901+29338.468</f>
        <v>778997.07</v>
      </c>
      <c r="L4" s="39">
        <f>108550.968+141076.109+588594.278+20028.751</f>
        <v>858250.10600000003</v>
      </c>
      <c r="M4" s="52">
        <f>+M5+M23+M38+M52+M63</f>
        <v>862991.39599999995</v>
      </c>
      <c r="N4" s="39">
        <f>89357.407+148916.949+705462.95+10447.278</f>
        <v>954184.58400000003</v>
      </c>
      <c r="O4" s="52">
        <f>+O5+O23+O38+O52+O63</f>
        <v>1016647.9479500001</v>
      </c>
      <c r="R4" s="52">
        <f t="shared" ref="R4:AA4" si="0">+R5+R23+R38+R52+R63</f>
        <v>1177443.7220000001</v>
      </c>
      <c r="S4" s="52">
        <f t="shared" si="0"/>
        <v>1356132.1939999999</v>
      </c>
      <c r="T4" s="52">
        <f t="shared" si="0"/>
        <v>1436418.8420000002</v>
      </c>
      <c r="U4" s="52">
        <f t="shared" si="0"/>
        <v>1284520.0999999999</v>
      </c>
      <c r="V4" s="52">
        <f t="shared" si="0"/>
        <v>1283966.0109999999</v>
      </c>
      <c r="W4" s="52">
        <f t="shared" si="0"/>
        <v>1252685.6769999999</v>
      </c>
      <c r="X4" s="52">
        <f t="shared" si="0"/>
        <v>1313950.1760000002</v>
      </c>
      <c r="Y4" s="52">
        <f t="shared" si="0"/>
        <v>1477257.4620000001</v>
      </c>
      <c r="Z4" s="52">
        <f t="shared" si="0"/>
        <v>1659723.311</v>
      </c>
      <c r="AA4" s="52">
        <f t="shared" si="0"/>
        <v>1543521.7140000002</v>
      </c>
      <c r="AB4" s="52">
        <f t="shared" ref="AB4:AC4" si="1">+AB5+AB23+AB38+AB52+AB63</f>
        <v>2031087.5619999999</v>
      </c>
      <c r="AC4" s="52">
        <f t="shared" si="1"/>
        <v>2141998</v>
      </c>
      <c r="AD4" s="52">
        <f t="shared" ref="AD4:AE4" si="2">+AD5+AD23+AD38+AD52+AD63</f>
        <v>2074314.96</v>
      </c>
      <c r="AE4" s="52">
        <f t="shared" si="2"/>
        <v>2121920.304</v>
      </c>
      <c r="AF4" s="52">
        <f t="shared" ref="AF4:AG4" si="3">+AF5+AF23+AF38+AF52+AF63</f>
        <v>1417054.25</v>
      </c>
      <c r="AG4" s="52">
        <f t="shared" si="3"/>
        <v>1596140.7820000001</v>
      </c>
      <c r="AH4" s="52">
        <f t="shared" ref="AH4:AI4" si="4">+AH5+AH23+AH38+AH52+AH63</f>
        <v>2087521.0480000002</v>
      </c>
      <c r="AI4" s="52">
        <f t="shared" si="4"/>
        <v>2374948.7129999995</v>
      </c>
      <c r="AJ4" s="52">
        <f t="shared" ref="AJ4:AK4" si="5">+AJ5+AJ23+AJ38+AJ52+AJ63</f>
        <v>0</v>
      </c>
      <c r="AK4" s="135">
        <f t="shared" si="5"/>
        <v>2357044.6520000002</v>
      </c>
      <c r="AL4" s="135">
        <f t="shared" ref="AL4" si="6">+AL5+AL23+AL38+AL52+AL63</f>
        <v>2665361.3040000005</v>
      </c>
    </row>
    <row r="5" spans="1:38" ht="12.75" customHeight="1">
      <c r="A5" s="1" t="s">
        <v>21</v>
      </c>
      <c r="B5" s="51">
        <f>SUM(B7:B22)</f>
        <v>114371</v>
      </c>
      <c r="C5" s="51">
        <f t="shared" ref="C5:AA5" si="7">SUM(C7:C22)</f>
        <v>117292</v>
      </c>
      <c r="D5" s="51">
        <f t="shared" si="7"/>
        <v>117695</v>
      </c>
      <c r="E5" s="51">
        <f t="shared" si="7"/>
        <v>0</v>
      </c>
      <c r="F5" s="51">
        <f t="shared" si="7"/>
        <v>0</v>
      </c>
      <c r="G5" s="51">
        <f t="shared" si="7"/>
        <v>0</v>
      </c>
      <c r="H5" s="51">
        <f t="shared" si="7"/>
        <v>0</v>
      </c>
      <c r="I5" s="51">
        <f t="shared" si="7"/>
        <v>181299.56900000002</v>
      </c>
      <c r="J5" s="51">
        <f t="shared" si="7"/>
        <v>183473.26099999997</v>
      </c>
      <c r="K5" s="51">
        <f t="shared" si="7"/>
        <v>191398.12699999998</v>
      </c>
      <c r="L5" s="51">
        <f t="shared" si="7"/>
        <v>197354.51199999999</v>
      </c>
      <c r="M5" s="51">
        <f t="shared" si="7"/>
        <v>191623.981</v>
      </c>
      <c r="N5" s="51">
        <f t="shared" si="7"/>
        <v>234274.69999999995</v>
      </c>
      <c r="O5" s="51">
        <f t="shared" si="7"/>
        <v>254794.85676000002</v>
      </c>
      <c r="P5" s="51">
        <f t="shared" si="7"/>
        <v>0</v>
      </c>
      <c r="Q5" s="51">
        <f t="shared" si="7"/>
        <v>0</v>
      </c>
      <c r="R5" s="51">
        <f t="shared" si="7"/>
        <v>293490.16499999998</v>
      </c>
      <c r="S5" s="51">
        <f t="shared" si="7"/>
        <v>333922.53599999996</v>
      </c>
      <c r="T5" s="51">
        <f t="shared" si="7"/>
        <v>518543.46299999999</v>
      </c>
      <c r="U5" s="51">
        <f t="shared" si="7"/>
        <v>523158.49</v>
      </c>
      <c r="V5" s="51">
        <f t="shared" si="7"/>
        <v>385763.43</v>
      </c>
      <c r="W5" s="51">
        <f t="shared" si="7"/>
        <v>294980.228</v>
      </c>
      <c r="X5" s="51">
        <f t="shared" si="7"/>
        <v>275773.87899999996</v>
      </c>
      <c r="Y5" s="51">
        <f t="shared" si="7"/>
        <v>346434.46800000005</v>
      </c>
      <c r="Z5" s="51">
        <f t="shared" si="7"/>
        <v>466171.26500000001</v>
      </c>
      <c r="AA5" s="51">
        <f t="shared" si="7"/>
        <v>410302.96500000003</v>
      </c>
      <c r="AB5" s="51">
        <f t="shared" ref="AB5:AC5" si="8">SUM(AB7:AB22)</f>
        <v>614290.23900000006</v>
      </c>
      <c r="AC5" s="51">
        <f t="shared" si="8"/>
        <v>614633</v>
      </c>
      <c r="AD5" s="51">
        <f t="shared" ref="AD5:AE5" si="9">SUM(AD7:AD22)</f>
        <v>563891.57400000002</v>
      </c>
      <c r="AE5" s="51">
        <f t="shared" si="9"/>
        <v>513866.50100000005</v>
      </c>
      <c r="AF5" s="51">
        <f t="shared" ref="AF5:AG5" si="10">SUM(AF7:AF22)</f>
        <v>312941.84399999998</v>
      </c>
      <c r="AG5" s="51">
        <f t="shared" si="10"/>
        <v>400548.49800000002</v>
      </c>
      <c r="AH5" s="51">
        <f t="shared" ref="AH5:AI5" si="11">SUM(AH7:AH22)</f>
        <v>478920.31</v>
      </c>
      <c r="AI5" s="51">
        <f t="shared" si="11"/>
        <v>437737.70499999996</v>
      </c>
      <c r="AJ5" s="51">
        <f t="shared" ref="AJ5:AK5" si="12">SUM(AJ7:AJ22)</f>
        <v>0</v>
      </c>
      <c r="AK5" s="51">
        <f t="shared" si="12"/>
        <v>481437.12000000005</v>
      </c>
      <c r="AL5" s="51">
        <f t="shared" ref="AL5" si="13">SUM(AL7:AL22)</f>
        <v>467113.46799999999</v>
      </c>
    </row>
    <row r="6" spans="1:38" ht="12.75" customHeight="1">
      <c r="A6" s="6" t="s">
        <v>94</v>
      </c>
      <c r="J6" s="126"/>
      <c r="R6" s="18"/>
      <c r="T6" s="44"/>
    </row>
    <row r="7" spans="1:38" ht="12.75" customHeight="1">
      <c r="A7" s="1" t="s">
        <v>22</v>
      </c>
      <c r="B7" s="1">
        <f>2461+493+1908</f>
        <v>4862</v>
      </c>
      <c r="C7" s="1">
        <f>594+1322+3857+0</f>
        <v>5773</v>
      </c>
      <c r="D7" s="1">
        <f>1890+2562+2966+0</f>
        <v>7418</v>
      </c>
      <c r="I7" s="1">
        <f>3620.534+1460.456+3815.598+4.534</f>
        <v>8901.1219999999994</v>
      </c>
      <c r="J7" s="126">
        <v>9509.6560000000009</v>
      </c>
      <c r="K7" s="1">
        <f>5483.396+1165.405+4032.577</f>
        <v>10681.378000000001</v>
      </c>
      <c r="L7" s="1">
        <f>12197.695+1403.998+5678.076</f>
        <v>19279.769</v>
      </c>
      <c r="M7" s="1">
        <v>9302.8590000000004</v>
      </c>
      <c r="N7" s="1">
        <f>0+1384.191+8698.154+0</f>
        <v>10082.345000000001</v>
      </c>
      <c r="O7" s="1">
        <v>8734.7492899999997</v>
      </c>
      <c r="R7" s="24">
        <v>10644.437</v>
      </c>
      <c r="S7" s="1">
        <v>14534.955</v>
      </c>
      <c r="T7" s="44">
        <v>18893.192999999999</v>
      </c>
      <c r="U7" s="1">
        <v>17965.582999999999</v>
      </c>
      <c r="V7" s="1">
        <v>9001.1630000000005</v>
      </c>
      <c r="W7" s="126">
        <v>9791.6389999999992</v>
      </c>
      <c r="X7" s="126">
        <v>12227.656000000001</v>
      </c>
      <c r="Y7" s="126">
        <v>11038.377</v>
      </c>
      <c r="Z7" s="126">
        <v>12521.495999999999</v>
      </c>
      <c r="AA7" s="126">
        <v>13173.084999999999</v>
      </c>
      <c r="AB7" s="126">
        <v>11655.953</v>
      </c>
      <c r="AC7" s="126">
        <v>12416</v>
      </c>
      <c r="AD7" s="1">
        <v>16016.107</v>
      </c>
      <c r="AE7" s="1">
        <v>14015.38</v>
      </c>
      <c r="AF7" s="1">
        <v>11225.647000000001</v>
      </c>
      <c r="AG7" s="1">
        <v>12083.031999999999</v>
      </c>
      <c r="AH7" s="1">
        <v>12511.296</v>
      </c>
      <c r="AI7" s="1">
        <v>11251.444</v>
      </c>
      <c r="AK7" s="1">
        <v>12921.12</v>
      </c>
      <c r="AL7" s="1">
        <v>20306.509999999998</v>
      </c>
    </row>
    <row r="8" spans="1:38" ht="12.75" customHeight="1">
      <c r="A8" s="1" t="s">
        <v>23</v>
      </c>
      <c r="B8" s="1">
        <f>234+753</f>
        <v>987</v>
      </c>
      <c r="C8" s="1">
        <f>0+387+878+0</f>
        <v>1265</v>
      </c>
      <c r="D8" s="1">
        <f>0+410+925+0</f>
        <v>1335</v>
      </c>
      <c r="I8" s="1">
        <f>149.996+189.864+1164.098+0</f>
        <v>1503.9580000000001</v>
      </c>
      <c r="J8" s="126">
        <v>1794.721</v>
      </c>
      <c r="K8" s="1">
        <f>19.713+302.394+1507.495</f>
        <v>1829.6019999999999</v>
      </c>
      <c r="L8" s="1">
        <f>22.008+408.142+1537.885</f>
        <v>1968.0349999999999</v>
      </c>
      <c r="M8" s="1">
        <v>2956.6579999999999</v>
      </c>
      <c r="N8" s="1">
        <f>32.724+531.703+2108.681+0</f>
        <v>2673.1080000000002</v>
      </c>
      <c r="O8" s="1">
        <v>3299.0610000000001</v>
      </c>
      <c r="R8" s="24">
        <v>5191.1660000000002</v>
      </c>
      <c r="S8" s="1">
        <v>13870.290999999999</v>
      </c>
      <c r="T8" s="44">
        <v>14304.239</v>
      </c>
      <c r="U8" s="1">
        <v>4311.4390000000003</v>
      </c>
      <c r="V8" s="1">
        <v>8107.799</v>
      </c>
      <c r="W8" s="126">
        <v>7914.9290000000001</v>
      </c>
      <c r="X8" s="126">
        <v>9396.6190000000006</v>
      </c>
      <c r="Y8" s="126">
        <v>13769.107</v>
      </c>
      <c r="Z8" s="126">
        <v>14689.446</v>
      </c>
      <c r="AA8" s="126">
        <v>28222.73</v>
      </c>
      <c r="AB8" s="126">
        <v>22665.433000000001</v>
      </c>
      <c r="AC8" s="126">
        <v>8950</v>
      </c>
      <c r="AD8" s="1">
        <v>9699.6779999999999</v>
      </c>
      <c r="AE8" s="1">
        <v>6988.8010000000004</v>
      </c>
      <c r="AF8" s="1">
        <v>4303.3280000000004</v>
      </c>
      <c r="AG8" s="1">
        <v>6375.4830000000002</v>
      </c>
      <c r="AH8" s="1">
        <v>4955.6260000000002</v>
      </c>
      <c r="AI8" s="1">
        <v>5746.83</v>
      </c>
      <c r="AK8" s="1">
        <v>6245.2420000000002</v>
      </c>
      <c r="AL8" s="1">
        <v>6416.33</v>
      </c>
    </row>
    <row r="9" spans="1:38" ht="12.75" customHeight="1">
      <c r="A9" s="1" t="s">
        <v>24</v>
      </c>
      <c r="D9" s="1">
        <f>0+0+0+0</f>
        <v>0</v>
      </c>
      <c r="I9" s="1">
        <v>101.09</v>
      </c>
      <c r="J9" s="126">
        <v>0</v>
      </c>
      <c r="M9" s="1">
        <v>1982.5</v>
      </c>
      <c r="N9" s="1">
        <f>0+0+0+0</f>
        <v>0</v>
      </c>
      <c r="O9" s="1">
        <v>0</v>
      </c>
      <c r="R9" s="24">
        <v>0</v>
      </c>
      <c r="S9" s="35">
        <v>0</v>
      </c>
      <c r="T9" s="45">
        <v>0</v>
      </c>
      <c r="U9" s="35">
        <v>0</v>
      </c>
      <c r="V9" s="35">
        <v>7.3999999999999996E-2</v>
      </c>
      <c r="W9" s="126">
        <v>0</v>
      </c>
      <c r="X9" s="126">
        <v>0</v>
      </c>
      <c r="Y9" s="126">
        <v>0</v>
      </c>
      <c r="Z9" s="126">
        <v>0</v>
      </c>
      <c r="AA9" s="126">
        <v>0</v>
      </c>
      <c r="AB9" s="126">
        <v>0</v>
      </c>
      <c r="AC9" s="126">
        <v>1276</v>
      </c>
      <c r="AD9" s="1">
        <v>8458.31</v>
      </c>
      <c r="AE9" s="1">
        <v>19.998999999999999</v>
      </c>
      <c r="AF9" s="1">
        <v>0</v>
      </c>
      <c r="AG9" s="1">
        <v>0</v>
      </c>
      <c r="AH9" s="1">
        <v>300.00200000000001</v>
      </c>
      <c r="AI9" s="1">
        <v>0</v>
      </c>
      <c r="AK9" s="1">
        <v>0</v>
      </c>
      <c r="AL9" s="1">
        <v>0</v>
      </c>
    </row>
    <row r="10" spans="1:38" ht="12.75" customHeight="1">
      <c r="A10" s="1" t="s">
        <v>25</v>
      </c>
      <c r="B10" s="1">
        <f>2876+3509+11049</f>
        <v>17434</v>
      </c>
      <c r="C10" s="1">
        <f>1888+3558+12933+0</f>
        <v>18379</v>
      </c>
      <c r="D10" s="1">
        <f>1793+2953+9975+0</f>
        <v>14721</v>
      </c>
      <c r="I10" s="1">
        <f>1912.855+4482.514+23247.455+14.992</f>
        <v>29657.815999999999</v>
      </c>
      <c r="J10" s="126">
        <v>23011.550999999999</v>
      </c>
      <c r="K10" s="1">
        <f>359.779+5126.467+17494.727</f>
        <v>22980.972999999998</v>
      </c>
      <c r="L10" s="1">
        <f>384.437+5133.99+21754.056</f>
        <v>27272.483</v>
      </c>
      <c r="M10" s="1">
        <v>26271.228999999999</v>
      </c>
      <c r="N10" s="1">
        <f>1085.298+6572.158+41307.792+0</f>
        <v>48965.248</v>
      </c>
      <c r="O10" s="1">
        <v>53773.822999999997</v>
      </c>
      <c r="R10" s="24">
        <v>42808.696000000004</v>
      </c>
      <c r="S10" s="1">
        <v>56925.644</v>
      </c>
      <c r="T10" s="44">
        <v>34984.076999999997</v>
      </c>
      <c r="U10" s="1">
        <v>36948.934000000001</v>
      </c>
      <c r="V10" s="1">
        <v>31947.135999999999</v>
      </c>
      <c r="W10" s="126">
        <v>46183.891000000003</v>
      </c>
      <c r="X10" s="126">
        <v>32987.269999999997</v>
      </c>
      <c r="Y10" s="126">
        <v>36264.194000000003</v>
      </c>
      <c r="Z10" s="126">
        <v>34663.521999999997</v>
      </c>
      <c r="AA10" s="126">
        <v>24914.395</v>
      </c>
      <c r="AB10" s="126">
        <v>124471.586</v>
      </c>
      <c r="AC10" s="126">
        <v>121809</v>
      </c>
      <c r="AD10" s="1">
        <v>41685.218000000001</v>
      </c>
      <c r="AE10" s="1">
        <v>68405.803</v>
      </c>
      <c r="AF10" s="1">
        <v>23713.956999999999</v>
      </c>
      <c r="AG10" s="1">
        <v>74084.744000000006</v>
      </c>
      <c r="AH10" s="1">
        <v>47902.069000000003</v>
      </c>
      <c r="AI10" s="1">
        <v>35187.345000000001</v>
      </c>
      <c r="AK10" s="1">
        <v>81722.304000000004</v>
      </c>
      <c r="AL10" s="1">
        <v>76926.990999999995</v>
      </c>
    </row>
    <row r="11" spans="1:38" ht="12.75" customHeight="1">
      <c r="A11" s="1" t="s">
        <v>26</v>
      </c>
      <c r="B11" s="1">
        <f>1164+940</f>
        <v>2104</v>
      </c>
      <c r="C11" s="1">
        <f>0+939+1440+0</f>
        <v>2379</v>
      </c>
      <c r="D11" s="1">
        <f>0+1053+1456+0</f>
        <v>2509</v>
      </c>
      <c r="I11" s="1">
        <f>9189.731+1279.53+6189.019+185.683</f>
        <v>16843.963</v>
      </c>
      <c r="J11" s="126">
        <v>26664.028999999999</v>
      </c>
      <c r="K11" s="1">
        <f>1513.44+2710.24+10155.017</f>
        <v>14378.697</v>
      </c>
      <c r="L11" s="1">
        <f>1937.312+4722.17+9756.458</f>
        <v>16415.940000000002</v>
      </c>
      <c r="M11" s="1">
        <v>18368.241999999998</v>
      </c>
      <c r="N11" s="1">
        <f>1413.913+3785.015+8486.347+0</f>
        <v>13685.275</v>
      </c>
      <c r="O11" s="1">
        <v>15143.01074</v>
      </c>
      <c r="R11" s="24">
        <v>18516.663</v>
      </c>
      <c r="S11" s="1">
        <v>18457.941999999999</v>
      </c>
      <c r="T11" s="44">
        <v>20480.487000000001</v>
      </c>
      <c r="U11" s="1">
        <v>20534.769</v>
      </c>
      <c r="V11" s="1">
        <v>14300.089</v>
      </c>
      <c r="W11" s="126">
        <v>16320.941999999999</v>
      </c>
      <c r="X11" s="126">
        <v>26900.458999999999</v>
      </c>
      <c r="Y11" s="126">
        <v>22572.307000000001</v>
      </c>
      <c r="Z11" s="126">
        <v>37716.730000000003</v>
      </c>
      <c r="AA11" s="126">
        <v>8438.6440000000002</v>
      </c>
      <c r="AB11" s="126">
        <v>85149.164000000004</v>
      </c>
      <c r="AC11" s="126">
        <v>54818</v>
      </c>
      <c r="AD11" s="1">
        <v>81286.815000000002</v>
      </c>
      <c r="AE11" s="1">
        <v>31886.692999999999</v>
      </c>
      <c r="AF11" s="1">
        <v>2890.6689999999999</v>
      </c>
      <c r="AG11" s="1">
        <v>15482.703</v>
      </c>
      <c r="AH11" s="1">
        <v>36617.49</v>
      </c>
      <c r="AI11" s="1">
        <v>8689.16</v>
      </c>
      <c r="AK11" s="1">
        <v>11677.632</v>
      </c>
      <c r="AL11" s="1">
        <v>10629.594999999999</v>
      </c>
    </row>
    <row r="12" spans="1:38" ht="12.75" customHeight="1">
      <c r="A12" s="1" t="s">
        <v>27</v>
      </c>
      <c r="B12" s="1">
        <v>66</v>
      </c>
      <c r="C12" s="1">
        <f>0+92+130</f>
        <v>222</v>
      </c>
      <c r="D12" s="1">
        <f>0+310+81+0</f>
        <v>391</v>
      </c>
      <c r="I12" s="1">
        <f>0+1046.409+0+0</f>
        <v>1046.4090000000001</v>
      </c>
      <c r="J12" s="126">
        <v>1150.01</v>
      </c>
      <c r="K12" s="1">
        <f>1518.325+978.065</f>
        <v>2496.3900000000003</v>
      </c>
      <c r="L12" s="1">
        <f>1650.069+20.424</f>
        <v>1670.4929999999999</v>
      </c>
      <c r="M12" s="1">
        <v>1882.115</v>
      </c>
      <c r="N12" s="1">
        <f>0+1953.235+13.595+0</f>
        <v>1966.83</v>
      </c>
      <c r="O12" s="1">
        <v>2324.0540000000001</v>
      </c>
      <c r="R12" s="18">
        <v>7143.7759999999998</v>
      </c>
      <c r="S12" s="1">
        <v>5517.027</v>
      </c>
      <c r="T12" s="44">
        <v>4.4020000000000001</v>
      </c>
      <c r="U12" s="1">
        <v>329.99900000000002</v>
      </c>
      <c r="V12" s="1">
        <v>221.07900000000001</v>
      </c>
      <c r="W12" s="126">
        <v>8941.6740000000009</v>
      </c>
      <c r="X12" s="126">
        <v>11948.433999999999</v>
      </c>
      <c r="Y12" s="126">
        <v>19622.768</v>
      </c>
      <c r="Z12" s="126">
        <v>31512.864000000001</v>
      </c>
      <c r="AA12" s="126">
        <v>61884.19</v>
      </c>
      <c r="AB12" s="126">
        <v>54525.781999999999</v>
      </c>
      <c r="AC12" s="126">
        <v>50650</v>
      </c>
      <c r="AD12" s="1">
        <v>49602.909</v>
      </c>
      <c r="AE12" s="1">
        <v>72396.948000000004</v>
      </c>
      <c r="AF12" s="1">
        <v>20080.52</v>
      </c>
      <c r="AG12" s="1">
        <v>21205.159</v>
      </c>
      <c r="AH12" s="1">
        <v>19787.524000000001</v>
      </c>
      <c r="AI12" s="1">
        <v>12060.335999999999</v>
      </c>
      <c r="AK12" s="1">
        <v>11453.861000000001</v>
      </c>
      <c r="AL12" s="1">
        <v>11222.013000000001</v>
      </c>
    </row>
    <row r="13" spans="1:38" ht="12.75" customHeight="1">
      <c r="A13" s="1" t="s">
        <v>28</v>
      </c>
      <c r="B13" s="1">
        <f>8+324</f>
        <v>332</v>
      </c>
      <c r="C13" s="1">
        <f>0+17+331+0</f>
        <v>348</v>
      </c>
      <c r="D13" s="1">
        <f>0+23+347+0</f>
        <v>370</v>
      </c>
      <c r="I13" s="1">
        <f>0+97.937+564.503+0</f>
        <v>662.44</v>
      </c>
      <c r="J13" s="126">
        <v>696.34699999999998</v>
      </c>
      <c r="K13" s="1">
        <f>71.824+704.464</f>
        <v>776.28800000000001</v>
      </c>
      <c r="L13" s="1">
        <f>321.771+19.665+2210.98</f>
        <v>2552.4160000000002</v>
      </c>
      <c r="M13" s="1">
        <v>2059.7139999999999</v>
      </c>
      <c r="N13" s="1">
        <f>0.399+731.629+3544.413+0</f>
        <v>4276.4409999999998</v>
      </c>
      <c r="O13" s="1">
        <v>10350.42367</v>
      </c>
      <c r="R13" s="18">
        <v>8698.51</v>
      </c>
      <c r="S13" s="1">
        <v>2677.2530000000002</v>
      </c>
      <c r="T13" s="44">
        <v>23676.281999999999</v>
      </c>
      <c r="U13" s="1">
        <v>22919.953000000001</v>
      </c>
      <c r="V13" s="1">
        <v>8759.4480000000003</v>
      </c>
      <c r="W13" s="126">
        <v>8336.7379999999994</v>
      </c>
      <c r="X13" s="126">
        <v>8888.2250000000004</v>
      </c>
      <c r="Y13" s="126">
        <v>17286.921999999999</v>
      </c>
      <c r="Z13" s="126">
        <v>20534.312000000002</v>
      </c>
      <c r="AA13" s="126">
        <v>6576.3130000000001</v>
      </c>
      <c r="AB13" s="126">
        <v>18061.594000000001</v>
      </c>
      <c r="AC13" s="126">
        <v>33906</v>
      </c>
      <c r="AD13" s="1">
        <v>16789.521000000001</v>
      </c>
      <c r="AE13" s="1">
        <v>10363.582</v>
      </c>
      <c r="AF13" s="1">
        <v>13385.286</v>
      </c>
      <c r="AG13" s="1">
        <v>9844.7019999999993</v>
      </c>
      <c r="AH13" s="1">
        <v>17702.169999999998</v>
      </c>
      <c r="AI13" s="1">
        <v>7769.56</v>
      </c>
      <c r="AK13" s="1">
        <v>11707.999</v>
      </c>
      <c r="AL13" s="1">
        <v>20938.57</v>
      </c>
    </row>
    <row r="14" spans="1:38" ht="12.75" customHeight="1">
      <c r="A14" s="1" t="s">
        <v>29</v>
      </c>
      <c r="B14" s="1">
        <f>152+170+5401</f>
        <v>5723</v>
      </c>
      <c r="C14" s="1">
        <f>160+216+3908+1750</f>
        <v>6034</v>
      </c>
      <c r="D14" s="1">
        <f>161+148+4490+1816</f>
        <v>6615</v>
      </c>
      <c r="I14" s="1">
        <f>3912.034+0+10407.448+0</f>
        <v>14319.482</v>
      </c>
      <c r="J14" s="126">
        <v>8531.3279999999995</v>
      </c>
      <c r="K14" s="1">
        <f>1872.917+9861.494</f>
        <v>11734.411</v>
      </c>
      <c r="L14" s="1">
        <f>2119.858+9884.362</f>
        <v>12004.22</v>
      </c>
      <c r="M14" s="1">
        <v>8868.6980000000003</v>
      </c>
      <c r="N14" s="1">
        <f>1303.367+65.13+16243.795+0</f>
        <v>17612.292000000001</v>
      </c>
      <c r="O14" s="1">
        <v>19157.468000000001</v>
      </c>
      <c r="R14" s="18">
        <v>15474.745000000001</v>
      </c>
      <c r="S14" s="1">
        <v>17070.004000000001</v>
      </c>
      <c r="T14" s="44">
        <v>18116.121999999999</v>
      </c>
      <c r="U14" s="1">
        <v>34276.909</v>
      </c>
      <c r="V14" s="1">
        <v>40808.525999999998</v>
      </c>
      <c r="W14" s="126">
        <v>32221.08</v>
      </c>
      <c r="X14" s="126">
        <v>27371.168000000001</v>
      </c>
      <c r="Y14" s="126">
        <v>45349.822999999997</v>
      </c>
      <c r="Z14" s="126">
        <v>57113.474000000002</v>
      </c>
      <c r="AA14" s="126">
        <v>35850.735000000001</v>
      </c>
      <c r="AB14" s="126">
        <v>38762.453999999998</v>
      </c>
      <c r="AC14" s="126">
        <v>42821</v>
      </c>
      <c r="AD14" s="1">
        <v>49799.446000000004</v>
      </c>
      <c r="AE14" s="1">
        <v>56973.453000000001</v>
      </c>
      <c r="AF14" s="1">
        <v>53031.750999999997</v>
      </c>
      <c r="AG14" s="1">
        <v>47921.069000000003</v>
      </c>
      <c r="AH14" s="1">
        <v>59025.862000000001</v>
      </c>
      <c r="AI14" s="1">
        <v>59868.171000000002</v>
      </c>
      <c r="AK14" s="1">
        <v>53607.334999999999</v>
      </c>
      <c r="AL14" s="1">
        <v>57146.516000000003</v>
      </c>
    </row>
    <row r="15" spans="1:38" ht="12.75" customHeight="1">
      <c r="A15" s="1" t="s">
        <v>30</v>
      </c>
      <c r="B15" s="1">
        <f>6282+2167+1841</f>
        <v>10290</v>
      </c>
      <c r="C15" s="1">
        <f>4894+2171+1486+0</f>
        <v>8551</v>
      </c>
      <c r="D15" s="1">
        <f>8393+2905+2404+0</f>
        <v>13702</v>
      </c>
      <c r="I15" s="1">
        <f>9429.348+2209.455+4009.475+0</f>
        <v>15648.278</v>
      </c>
      <c r="J15" s="126">
        <v>15617.114</v>
      </c>
      <c r="K15" s="1">
        <f>4402.83+2340.998+3076.866</f>
        <v>9820.6939999999995</v>
      </c>
      <c r="L15" s="1">
        <f>4514.526+2692.462+2987.491</f>
        <v>10194.478999999999</v>
      </c>
      <c r="M15" s="1">
        <v>10902.531000000001</v>
      </c>
      <c r="N15" s="1">
        <f>4345.554+2021.206+4461.428</f>
        <v>10828.188</v>
      </c>
      <c r="O15" s="1">
        <v>11290.298000000001</v>
      </c>
      <c r="R15" s="18">
        <v>13919.306</v>
      </c>
      <c r="S15" s="1">
        <v>12028.017</v>
      </c>
      <c r="T15" s="44">
        <v>14213.867</v>
      </c>
      <c r="U15" s="1">
        <v>11820.983</v>
      </c>
      <c r="V15" s="1">
        <v>8973.8209999999999</v>
      </c>
      <c r="W15" s="126">
        <v>10540.681</v>
      </c>
      <c r="X15" s="126">
        <v>30117.03</v>
      </c>
      <c r="Y15" s="126">
        <v>15876.163</v>
      </c>
      <c r="Z15" s="126">
        <v>46012.061999999998</v>
      </c>
      <c r="AA15" s="126">
        <v>30316.026999999998</v>
      </c>
      <c r="AB15" s="126">
        <v>35760.85</v>
      </c>
      <c r="AC15" s="126">
        <v>35516</v>
      </c>
      <c r="AD15" s="1">
        <v>11321.321</v>
      </c>
      <c r="AE15" s="1">
        <v>12447.615</v>
      </c>
      <c r="AF15" s="1">
        <v>9351.9750000000004</v>
      </c>
      <c r="AG15" s="1">
        <v>10765.191999999999</v>
      </c>
      <c r="AH15" s="1">
        <v>16554.916000000001</v>
      </c>
      <c r="AI15" s="1">
        <v>17399.067999999999</v>
      </c>
      <c r="AK15" s="1">
        <v>18865.222000000002</v>
      </c>
      <c r="AL15" s="1">
        <v>16675.574000000001</v>
      </c>
    </row>
    <row r="16" spans="1:38" ht="12.75" customHeight="1">
      <c r="A16" s="1" t="s">
        <v>31</v>
      </c>
      <c r="B16" s="1">
        <f>1025+623+1988</f>
        <v>3636</v>
      </c>
      <c r="C16" s="1">
        <f>1167+662+1934+0</f>
        <v>3763</v>
      </c>
      <c r="D16" s="1">
        <f>1724+754+1475+93</f>
        <v>4046</v>
      </c>
      <c r="I16" s="1">
        <f>3442.119+361.256+4615.388+5.973</f>
        <v>8424.735999999999</v>
      </c>
      <c r="J16" s="126">
        <v>10335.852999999999</v>
      </c>
      <c r="K16" s="1">
        <f>6374.571+3479.765+4258.504</f>
        <v>14112.84</v>
      </c>
      <c r="L16" s="1">
        <f>4862.572+620.171+4440.946</f>
        <v>9923.6890000000003</v>
      </c>
      <c r="M16" s="1">
        <v>14798.263000000001</v>
      </c>
      <c r="N16" s="1">
        <f>7057.526+1701.566+6561.396+80.94</f>
        <v>15401.428000000002</v>
      </c>
      <c r="O16" s="1">
        <v>14704.86514</v>
      </c>
      <c r="R16" s="18">
        <v>18332.52</v>
      </c>
      <c r="S16" s="1">
        <v>19017.215</v>
      </c>
      <c r="T16" s="1">
        <v>34407.506999999998</v>
      </c>
      <c r="U16" s="1">
        <v>19746.986000000001</v>
      </c>
      <c r="V16" s="1">
        <v>38328.472000000002</v>
      </c>
      <c r="W16" s="126">
        <v>28761.738000000001</v>
      </c>
      <c r="X16" s="126">
        <v>8014.4040000000005</v>
      </c>
      <c r="Y16" s="126">
        <v>16312.986000000001</v>
      </c>
      <c r="Z16" s="126">
        <v>25024.833999999999</v>
      </c>
      <c r="AA16" s="126">
        <v>35111.705000000002</v>
      </c>
      <c r="AB16" s="126">
        <v>40586.160000000003</v>
      </c>
      <c r="AC16" s="126">
        <v>20923</v>
      </c>
      <c r="AD16" s="1">
        <v>29235.784</v>
      </c>
      <c r="AE16" s="1">
        <v>38997.684999999998</v>
      </c>
      <c r="AF16" s="1">
        <v>22079.216</v>
      </c>
      <c r="AG16" s="1">
        <v>26383.308000000001</v>
      </c>
      <c r="AH16" s="1">
        <v>89136.956000000006</v>
      </c>
      <c r="AI16" s="1">
        <v>28495.179</v>
      </c>
      <c r="AK16" s="1">
        <v>32709.25</v>
      </c>
      <c r="AL16" s="1">
        <v>59820.123</v>
      </c>
    </row>
    <row r="17" spans="1:38" ht="12.75" customHeight="1">
      <c r="A17" s="1" t="s">
        <v>32</v>
      </c>
      <c r="B17" s="1">
        <f>121+132+1108</f>
        <v>1361</v>
      </c>
      <c r="C17" s="1">
        <f>88+171+1221+0</f>
        <v>1480</v>
      </c>
      <c r="D17" s="1">
        <f>121+242+1565+0</f>
        <v>1928</v>
      </c>
      <c r="I17" s="1">
        <f>364.155+581.184+2296.716+0</f>
        <v>3242.0549999999998</v>
      </c>
      <c r="J17" s="126">
        <v>3448.8020000000001</v>
      </c>
      <c r="K17" s="1">
        <f>4756.616+504.085+3004.722</f>
        <v>8265.4230000000007</v>
      </c>
      <c r="L17" s="1">
        <f>4698.796+457.416+4615.187</f>
        <v>9771.3990000000013</v>
      </c>
      <c r="M17" s="1">
        <v>9355.8389999999999</v>
      </c>
      <c r="N17" s="1">
        <f>4756.763+478.48+4476.508+0</f>
        <v>9711.7510000000002</v>
      </c>
      <c r="O17" s="1">
        <v>12415.068780000001</v>
      </c>
      <c r="R17" s="18">
        <v>5975.3850000000002</v>
      </c>
      <c r="S17" s="1">
        <v>16856.713</v>
      </c>
      <c r="T17" s="1">
        <v>8461.0840000000007</v>
      </c>
      <c r="U17" s="1">
        <v>10376.133</v>
      </c>
      <c r="V17" s="1">
        <v>14287.983</v>
      </c>
      <c r="W17" s="126">
        <v>15723.288</v>
      </c>
      <c r="X17" s="126">
        <v>12795.138999999999</v>
      </c>
      <c r="Y17" s="126">
        <v>16119</v>
      </c>
      <c r="Z17" s="126">
        <v>25399.913</v>
      </c>
      <c r="AA17" s="126">
        <v>24598.957999999999</v>
      </c>
      <c r="AB17" s="126">
        <v>23579.116000000002</v>
      </c>
      <c r="AC17" s="126">
        <v>30355</v>
      </c>
      <c r="AD17" s="1">
        <v>30647.117999999999</v>
      </c>
      <c r="AE17" s="1">
        <v>25339.206999999999</v>
      </c>
      <c r="AF17" s="1">
        <v>33325.71</v>
      </c>
      <c r="AG17" s="1">
        <v>31389.040000000001</v>
      </c>
      <c r="AH17" s="1">
        <v>35467.127999999997</v>
      </c>
      <c r="AI17" s="1">
        <v>26617.834999999999</v>
      </c>
      <c r="AK17" s="1">
        <v>28446.969000000001</v>
      </c>
      <c r="AL17" s="1">
        <v>21364.391</v>
      </c>
    </row>
    <row r="18" spans="1:38" ht="12.75" customHeight="1">
      <c r="A18" s="1" t="s">
        <v>33</v>
      </c>
      <c r="B18" s="1">
        <f>1827+583+2383</f>
        <v>4793</v>
      </c>
      <c r="C18" s="1">
        <f>945+548+3248+0</f>
        <v>4741</v>
      </c>
      <c r="D18" s="1">
        <f>726+430+2511+0</f>
        <v>3667</v>
      </c>
      <c r="I18" s="1">
        <f>912.777+909.221+3882.184+0</f>
        <v>5704.1820000000007</v>
      </c>
      <c r="J18" s="126">
        <v>4784.2780000000002</v>
      </c>
      <c r="K18" s="1">
        <f>1320.035+3151.747</f>
        <v>4471.7820000000002</v>
      </c>
      <c r="L18" s="1">
        <f>1292.288+3499.896</f>
        <v>4792.1840000000002</v>
      </c>
      <c r="M18" s="1">
        <v>5845.5519999999997</v>
      </c>
      <c r="N18" s="1">
        <f>0+1846.364+5134.909+0</f>
        <v>6981.2729999999992</v>
      </c>
      <c r="O18" s="1">
        <v>7096.8440000000001</v>
      </c>
      <c r="R18" s="18">
        <v>8392.8729999999996</v>
      </c>
      <c r="S18" s="1">
        <v>8709.4889999999996</v>
      </c>
      <c r="T18" s="1">
        <v>10141.880999999999</v>
      </c>
      <c r="U18" s="1">
        <v>20630.5</v>
      </c>
      <c r="V18" s="1">
        <v>7118.1040000000003</v>
      </c>
      <c r="W18" s="126">
        <v>7202.9449999999997</v>
      </c>
      <c r="X18" s="126">
        <v>8439.2070000000003</v>
      </c>
      <c r="Y18" s="126">
        <v>10255.948</v>
      </c>
      <c r="Z18" s="126">
        <v>11747.386</v>
      </c>
      <c r="AA18" s="126">
        <v>10620.472</v>
      </c>
      <c r="AB18" s="126">
        <v>16645.435000000001</v>
      </c>
      <c r="AC18" s="126">
        <v>30362</v>
      </c>
      <c r="AD18" s="1">
        <v>20629.394</v>
      </c>
      <c r="AE18" s="1">
        <v>22220.621999999999</v>
      </c>
      <c r="AF18" s="1">
        <v>16205.987999999999</v>
      </c>
      <c r="AG18" s="1">
        <v>20496.794000000002</v>
      </c>
      <c r="AH18" s="1">
        <v>23952.973999999998</v>
      </c>
      <c r="AI18" s="1">
        <v>19167.330999999998</v>
      </c>
      <c r="AK18" s="1">
        <v>24106.969000000001</v>
      </c>
      <c r="AL18" s="1">
        <v>19514.686000000002</v>
      </c>
    </row>
    <row r="19" spans="1:38" ht="12.75" customHeight="1">
      <c r="A19" s="1" t="s">
        <v>34</v>
      </c>
      <c r="B19" s="1">
        <f>2724+730+2567</f>
        <v>6021</v>
      </c>
      <c r="C19" s="1">
        <f>2718+890+2411+0</f>
        <v>6019</v>
      </c>
      <c r="D19" s="1">
        <f>1674+951+2291+0</f>
        <v>4916</v>
      </c>
      <c r="I19" s="1">
        <f>1333.35+1365.063+3113.868+0</f>
        <v>5812.2809999999999</v>
      </c>
      <c r="J19" s="126">
        <v>5238.1480000000001</v>
      </c>
      <c r="K19" s="1">
        <f>129.21+1468.169+2620.528</f>
        <v>4217.9070000000002</v>
      </c>
      <c r="L19" s="1">
        <f>1737.588+2810.174</f>
        <v>4547.7619999999997</v>
      </c>
      <c r="M19" s="1">
        <v>5405.2910000000002</v>
      </c>
      <c r="N19" s="1">
        <f>0+1977.151+3933.255+0</f>
        <v>5910.4059999999999</v>
      </c>
      <c r="O19" s="1">
        <v>7381.5129999999999</v>
      </c>
      <c r="R19" s="24">
        <v>6804.335</v>
      </c>
      <c r="S19" s="1">
        <v>7955.8429999999998</v>
      </c>
      <c r="T19" s="1">
        <v>7647.6319999999996</v>
      </c>
      <c r="U19" s="1">
        <v>6526.9620000000004</v>
      </c>
      <c r="V19" s="1">
        <v>5586.43</v>
      </c>
      <c r="W19" s="126">
        <v>5931.009</v>
      </c>
      <c r="X19" s="126">
        <v>6401.7979999999998</v>
      </c>
      <c r="Y19" s="126">
        <v>10019.624</v>
      </c>
      <c r="Z19" s="126">
        <v>8818.2659999999996</v>
      </c>
      <c r="AA19" s="126">
        <v>9138.5540000000001</v>
      </c>
      <c r="AB19" s="126">
        <v>10606.56</v>
      </c>
      <c r="AC19" s="126">
        <v>6761</v>
      </c>
      <c r="AD19" s="1">
        <v>9937.7119999999995</v>
      </c>
      <c r="AE19" s="1">
        <v>7832.5469999999996</v>
      </c>
      <c r="AF19" s="1">
        <v>7840.9889999999996</v>
      </c>
      <c r="AG19" s="1">
        <v>8621.2569999999996</v>
      </c>
      <c r="AH19" s="1">
        <v>10464.966</v>
      </c>
      <c r="AI19" s="1">
        <v>13884.962</v>
      </c>
      <c r="AK19" s="1">
        <v>15789.34</v>
      </c>
      <c r="AL19" s="1">
        <v>17668.316999999999</v>
      </c>
    </row>
    <row r="20" spans="1:38" ht="12.75" customHeight="1">
      <c r="A20" s="1" t="s">
        <v>35</v>
      </c>
      <c r="B20" s="1">
        <f>1088+6845+45254</f>
        <v>53187</v>
      </c>
      <c r="C20" s="1">
        <f>1242+5018+47952+561</f>
        <v>54773</v>
      </c>
      <c r="D20" s="1">
        <f>1205+5850+44037+576</f>
        <v>51668</v>
      </c>
      <c r="I20" s="1">
        <f>3115.462+7346.544+53205.368+1601.735</f>
        <v>65269.109000000004</v>
      </c>
      <c r="J20" s="126">
        <v>68523.649999999994</v>
      </c>
      <c r="K20" s="1">
        <f>3751.584+7662.334+59897.203+8083.166</f>
        <v>79394.286999999997</v>
      </c>
      <c r="L20" s="1">
        <f>416.148+13932.198+58359.486</f>
        <v>72707.831999999995</v>
      </c>
      <c r="M20" s="1">
        <v>68733.373999999996</v>
      </c>
      <c r="N20" s="1">
        <f>29.556+8361.041+71499.423+0</f>
        <v>79890.01999999999</v>
      </c>
      <c r="O20" s="1">
        <v>82909.028000000006</v>
      </c>
      <c r="R20" s="18">
        <v>122892.06600000001</v>
      </c>
      <c r="S20" s="1">
        <v>130339.20600000001</v>
      </c>
      <c r="T20" s="1">
        <v>298470.875</v>
      </c>
      <c r="U20" s="1">
        <v>300995.76899999997</v>
      </c>
      <c r="V20" s="1">
        <v>182805.522</v>
      </c>
      <c r="W20" s="126">
        <v>76818.509999999995</v>
      </c>
      <c r="X20" s="126">
        <v>51700.220999999998</v>
      </c>
      <c r="Y20" s="126">
        <v>72795.332999999999</v>
      </c>
      <c r="Z20" s="126">
        <v>96103.315000000002</v>
      </c>
      <c r="AA20" s="126">
        <v>93139.337</v>
      </c>
      <c r="AB20" s="126">
        <v>87171.129000000001</v>
      </c>
      <c r="AC20" s="126">
        <v>102427</v>
      </c>
      <c r="AD20" s="1">
        <v>94306.182000000001</v>
      </c>
      <c r="AE20" s="1">
        <v>94569.5</v>
      </c>
      <c r="AF20" s="1">
        <v>58117.881999999998</v>
      </c>
      <c r="AG20" s="1">
        <v>86051.178</v>
      </c>
      <c r="AH20" s="1">
        <v>74600.520999999993</v>
      </c>
      <c r="AI20" s="1">
        <v>135011.00700000001</v>
      </c>
      <c r="AK20" s="1">
        <v>138942.878</v>
      </c>
      <c r="AL20" s="1">
        <v>92776.683000000005</v>
      </c>
    </row>
    <row r="21" spans="1:38" ht="12.75" customHeight="1">
      <c r="A21" s="1" t="s">
        <v>36</v>
      </c>
      <c r="B21" s="1">
        <f>1715+42+947</f>
        <v>2704</v>
      </c>
      <c r="C21" s="1">
        <f>0+84+2625+0</f>
        <v>2709</v>
      </c>
      <c r="D21" s="1">
        <f>0+186+2930+0</f>
        <v>3116</v>
      </c>
      <c r="I21" s="1">
        <f>0+306.426+3121.584+0</f>
        <v>3428.0099999999998</v>
      </c>
      <c r="J21" s="126">
        <v>3254.433</v>
      </c>
      <c r="K21" s="1">
        <f>340.612+4292.843</f>
        <v>4633.4549999999999</v>
      </c>
      <c r="L21" s="1">
        <f>232.564+3296.929</f>
        <v>3529.4929999999999</v>
      </c>
      <c r="M21" s="1">
        <v>3899.9180000000001</v>
      </c>
      <c r="N21" s="1">
        <f>0+289.923+5040.02+0</f>
        <v>5329.9430000000002</v>
      </c>
      <c r="O21" s="1">
        <v>4876.4129999999996</v>
      </c>
      <c r="R21" s="18">
        <v>7536.7629999999999</v>
      </c>
      <c r="S21" s="1">
        <v>8021.473</v>
      </c>
      <c r="T21" s="1">
        <v>13968.973</v>
      </c>
      <c r="U21" s="1">
        <v>14459.21</v>
      </c>
      <c r="V21" s="1">
        <v>14490.145</v>
      </c>
      <c r="W21" s="126">
        <v>14371.941999999999</v>
      </c>
      <c r="X21" s="126">
        <v>19105.741999999998</v>
      </c>
      <c r="Y21" s="126">
        <v>25035.758000000002</v>
      </c>
      <c r="Z21" s="126">
        <v>36510.364000000001</v>
      </c>
      <c r="AA21" s="126">
        <v>22093.330999999998</v>
      </c>
      <c r="AB21" s="126">
        <v>26020.657999999999</v>
      </c>
      <c r="AC21" s="126">
        <v>48125</v>
      </c>
      <c r="AD21" s="1">
        <v>65448.754000000001</v>
      </c>
      <c r="AE21" s="1">
        <v>37389.379999999997</v>
      </c>
      <c r="AF21" s="1">
        <v>31534.468000000001</v>
      </c>
      <c r="AG21" s="1">
        <v>24486.602999999999</v>
      </c>
      <c r="AH21" s="1">
        <v>24698.86</v>
      </c>
      <c r="AI21" s="1">
        <v>36463.055999999997</v>
      </c>
      <c r="AK21" s="1">
        <v>26738.819</v>
      </c>
      <c r="AL21" s="1">
        <v>27492.678</v>
      </c>
    </row>
    <row r="22" spans="1:38" ht="12.75" customHeight="1">
      <c r="A22" s="27" t="s">
        <v>37</v>
      </c>
      <c r="B22" s="27">
        <f>194+677</f>
        <v>871</v>
      </c>
      <c r="C22" s="27">
        <f>0+190+666</f>
        <v>856</v>
      </c>
      <c r="D22" s="27">
        <f>0+185+1108+0</f>
        <v>1293</v>
      </c>
      <c r="E22" s="27"/>
      <c r="F22" s="27"/>
      <c r="G22" s="27"/>
      <c r="H22" s="27"/>
      <c r="I22" s="27">
        <f>0+253.393+481.245+0</f>
        <v>734.63800000000003</v>
      </c>
      <c r="J22" s="127">
        <v>913.34100000000001</v>
      </c>
      <c r="K22" s="27">
        <f>152+277+1175</f>
        <v>1604</v>
      </c>
      <c r="L22" s="27">
        <f>229.652+494.666</f>
        <v>724.31799999999998</v>
      </c>
      <c r="M22" s="27">
        <v>991.19799999999998</v>
      </c>
      <c r="N22" s="27">
        <f>0+232.312+727.84+0</f>
        <v>960.15200000000004</v>
      </c>
      <c r="O22" s="27">
        <v>1338.23714</v>
      </c>
      <c r="P22" s="27"/>
      <c r="Q22" s="27"/>
      <c r="R22" s="27">
        <v>1158.924</v>
      </c>
      <c r="S22" s="27">
        <v>1941.4639999999999</v>
      </c>
      <c r="T22" s="27">
        <v>772.84199999999998</v>
      </c>
      <c r="U22" s="27">
        <v>1314.3610000000001</v>
      </c>
      <c r="V22" s="27">
        <v>1027.6389999999999</v>
      </c>
      <c r="W22" s="127">
        <v>5919.2219999999998</v>
      </c>
      <c r="X22" s="127">
        <v>9480.5069999999996</v>
      </c>
      <c r="Y22" s="127">
        <v>14116.157999999999</v>
      </c>
      <c r="Z22" s="127">
        <v>7803.2809999999999</v>
      </c>
      <c r="AA22" s="127">
        <v>6224.4889999999996</v>
      </c>
      <c r="AB22" s="127">
        <v>18628.365000000002</v>
      </c>
      <c r="AC22" s="127">
        <v>13518</v>
      </c>
      <c r="AD22" s="27">
        <v>29027.305</v>
      </c>
      <c r="AE22" s="27">
        <v>14019.286</v>
      </c>
      <c r="AF22" s="27">
        <v>5854.4579999999996</v>
      </c>
      <c r="AG22" s="27">
        <v>5358.2340000000004</v>
      </c>
      <c r="AH22" s="27">
        <v>5241.95</v>
      </c>
      <c r="AI22" s="27">
        <v>20126.420999999998</v>
      </c>
      <c r="AJ22" s="27"/>
      <c r="AK22" s="1">
        <v>6502.18</v>
      </c>
      <c r="AL22" s="1">
        <v>8214.491</v>
      </c>
    </row>
    <row r="23" spans="1:38" ht="12.75" customHeight="1">
      <c r="A23" s="6" t="s">
        <v>38</v>
      </c>
      <c r="B23" s="51">
        <f>SUM(B25:B37)</f>
        <v>0</v>
      </c>
      <c r="C23" s="51">
        <f t="shared" ref="C23:AE23" si="14">SUM(C25:C37)</f>
        <v>0</v>
      </c>
      <c r="D23" s="51">
        <f t="shared" si="14"/>
        <v>0</v>
      </c>
      <c r="E23" s="51">
        <f t="shared" si="14"/>
        <v>0</v>
      </c>
      <c r="F23" s="51">
        <f t="shared" si="14"/>
        <v>0</v>
      </c>
      <c r="G23" s="51">
        <f t="shared" si="14"/>
        <v>0</v>
      </c>
      <c r="H23" s="51">
        <f t="shared" si="14"/>
        <v>0</v>
      </c>
      <c r="I23" s="51">
        <f t="shared" si="14"/>
        <v>0</v>
      </c>
      <c r="J23" s="51">
        <f t="shared" si="14"/>
        <v>228764.75899999999</v>
      </c>
      <c r="K23" s="51">
        <f t="shared" si="14"/>
        <v>0</v>
      </c>
      <c r="L23" s="51">
        <f t="shared" si="14"/>
        <v>0</v>
      </c>
      <c r="M23" s="51">
        <f t="shared" si="14"/>
        <v>292226.66700000002</v>
      </c>
      <c r="N23" s="51">
        <f t="shared" si="14"/>
        <v>0</v>
      </c>
      <c r="O23" s="51">
        <f t="shared" si="14"/>
        <v>332590.48249000002</v>
      </c>
      <c r="P23" s="51">
        <f t="shared" si="14"/>
        <v>0</v>
      </c>
      <c r="Q23" s="51">
        <f t="shared" si="14"/>
        <v>0</v>
      </c>
      <c r="R23" s="51">
        <f t="shared" si="14"/>
        <v>355233.44900000002</v>
      </c>
      <c r="S23" s="51">
        <f t="shared" si="14"/>
        <v>360540.97</v>
      </c>
      <c r="T23" s="51">
        <f t="shared" si="14"/>
        <v>415250.45999999996</v>
      </c>
      <c r="U23" s="51">
        <f t="shared" si="14"/>
        <v>390732.6</v>
      </c>
      <c r="V23" s="51">
        <f t="shared" si="14"/>
        <v>462001.86200000002</v>
      </c>
      <c r="W23" s="51">
        <f t="shared" si="14"/>
        <v>505035.35700000002</v>
      </c>
      <c r="X23" s="51">
        <f t="shared" si="14"/>
        <v>574520.71500000008</v>
      </c>
      <c r="Y23" s="51">
        <f t="shared" si="14"/>
        <v>663853.18400000001</v>
      </c>
      <c r="Z23" s="51">
        <f t="shared" si="14"/>
        <v>668102.00500000012</v>
      </c>
      <c r="AA23" s="51">
        <f t="shared" si="14"/>
        <v>624774.95900000015</v>
      </c>
      <c r="AB23" s="51">
        <f t="shared" si="14"/>
        <v>671083.90700000001</v>
      </c>
      <c r="AC23" s="51">
        <f t="shared" si="14"/>
        <v>727531</v>
      </c>
      <c r="AD23" s="51">
        <f t="shared" si="14"/>
        <v>759786.61800000002</v>
      </c>
      <c r="AE23" s="51">
        <f t="shared" si="14"/>
        <v>907755.18700000015</v>
      </c>
      <c r="AF23" s="51">
        <f>SUM(AF26:AF37)</f>
        <v>572644.74199999997</v>
      </c>
      <c r="AG23" s="51">
        <f>SUM(AG26:AG37)</f>
        <v>550188.81900000002</v>
      </c>
      <c r="AH23" s="51">
        <f>SUM(AH26:AH37)</f>
        <v>875767.26100000006</v>
      </c>
      <c r="AI23" s="51">
        <f>SUM(AI26:AI37)</f>
        <v>1133933.6259999997</v>
      </c>
      <c r="AJ23" s="51">
        <f t="shared" ref="AJ23:AK23" si="15">SUM(AJ26:AJ37)</f>
        <v>0</v>
      </c>
      <c r="AK23" s="131">
        <f t="shared" si="15"/>
        <v>1036625.426</v>
      </c>
      <c r="AL23" s="131">
        <f t="shared" ref="AL23" si="16">SUM(AL26:AL37)</f>
        <v>1238218.4690000003</v>
      </c>
    </row>
    <row r="24" spans="1:38" ht="12.75" customHeight="1">
      <c r="A24" s="6" t="s">
        <v>94</v>
      </c>
    </row>
    <row r="25" spans="1:38" ht="12.75" customHeight="1">
      <c r="A25" s="1" t="s">
        <v>39</v>
      </c>
      <c r="J25" s="126">
        <v>82.611000000000004</v>
      </c>
      <c r="M25" s="1">
        <v>91.191999999999993</v>
      </c>
      <c r="O25" s="1">
        <v>206.947</v>
      </c>
      <c r="R25" s="18">
        <v>100.355</v>
      </c>
      <c r="S25" s="1">
        <v>94.042000000000002</v>
      </c>
      <c r="T25" s="1">
        <v>1471.827</v>
      </c>
      <c r="U25" s="1">
        <v>1509.991</v>
      </c>
      <c r="V25" s="1">
        <v>1528.6769999999999</v>
      </c>
      <c r="W25" s="126">
        <v>141.50299999999999</v>
      </c>
      <c r="X25" s="126">
        <v>456.077</v>
      </c>
      <c r="Y25" s="126">
        <v>125.139</v>
      </c>
      <c r="Z25" s="126">
        <v>156.78200000000001</v>
      </c>
      <c r="AA25" s="126">
        <v>649.47500000000002</v>
      </c>
      <c r="AB25" s="126">
        <v>169.62</v>
      </c>
      <c r="AC25" s="126">
        <v>151</v>
      </c>
      <c r="AD25" s="1">
        <v>225.45400000000001</v>
      </c>
      <c r="AE25" s="1">
        <v>3047.297</v>
      </c>
      <c r="AG25" s="1">
        <v>0</v>
      </c>
      <c r="AH25" s="1">
        <v>122.121</v>
      </c>
      <c r="AI25" s="1">
        <v>84.466999999999999</v>
      </c>
      <c r="AK25" s="1">
        <v>138.75200000000001</v>
      </c>
      <c r="AL25" s="1">
        <v>48.091000000000001</v>
      </c>
    </row>
    <row r="26" spans="1:38" ht="12.75" customHeight="1">
      <c r="A26" s="1" t="s">
        <v>40</v>
      </c>
      <c r="J26" s="126">
        <v>13782.102000000001</v>
      </c>
      <c r="M26" s="1">
        <v>15688.821</v>
      </c>
      <c r="O26" s="1">
        <v>25333.031149999999</v>
      </c>
      <c r="R26" s="18">
        <v>31038.098000000002</v>
      </c>
      <c r="S26" s="1">
        <v>34524.69</v>
      </c>
      <c r="T26" s="1">
        <v>42605.694000000003</v>
      </c>
      <c r="U26" s="1">
        <v>63198.646000000001</v>
      </c>
      <c r="V26" s="1">
        <v>62422.936000000002</v>
      </c>
      <c r="W26" s="126">
        <v>65508.516000000003</v>
      </c>
      <c r="X26" s="126">
        <v>68851.517000000007</v>
      </c>
      <c r="Y26" s="126">
        <v>65943.981</v>
      </c>
      <c r="Z26" s="126">
        <v>21477.850999999999</v>
      </c>
      <c r="AA26" s="126">
        <v>25677.757000000001</v>
      </c>
      <c r="AB26" s="126">
        <v>23587.541000000001</v>
      </c>
      <c r="AC26" s="126">
        <v>26434</v>
      </c>
      <c r="AD26" s="1">
        <v>24244.194</v>
      </c>
      <c r="AE26" s="1">
        <v>26036.076000000001</v>
      </c>
      <c r="AF26" s="1">
        <v>15545.759</v>
      </c>
      <c r="AG26" s="1">
        <v>16548.061000000002</v>
      </c>
      <c r="AH26" s="1">
        <v>43244.665999999997</v>
      </c>
      <c r="AI26" s="1">
        <v>36331.839999999997</v>
      </c>
      <c r="AK26" s="1">
        <v>29900.66</v>
      </c>
      <c r="AL26" s="1">
        <v>30320.960999999999</v>
      </c>
    </row>
    <row r="27" spans="1:38" ht="12.75" customHeight="1">
      <c r="A27" s="1" t="s">
        <v>41</v>
      </c>
      <c r="J27" s="126">
        <v>132424.48000000001</v>
      </c>
      <c r="M27" s="1">
        <v>189121.943</v>
      </c>
      <c r="O27" s="1">
        <v>203087.01594000001</v>
      </c>
      <c r="R27" s="18">
        <v>184589.23199999999</v>
      </c>
      <c r="S27" s="1">
        <v>172774.22899999999</v>
      </c>
      <c r="T27" s="1">
        <v>188898.677</v>
      </c>
      <c r="U27" s="1">
        <v>182034.93400000001</v>
      </c>
      <c r="V27" s="1">
        <v>181702.769</v>
      </c>
      <c r="W27" s="126">
        <v>257082.117</v>
      </c>
      <c r="X27" s="126">
        <v>276358.19500000001</v>
      </c>
      <c r="Y27" s="126">
        <v>408245.59100000001</v>
      </c>
      <c r="Z27" s="126">
        <v>445366.16600000003</v>
      </c>
      <c r="AA27" s="126">
        <v>303875.217</v>
      </c>
      <c r="AB27" s="126">
        <v>258854.94099999999</v>
      </c>
      <c r="AC27" s="126">
        <v>417162</v>
      </c>
      <c r="AD27" s="1">
        <v>428914.33</v>
      </c>
      <c r="AE27" s="1">
        <v>453799.43699999998</v>
      </c>
      <c r="AF27" s="1">
        <v>303295.51</v>
      </c>
      <c r="AG27" s="1">
        <v>325012.61499999999</v>
      </c>
      <c r="AH27" s="1">
        <v>537892.70400000003</v>
      </c>
      <c r="AI27" s="1">
        <v>700354.73</v>
      </c>
      <c r="AK27" s="1">
        <v>722432.32799999998</v>
      </c>
      <c r="AL27" s="1">
        <v>808581.21299999999</v>
      </c>
    </row>
    <row r="28" spans="1:38" ht="12.75" customHeight="1">
      <c r="A28" s="1" t="s">
        <v>42</v>
      </c>
      <c r="J28" s="126">
        <v>4611.0529999999999</v>
      </c>
      <c r="M28" s="1">
        <v>3570.2559999999999</v>
      </c>
      <c r="O28" s="1">
        <v>4207.058</v>
      </c>
      <c r="R28" s="18">
        <v>8758.9120000000003</v>
      </c>
      <c r="S28" s="1">
        <v>7915.71</v>
      </c>
      <c r="T28" s="1">
        <v>16788.883999999998</v>
      </c>
      <c r="U28" s="1">
        <v>17523.562000000002</v>
      </c>
      <c r="V28" s="1">
        <v>12042.127</v>
      </c>
      <c r="W28" s="126">
        <v>13708.079</v>
      </c>
      <c r="X28" s="126">
        <v>28405.584999999999</v>
      </c>
      <c r="Y28" s="126">
        <v>24059.861000000001</v>
      </c>
      <c r="Z28" s="126">
        <v>28294.706999999999</v>
      </c>
      <c r="AA28" s="126">
        <v>53345.692000000003</v>
      </c>
      <c r="AB28" s="126">
        <v>72608.243000000002</v>
      </c>
      <c r="AC28" s="126">
        <v>42141</v>
      </c>
      <c r="AD28" s="1">
        <v>34121.321000000004</v>
      </c>
      <c r="AE28" s="1">
        <v>35327.777000000002</v>
      </c>
      <c r="AF28" s="1">
        <v>13470.731</v>
      </c>
      <c r="AG28" s="1">
        <v>11723.71</v>
      </c>
      <c r="AH28" s="1">
        <v>64583.218999999997</v>
      </c>
      <c r="AI28" s="1">
        <v>64420.646000000001</v>
      </c>
      <c r="AK28" s="1">
        <v>70598.25</v>
      </c>
      <c r="AL28" s="1">
        <v>78193.755000000005</v>
      </c>
    </row>
    <row r="29" spans="1:38" ht="12.75" customHeight="1">
      <c r="A29" s="1" t="s">
        <v>43</v>
      </c>
      <c r="J29" s="126">
        <v>1771.703</v>
      </c>
      <c r="M29" s="1">
        <v>2638.9870000000001</v>
      </c>
      <c r="O29" s="1">
        <v>2765.7559999999999</v>
      </c>
      <c r="R29" s="18">
        <v>3344.2849999999999</v>
      </c>
      <c r="S29" s="1">
        <v>3068.27</v>
      </c>
      <c r="T29" s="1">
        <v>36992.828000000001</v>
      </c>
      <c r="U29" s="1">
        <v>2884.3780000000002</v>
      </c>
      <c r="V29" s="1">
        <v>3230.5630000000001</v>
      </c>
      <c r="W29" s="126">
        <v>2238.4749999999999</v>
      </c>
      <c r="X29" s="126">
        <v>5373.799</v>
      </c>
      <c r="Y29" s="126">
        <v>5261.5510000000004</v>
      </c>
      <c r="Z29" s="126">
        <v>7808.7219999999998</v>
      </c>
      <c r="AA29" s="126">
        <v>22924.234</v>
      </c>
      <c r="AB29" s="126">
        <v>6222.8710000000001</v>
      </c>
      <c r="AC29" s="126">
        <v>5908</v>
      </c>
      <c r="AD29" s="1">
        <v>6139.8140000000003</v>
      </c>
      <c r="AE29" s="1">
        <v>7066.8329999999996</v>
      </c>
      <c r="AF29" s="1">
        <v>6387.3580000000002</v>
      </c>
      <c r="AG29" s="1">
        <v>6133.8270000000002</v>
      </c>
      <c r="AH29" s="1">
        <v>6094.0129999999999</v>
      </c>
      <c r="AI29" s="1">
        <v>8056.1469999999999</v>
      </c>
      <c r="AK29" s="1">
        <v>6213.8959999999997</v>
      </c>
      <c r="AL29" s="1">
        <v>4537.9309999999996</v>
      </c>
    </row>
    <row r="30" spans="1:38" ht="12.75" customHeight="1">
      <c r="A30" s="1" t="s">
        <v>44</v>
      </c>
      <c r="J30" s="126">
        <v>4148.866</v>
      </c>
      <c r="M30" s="1">
        <v>3658.3980000000001</v>
      </c>
      <c r="O30" s="1">
        <v>5392.0450000000001</v>
      </c>
      <c r="R30" s="18">
        <v>10388.120000000001</v>
      </c>
      <c r="S30" s="1">
        <v>8133.9380000000001</v>
      </c>
      <c r="T30" s="1">
        <v>1198.3019999999999</v>
      </c>
      <c r="U30" s="1">
        <v>1483.223</v>
      </c>
      <c r="V30" s="1">
        <v>7188.3090000000002</v>
      </c>
      <c r="W30" s="126">
        <v>7113.4740000000002</v>
      </c>
      <c r="X30" s="126">
        <v>7050.8760000000002</v>
      </c>
      <c r="Y30" s="126">
        <v>9190.0130000000008</v>
      </c>
      <c r="Z30" s="126">
        <v>11780.701999999999</v>
      </c>
      <c r="AA30" s="126">
        <v>11497.168</v>
      </c>
      <c r="AB30" s="126">
        <v>10645.539000000001</v>
      </c>
      <c r="AC30" s="126">
        <v>11634</v>
      </c>
      <c r="AD30" s="1">
        <v>15137.874</v>
      </c>
      <c r="AE30" s="1">
        <v>14793.111000000001</v>
      </c>
      <c r="AF30" s="1">
        <v>19200.151999999998</v>
      </c>
      <c r="AG30" s="1">
        <v>16222.445</v>
      </c>
      <c r="AH30" s="1">
        <v>15396.457</v>
      </c>
      <c r="AI30" s="1">
        <v>16206.391</v>
      </c>
      <c r="AK30" s="1">
        <v>19514.382000000001</v>
      </c>
      <c r="AL30" s="1">
        <v>26543.513999999999</v>
      </c>
    </row>
    <row r="31" spans="1:38" ht="12.75" customHeight="1">
      <c r="A31" s="1" t="s">
        <v>45</v>
      </c>
      <c r="J31" s="126">
        <v>1479.287</v>
      </c>
      <c r="M31" s="1">
        <v>3209.3220000000001</v>
      </c>
      <c r="O31" s="1">
        <v>6060.5484399999996</v>
      </c>
      <c r="R31" s="24">
        <v>8040.7719999999999</v>
      </c>
      <c r="S31" s="1">
        <v>10674.093999999999</v>
      </c>
      <c r="T31" s="1">
        <v>13075.19</v>
      </c>
      <c r="U31" s="1">
        <v>7595.5010000000002</v>
      </c>
      <c r="V31" s="1">
        <v>8901.1029999999992</v>
      </c>
      <c r="W31" s="126">
        <v>7959.0129999999999</v>
      </c>
      <c r="X31" s="126">
        <v>9584.4650000000001</v>
      </c>
      <c r="Y31" s="126">
        <v>7808.2039999999997</v>
      </c>
      <c r="Z31" s="126">
        <v>6713.1180000000004</v>
      </c>
      <c r="AA31" s="126">
        <v>6782.7169999999996</v>
      </c>
      <c r="AB31" s="126">
        <v>15419.102999999999</v>
      </c>
      <c r="AC31" s="126">
        <v>8395</v>
      </c>
      <c r="AD31" s="1">
        <v>10495.901</v>
      </c>
      <c r="AE31" s="1">
        <v>14305.54</v>
      </c>
      <c r="AF31" s="1">
        <v>9878.4470000000001</v>
      </c>
      <c r="AG31" s="1">
        <v>9139.7620000000006</v>
      </c>
      <c r="AH31" s="1">
        <v>8966.7009999999991</v>
      </c>
      <c r="AI31" s="1">
        <v>8652.0789999999997</v>
      </c>
      <c r="AK31" s="1">
        <v>7542.2939999999999</v>
      </c>
      <c r="AL31" s="1">
        <v>12667.907999999999</v>
      </c>
    </row>
    <row r="32" spans="1:38" ht="12.75" customHeight="1">
      <c r="A32" s="1" t="s">
        <v>46</v>
      </c>
      <c r="J32" s="126">
        <v>2760.8409999999999</v>
      </c>
      <c r="M32" s="1">
        <v>2777.61</v>
      </c>
      <c r="O32" s="1">
        <v>3875</v>
      </c>
      <c r="R32" s="24">
        <v>5238</v>
      </c>
      <c r="S32" s="1">
        <v>6290</v>
      </c>
      <c r="T32" s="1">
        <v>4166</v>
      </c>
      <c r="U32" s="1">
        <v>4726</v>
      </c>
      <c r="V32" s="1">
        <v>603</v>
      </c>
      <c r="W32" s="126">
        <v>550</v>
      </c>
      <c r="X32" s="126">
        <v>1083</v>
      </c>
      <c r="Y32" s="126">
        <v>312</v>
      </c>
      <c r="Z32" s="126">
        <v>287</v>
      </c>
      <c r="AA32" s="126">
        <v>9049.7999999999993</v>
      </c>
      <c r="AB32" s="126">
        <v>64017</v>
      </c>
      <c r="AC32" s="126">
        <v>5480</v>
      </c>
      <c r="AD32" s="1">
        <v>5574</v>
      </c>
      <c r="AE32" s="1">
        <v>12868</v>
      </c>
      <c r="AF32" s="1">
        <v>2442</v>
      </c>
      <c r="AG32" s="1">
        <v>7321</v>
      </c>
      <c r="AH32" s="1">
        <v>6011</v>
      </c>
      <c r="AI32" s="1">
        <v>7389</v>
      </c>
      <c r="AK32" s="1">
        <v>4817</v>
      </c>
      <c r="AL32" s="1">
        <v>6939</v>
      </c>
    </row>
    <row r="33" spans="1:38" ht="12.75" customHeight="1">
      <c r="A33" s="1" t="s">
        <v>47</v>
      </c>
      <c r="J33" s="126">
        <v>10301.239</v>
      </c>
      <c r="M33" s="1">
        <v>15385.143</v>
      </c>
      <c r="O33" s="1">
        <v>16930.282999999999</v>
      </c>
      <c r="R33" s="24">
        <v>16225.183000000001</v>
      </c>
      <c r="S33" s="1">
        <v>10904.297</v>
      </c>
      <c r="T33" s="1">
        <v>18390.098000000002</v>
      </c>
      <c r="U33" s="1">
        <v>21326.710999999999</v>
      </c>
      <c r="V33" s="1">
        <v>26892.012999999999</v>
      </c>
      <c r="W33" s="126">
        <v>31760.955999999998</v>
      </c>
      <c r="X33" s="126">
        <v>26990.763999999999</v>
      </c>
      <c r="Y33" s="126">
        <v>33752.781999999999</v>
      </c>
      <c r="Z33" s="126">
        <v>25229.826000000001</v>
      </c>
      <c r="AA33" s="126">
        <v>66920.928</v>
      </c>
      <c r="AB33" s="126">
        <v>26623.751</v>
      </c>
      <c r="AC33" s="126">
        <v>28604</v>
      </c>
      <c r="AD33" s="1">
        <v>35971.171000000002</v>
      </c>
      <c r="AE33" s="1">
        <v>73612.414999999994</v>
      </c>
      <c r="AF33" s="1">
        <v>29096.699000000001</v>
      </c>
      <c r="AG33" s="1">
        <v>27234.803</v>
      </c>
      <c r="AH33" s="1">
        <v>21742.44</v>
      </c>
      <c r="AI33" s="1">
        <v>23877.206999999999</v>
      </c>
      <c r="AK33" s="1">
        <v>29884.853999999999</v>
      </c>
      <c r="AL33" s="1">
        <v>97161.034</v>
      </c>
    </row>
    <row r="34" spans="1:38" ht="12.75" customHeight="1">
      <c r="A34" s="1" t="s">
        <v>48</v>
      </c>
      <c r="J34" s="126">
        <v>24055.885999999999</v>
      </c>
      <c r="M34" s="1">
        <v>27891.406999999999</v>
      </c>
      <c r="O34" s="1">
        <v>30278.09619</v>
      </c>
      <c r="R34" s="18">
        <v>44292.14</v>
      </c>
      <c r="S34" s="1">
        <v>52596.008999999998</v>
      </c>
      <c r="T34" s="1">
        <v>42858.442999999999</v>
      </c>
      <c r="U34" s="1">
        <v>39828.366999999998</v>
      </c>
      <c r="V34" s="1">
        <v>54138.678</v>
      </c>
      <c r="W34" s="126">
        <v>37481.618000000002</v>
      </c>
      <c r="X34" s="126">
        <v>38891.114999999998</v>
      </c>
      <c r="Y34" s="126">
        <v>40075.684000000001</v>
      </c>
      <c r="Z34" s="126">
        <v>42241.728000000003</v>
      </c>
      <c r="AA34" s="126">
        <v>44889.737999999998</v>
      </c>
      <c r="AB34" s="126">
        <v>81209.172999999995</v>
      </c>
      <c r="AC34" s="126">
        <v>100620</v>
      </c>
      <c r="AD34" s="1">
        <v>86182.956999999995</v>
      </c>
      <c r="AE34" s="1">
        <v>121744.13499999999</v>
      </c>
      <c r="AF34" s="1">
        <v>97516.917000000001</v>
      </c>
      <c r="AG34" s="1">
        <v>55149.201999999997</v>
      </c>
      <c r="AH34" s="1">
        <v>55123.824000000001</v>
      </c>
      <c r="AI34" s="1">
        <v>60393.307999999997</v>
      </c>
      <c r="AK34" s="1">
        <v>54727.646999999997</v>
      </c>
      <c r="AL34" s="1">
        <v>55582.387000000002</v>
      </c>
    </row>
    <row r="35" spans="1:38" ht="12.75" customHeight="1">
      <c r="A35" s="1" t="s">
        <v>49</v>
      </c>
      <c r="J35" s="126">
        <v>5473.9520000000002</v>
      </c>
      <c r="M35" s="1">
        <v>5696.5739999999996</v>
      </c>
      <c r="O35" s="1">
        <v>7034.7470000000003</v>
      </c>
      <c r="R35" s="18">
        <v>7764.52</v>
      </c>
      <c r="S35" s="1">
        <v>8402.5249999999996</v>
      </c>
      <c r="T35" s="1">
        <v>6739.5129999999999</v>
      </c>
      <c r="U35" s="1">
        <v>5772.183</v>
      </c>
      <c r="V35" s="1">
        <v>7955.875</v>
      </c>
      <c r="W35" s="126">
        <v>8010.0540000000001</v>
      </c>
      <c r="X35" s="126">
        <v>8605.5550000000003</v>
      </c>
      <c r="Y35" s="126">
        <v>9532.16</v>
      </c>
      <c r="Z35" s="126">
        <v>9206.7080000000005</v>
      </c>
      <c r="AA35" s="126">
        <v>9303.3809999999994</v>
      </c>
      <c r="AB35" s="126">
        <v>10716.375</v>
      </c>
      <c r="AC35" s="126">
        <v>10275</v>
      </c>
      <c r="AD35" s="1">
        <v>6763.9059999999999</v>
      </c>
      <c r="AE35" s="1">
        <v>9379.018</v>
      </c>
      <c r="AF35" s="1">
        <v>5762.143</v>
      </c>
      <c r="AG35" s="1">
        <v>6405.549</v>
      </c>
      <c r="AH35" s="1">
        <v>5548.1049999999996</v>
      </c>
      <c r="AI35" s="1">
        <v>6010.482</v>
      </c>
      <c r="AK35" s="1">
        <v>6672.4480000000003</v>
      </c>
      <c r="AL35" s="1">
        <v>11073.724</v>
      </c>
    </row>
    <row r="36" spans="1:38" ht="12.75" customHeight="1">
      <c r="A36" s="1" t="s">
        <v>50</v>
      </c>
      <c r="J36" s="126">
        <v>25557.198</v>
      </c>
      <c r="M36" s="1">
        <v>20253.531999999999</v>
      </c>
      <c r="O36" s="1">
        <v>25495.155770000001</v>
      </c>
      <c r="R36" s="18">
        <v>32589.837</v>
      </c>
      <c r="S36" s="1">
        <v>40231.315999999999</v>
      </c>
      <c r="T36" s="1">
        <v>39124.999000000003</v>
      </c>
      <c r="U36" s="1">
        <v>40027.110999999997</v>
      </c>
      <c r="V36" s="1">
        <v>90922.607999999993</v>
      </c>
      <c r="W36" s="126">
        <v>55172.906000000003</v>
      </c>
      <c r="X36" s="126">
        <v>94887.812999999995</v>
      </c>
      <c r="Y36" s="126">
        <v>50410.538</v>
      </c>
      <c r="Z36" s="126">
        <v>55615.733</v>
      </c>
      <c r="AA36" s="126">
        <v>62198.542000000001</v>
      </c>
      <c r="AB36" s="126">
        <v>97466.87</v>
      </c>
      <c r="AC36" s="126">
        <v>65201</v>
      </c>
      <c r="AD36" s="1">
        <v>94904.027000000002</v>
      </c>
      <c r="AE36" s="1">
        <v>120787.455</v>
      </c>
      <c r="AF36" s="1">
        <v>56931.63</v>
      </c>
      <c r="AG36" s="1">
        <v>54380.964999999997</v>
      </c>
      <c r="AH36" s="1">
        <v>98984.4</v>
      </c>
      <c r="AI36" s="1">
        <v>189424.97099999999</v>
      </c>
      <c r="AK36" s="1">
        <v>78106.414999999994</v>
      </c>
      <c r="AL36" s="1">
        <v>99877.782000000007</v>
      </c>
    </row>
    <row r="37" spans="1:38" ht="12.75" customHeight="1">
      <c r="A37" s="27" t="s">
        <v>51</v>
      </c>
      <c r="B37" s="27"/>
      <c r="C37" s="27"/>
      <c r="D37" s="27"/>
      <c r="E37" s="27"/>
      <c r="F37" s="27"/>
      <c r="G37" s="27"/>
      <c r="H37" s="27"/>
      <c r="I37" s="27"/>
      <c r="J37" s="127">
        <v>2315.5410000000002</v>
      </c>
      <c r="K37" s="27"/>
      <c r="L37" s="27"/>
      <c r="M37" s="27">
        <v>2243.482</v>
      </c>
      <c r="N37" s="27"/>
      <c r="O37" s="27">
        <v>1924.799</v>
      </c>
      <c r="P37" s="27"/>
      <c r="Q37" s="27"/>
      <c r="R37" s="37">
        <v>2863.9949999999999</v>
      </c>
      <c r="S37" s="27">
        <v>4931.8500000000004</v>
      </c>
      <c r="T37" s="27">
        <v>2940.0050000000001</v>
      </c>
      <c r="U37" s="27">
        <v>2821.9929999999999</v>
      </c>
      <c r="V37" s="27">
        <v>4473.2039999999997</v>
      </c>
      <c r="W37" s="127">
        <v>18308.646000000001</v>
      </c>
      <c r="X37" s="127">
        <v>7981.9539999999997</v>
      </c>
      <c r="Y37" s="127">
        <v>9135.68</v>
      </c>
      <c r="Z37" s="127">
        <v>13922.962</v>
      </c>
      <c r="AA37" s="127">
        <v>7660.31</v>
      </c>
      <c r="AB37" s="127">
        <v>3542.88</v>
      </c>
      <c r="AC37" s="127">
        <v>5526</v>
      </c>
      <c r="AD37" s="27">
        <v>11111.669</v>
      </c>
      <c r="AE37" s="27">
        <v>14988.093000000001</v>
      </c>
      <c r="AF37" s="27">
        <v>13117.396000000001</v>
      </c>
      <c r="AG37" s="27">
        <v>14916.88</v>
      </c>
      <c r="AH37" s="27">
        <v>12179.732</v>
      </c>
      <c r="AI37" s="27">
        <v>12816.825000000001</v>
      </c>
      <c r="AJ37" s="27"/>
      <c r="AK37" s="1">
        <v>6215.2520000000004</v>
      </c>
      <c r="AL37" s="1">
        <v>6739.26</v>
      </c>
    </row>
    <row r="38" spans="1:38" ht="12.75" customHeight="1">
      <c r="A38" s="6" t="s">
        <v>52</v>
      </c>
      <c r="B38" s="51">
        <f>SUM(B40:B51)</f>
        <v>0</v>
      </c>
      <c r="C38" s="51">
        <f t="shared" ref="C38:AK38" si="17">SUM(C40:C51)</f>
        <v>0</v>
      </c>
      <c r="D38" s="51">
        <f t="shared" si="17"/>
        <v>0</v>
      </c>
      <c r="E38" s="51">
        <f t="shared" si="17"/>
        <v>0</v>
      </c>
      <c r="F38" s="51">
        <f t="shared" si="17"/>
        <v>0</v>
      </c>
      <c r="G38" s="51">
        <f t="shared" si="17"/>
        <v>0</v>
      </c>
      <c r="H38" s="51">
        <f t="shared" si="17"/>
        <v>0</v>
      </c>
      <c r="I38" s="51">
        <f t="shared" si="17"/>
        <v>0</v>
      </c>
      <c r="J38" s="51">
        <f t="shared" si="17"/>
        <v>236615.46100000001</v>
      </c>
      <c r="K38" s="51">
        <f t="shared" si="17"/>
        <v>0</v>
      </c>
      <c r="L38" s="51">
        <f t="shared" si="17"/>
        <v>0</v>
      </c>
      <c r="M38" s="51">
        <f t="shared" si="17"/>
        <v>279338.80199999997</v>
      </c>
      <c r="N38" s="51">
        <f t="shared" si="17"/>
        <v>0</v>
      </c>
      <c r="O38" s="51">
        <f t="shared" si="17"/>
        <v>334672.57031000004</v>
      </c>
      <c r="P38" s="51">
        <f t="shared" si="17"/>
        <v>0</v>
      </c>
      <c r="Q38" s="51">
        <f t="shared" si="17"/>
        <v>0</v>
      </c>
      <c r="R38" s="51">
        <f t="shared" si="17"/>
        <v>430440.98800000001</v>
      </c>
      <c r="S38" s="51">
        <f t="shared" si="17"/>
        <v>551441.02899999998</v>
      </c>
      <c r="T38" s="51">
        <f t="shared" si="17"/>
        <v>385287.74800000002</v>
      </c>
      <c r="U38" s="51">
        <f t="shared" si="17"/>
        <v>240518.49999999997</v>
      </c>
      <c r="V38" s="51">
        <f t="shared" si="17"/>
        <v>265798.89</v>
      </c>
      <c r="W38" s="51">
        <f t="shared" si="17"/>
        <v>271451.12099999998</v>
      </c>
      <c r="X38" s="51">
        <f t="shared" si="17"/>
        <v>288572.87000000005</v>
      </c>
      <c r="Y38" s="51">
        <f t="shared" si="17"/>
        <v>302890.03400000004</v>
      </c>
      <c r="Z38" s="51">
        <f t="shared" si="17"/>
        <v>301427.47599999997</v>
      </c>
      <c r="AA38" s="51">
        <f t="shared" si="17"/>
        <v>289026.35400000005</v>
      </c>
      <c r="AB38" s="51">
        <f t="shared" si="17"/>
        <v>449845.43400000001</v>
      </c>
      <c r="AC38" s="51">
        <f t="shared" si="17"/>
        <v>485810</v>
      </c>
      <c r="AD38" s="51">
        <f t="shared" si="17"/>
        <v>393252.17800000007</v>
      </c>
      <c r="AE38" s="51">
        <f t="shared" si="17"/>
        <v>428121.06899999996</v>
      </c>
      <c r="AF38" s="51">
        <f t="shared" si="17"/>
        <v>294562.20299999998</v>
      </c>
      <c r="AG38" s="51">
        <f t="shared" si="17"/>
        <v>378075.52999999991</v>
      </c>
      <c r="AH38" s="51">
        <f t="shared" si="17"/>
        <v>433859.745</v>
      </c>
      <c r="AI38" s="51">
        <f t="shared" si="17"/>
        <v>481096.79499999993</v>
      </c>
      <c r="AJ38" s="51">
        <f t="shared" si="17"/>
        <v>0</v>
      </c>
      <c r="AK38" s="131">
        <f t="shared" si="17"/>
        <v>501870.19700000004</v>
      </c>
      <c r="AL38" s="131">
        <f t="shared" ref="AL38" si="18">SUM(AL40:AL51)</f>
        <v>515522.38399999996</v>
      </c>
    </row>
    <row r="39" spans="1:38" ht="12.75" customHeight="1">
      <c r="A39" s="6" t="s">
        <v>94</v>
      </c>
    </row>
    <row r="40" spans="1:38" ht="12.75" customHeight="1">
      <c r="A40" s="1" t="s">
        <v>53</v>
      </c>
      <c r="J40" s="126">
        <v>56886.468000000001</v>
      </c>
      <c r="M40" s="1">
        <v>61905.504999999997</v>
      </c>
      <c r="O40" s="1">
        <v>85297.170750000005</v>
      </c>
      <c r="R40" s="18">
        <v>94762.217999999993</v>
      </c>
      <c r="S40" s="1">
        <v>129925.452</v>
      </c>
      <c r="T40" s="1">
        <v>74590.016000000003</v>
      </c>
      <c r="U40" s="1">
        <v>63157.65</v>
      </c>
      <c r="V40" s="1">
        <v>88944.221000000005</v>
      </c>
      <c r="W40" s="126">
        <v>80779.09</v>
      </c>
      <c r="X40" s="126">
        <v>78903.808000000005</v>
      </c>
      <c r="Y40" s="126">
        <v>78565.558999999994</v>
      </c>
      <c r="Z40" s="126">
        <v>75298.619000000006</v>
      </c>
      <c r="AA40" s="126">
        <v>77331.56</v>
      </c>
      <c r="AB40" s="126">
        <v>92800.801999999996</v>
      </c>
      <c r="AC40" s="126">
        <v>90223</v>
      </c>
      <c r="AD40" s="1">
        <v>91035.293999999994</v>
      </c>
      <c r="AE40" s="1">
        <v>96821.005999999994</v>
      </c>
      <c r="AF40" s="1">
        <v>49917.207000000002</v>
      </c>
      <c r="AG40" s="1">
        <v>54203.934999999998</v>
      </c>
      <c r="AH40" s="1">
        <v>89588.142999999996</v>
      </c>
      <c r="AI40" s="1">
        <v>105001.514</v>
      </c>
      <c r="AK40" s="1">
        <v>113308.401</v>
      </c>
      <c r="AL40" s="1">
        <v>132610.486</v>
      </c>
    </row>
    <row r="41" spans="1:38" ht="12.75" customHeight="1">
      <c r="A41" s="1" t="s">
        <v>54</v>
      </c>
      <c r="J41" s="126">
        <v>2727.7339999999999</v>
      </c>
      <c r="M41" s="1">
        <v>3661.0880000000002</v>
      </c>
      <c r="O41" s="1">
        <v>5759.08</v>
      </c>
      <c r="R41" s="18">
        <v>3777.4949999999999</v>
      </c>
      <c r="S41" s="1">
        <v>6466.4920000000002</v>
      </c>
      <c r="T41" s="1">
        <v>6797.598</v>
      </c>
      <c r="U41" s="1">
        <v>8601.741</v>
      </c>
      <c r="V41" s="1">
        <v>2467.8330000000001</v>
      </c>
      <c r="W41" s="126">
        <v>2251.9589999999998</v>
      </c>
      <c r="X41" s="126">
        <v>3533.1979999999999</v>
      </c>
      <c r="Y41" s="126">
        <v>27775.508999999998</v>
      </c>
      <c r="Z41" s="126">
        <v>7405.1120000000001</v>
      </c>
      <c r="AA41" s="126">
        <v>3541.0079999999998</v>
      </c>
      <c r="AB41" s="126">
        <v>5344.5360000000001</v>
      </c>
      <c r="AC41" s="126">
        <v>6636</v>
      </c>
      <c r="AD41" s="1">
        <v>11699.467000000001</v>
      </c>
      <c r="AE41" s="1">
        <v>11067.197</v>
      </c>
      <c r="AF41" s="1">
        <v>8034.7730000000001</v>
      </c>
      <c r="AG41" s="1">
        <v>12982.66</v>
      </c>
      <c r="AH41" s="1">
        <v>8971.5069999999996</v>
      </c>
      <c r="AI41" s="1">
        <v>8476.598</v>
      </c>
      <c r="AK41" s="1">
        <v>16405.07</v>
      </c>
      <c r="AL41" s="1">
        <v>19611.132000000001</v>
      </c>
    </row>
    <row r="42" spans="1:38" ht="12.75" customHeight="1">
      <c r="A42" s="1" t="s">
        <v>55</v>
      </c>
      <c r="J42" s="126">
        <v>40287.262000000002</v>
      </c>
      <c r="M42" s="1">
        <v>44666.610999999997</v>
      </c>
      <c r="O42" s="1">
        <v>46883.987000000001</v>
      </c>
      <c r="R42" s="18">
        <v>82274.894</v>
      </c>
      <c r="S42" s="1">
        <v>72296.36</v>
      </c>
      <c r="T42" s="1">
        <v>73026.870999999999</v>
      </c>
      <c r="U42" s="1">
        <v>28747.992999999999</v>
      </c>
      <c r="V42" s="1">
        <v>32344.991000000002</v>
      </c>
      <c r="W42" s="126">
        <v>35104.353999999999</v>
      </c>
      <c r="X42" s="126">
        <v>41098.017</v>
      </c>
      <c r="Y42" s="126">
        <v>45093.023000000001</v>
      </c>
      <c r="Z42" s="126">
        <v>56620.451000000001</v>
      </c>
      <c r="AA42" s="126">
        <v>55717.360999999997</v>
      </c>
      <c r="AB42" s="126">
        <v>63190.478000000003</v>
      </c>
      <c r="AC42" s="126">
        <v>69825</v>
      </c>
      <c r="AD42" s="1">
        <v>73191.542000000001</v>
      </c>
      <c r="AE42" s="1">
        <v>74504.471000000005</v>
      </c>
      <c r="AF42" s="1">
        <v>63952.860999999997</v>
      </c>
      <c r="AG42" s="1">
        <v>77782.448999999993</v>
      </c>
      <c r="AH42" s="1">
        <v>88280.717999999993</v>
      </c>
      <c r="AI42" s="1">
        <v>100672.689</v>
      </c>
      <c r="AK42" s="1">
        <v>108547.25</v>
      </c>
      <c r="AL42" s="1">
        <v>102189.261</v>
      </c>
    </row>
    <row r="43" spans="1:38" ht="12.75" customHeight="1">
      <c r="A43" s="1" t="s">
        <v>56</v>
      </c>
      <c r="J43" s="126">
        <v>18857.358</v>
      </c>
      <c r="M43" s="1">
        <v>14173.915999999999</v>
      </c>
      <c r="O43" s="1">
        <v>13755.79377</v>
      </c>
      <c r="R43" s="18">
        <v>16239.532999999999</v>
      </c>
      <c r="S43" s="1">
        <v>17072.205000000002</v>
      </c>
      <c r="T43" s="1">
        <v>16585.198</v>
      </c>
      <c r="U43" s="1">
        <v>13936.538</v>
      </c>
      <c r="V43" s="1">
        <v>17432.503000000001</v>
      </c>
      <c r="W43" s="126">
        <v>17953.131000000001</v>
      </c>
      <c r="X43" s="126">
        <v>17815.166000000001</v>
      </c>
      <c r="Y43" s="126">
        <v>25841.032999999999</v>
      </c>
      <c r="Z43" s="126">
        <v>22168.186000000002</v>
      </c>
      <c r="AA43" s="126">
        <v>1008.018</v>
      </c>
      <c r="AB43" s="126">
        <v>23546.28</v>
      </c>
      <c r="AC43" s="126">
        <v>26618</v>
      </c>
      <c r="AD43" s="1">
        <v>24757.486000000001</v>
      </c>
      <c r="AE43" s="1">
        <v>39212.072999999997</v>
      </c>
      <c r="AF43" s="1">
        <v>30958.065999999999</v>
      </c>
      <c r="AG43" s="1">
        <v>41916.953999999998</v>
      </c>
      <c r="AH43" s="1">
        <v>39591.620000000003</v>
      </c>
      <c r="AI43" s="1">
        <v>48478.457000000002</v>
      </c>
      <c r="AK43" s="1">
        <v>42138.442000000003</v>
      </c>
      <c r="AL43" s="1">
        <v>42542.228000000003</v>
      </c>
    </row>
    <row r="44" spans="1:38" ht="12.75" customHeight="1">
      <c r="A44" s="1" t="s">
        <v>57</v>
      </c>
      <c r="J44" s="126">
        <v>23766.816999999999</v>
      </c>
      <c r="M44" s="1">
        <v>33534.133000000002</v>
      </c>
      <c r="O44" s="1">
        <v>39036.548340000001</v>
      </c>
      <c r="R44" s="18">
        <v>103865.58100000001</v>
      </c>
      <c r="S44" s="1">
        <v>100352.74800000001</v>
      </c>
      <c r="T44" s="1">
        <v>90151.6</v>
      </c>
      <c r="U44" s="1">
        <v>29151.366999999998</v>
      </c>
      <c r="V44" s="1">
        <v>33078.756999999998</v>
      </c>
      <c r="W44" s="126">
        <v>38282.521999999997</v>
      </c>
      <c r="X44" s="126">
        <v>51056.940999999999</v>
      </c>
      <c r="Y44" s="126">
        <v>45294.71</v>
      </c>
      <c r="Z44" s="126">
        <v>46606.43</v>
      </c>
      <c r="AA44" s="126">
        <v>51118.792999999998</v>
      </c>
      <c r="AB44" s="126">
        <v>46894.152000000002</v>
      </c>
      <c r="AC44" s="126">
        <v>53621</v>
      </c>
      <c r="AD44" s="1">
        <v>46891.347000000002</v>
      </c>
      <c r="AE44" s="1">
        <v>45636.328000000001</v>
      </c>
      <c r="AF44" s="1">
        <v>45044.118999999999</v>
      </c>
      <c r="AG44" s="1">
        <v>47383.572</v>
      </c>
      <c r="AH44" s="1">
        <v>57117.303</v>
      </c>
      <c r="AI44" s="1">
        <v>69486.971999999994</v>
      </c>
      <c r="AK44" s="1">
        <v>59476.161</v>
      </c>
      <c r="AL44" s="1">
        <v>58674.3</v>
      </c>
    </row>
    <row r="45" spans="1:38" ht="12.75" customHeight="1">
      <c r="A45" s="1" t="s">
        <v>58</v>
      </c>
      <c r="J45" s="126">
        <v>31764.664000000001</v>
      </c>
      <c r="M45" s="1">
        <v>47624.527999999998</v>
      </c>
      <c r="O45" s="1">
        <v>34717.672530000003</v>
      </c>
      <c r="R45" s="18">
        <v>18762.509999999998</v>
      </c>
      <c r="S45" s="1">
        <v>20447.05</v>
      </c>
      <c r="T45" s="1">
        <v>17263.187999999998</v>
      </c>
      <c r="U45" s="1">
        <v>8844.6849999999995</v>
      </c>
      <c r="V45" s="1">
        <v>8135.2879999999996</v>
      </c>
      <c r="W45" s="126">
        <v>7974.51</v>
      </c>
      <c r="X45" s="126">
        <v>7981.6</v>
      </c>
      <c r="Y45" s="126">
        <v>7532</v>
      </c>
      <c r="Z45" s="126">
        <v>8607</v>
      </c>
      <c r="AA45" s="126">
        <v>17293</v>
      </c>
      <c r="AB45" s="126">
        <v>13547.002</v>
      </c>
      <c r="AC45" s="126">
        <v>21810</v>
      </c>
      <c r="AD45" s="1">
        <v>17432</v>
      </c>
      <c r="AE45" s="1">
        <v>19079.001</v>
      </c>
      <c r="AF45" s="1">
        <v>4910</v>
      </c>
      <c r="AG45" s="1">
        <v>11196</v>
      </c>
      <c r="AH45" s="1">
        <v>15821.441999999999</v>
      </c>
      <c r="AI45" s="1">
        <v>15463.97</v>
      </c>
      <c r="AK45" s="1">
        <v>19224.781999999999</v>
      </c>
      <c r="AL45" s="1">
        <v>20330.213</v>
      </c>
    </row>
    <row r="46" spans="1:38" ht="12.75" customHeight="1">
      <c r="A46" s="1" t="s">
        <v>59</v>
      </c>
      <c r="J46" s="126">
        <v>10259.884</v>
      </c>
      <c r="M46" s="1">
        <v>6374.826</v>
      </c>
      <c r="O46" s="1">
        <v>17030.164000000001</v>
      </c>
      <c r="R46" s="18">
        <v>8203.5550000000003</v>
      </c>
      <c r="S46" s="1">
        <v>90931.243000000002</v>
      </c>
      <c r="T46" s="1">
        <v>8123.3159999999998</v>
      </c>
      <c r="U46" s="1">
        <v>12258.962</v>
      </c>
      <c r="V46" s="1">
        <v>8619.8770000000004</v>
      </c>
      <c r="W46" s="126">
        <v>9862.2389999999996</v>
      </c>
      <c r="X46" s="126">
        <v>5725.5219999999999</v>
      </c>
      <c r="Y46" s="126">
        <v>6921.1189999999997</v>
      </c>
      <c r="Z46" s="126">
        <v>11768.197</v>
      </c>
      <c r="AA46" s="126">
        <v>4548.0240000000003</v>
      </c>
      <c r="AB46" s="126">
        <v>19691.342000000001</v>
      </c>
      <c r="AC46" s="126">
        <v>12486</v>
      </c>
      <c r="AD46" s="1">
        <v>14391.319</v>
      </c>
      <c r="AE46" s="1">
        <v>19062.990000000002</v>
      </c>
      <c r="AF46" s="1">
        <v>34047.947999999997</v>
      </c>
      <c r="AG46" s="1">
        <v>41739.947</v>
      </c>
      <c r="AH46" s="1">
        <v>25703.471000000001</v>
      </c>
      <c r="AI46" s="1">
        <v>26859.125</v>
      </c>
      <c r="AK46" s="1">
        <v>34014.586000000003</v>
      </c>
      <c r="AL46" s="1">
        <v>27477.431</v>
      </c>
    </row>
    <row r="47" spans="1:38" ht="12.75" customHeight="1">
      <c r="A47" s="1" t="s">
        <v>60</v>
      </c>
      <c r="J47" s="126">
        <v>3036.03</v>
      </c>
      <c r="M47" s="1">
        <v>3818.4079999999999</v>
      </c>
      <c r="O47" s="1">
        <v>7362.8019999999997</v>
      </c>
      <c r="R47" s="24">
        <v>9087.42</v>
      </c>
      <c r="S47" s="1">
        <v>8489.4529999999995</v>
      </c>
      <c r="T47" s="1">
        <v>8537.2749999999996</v>
      </c>
      <c r="U47" s="1">
        <v>2972.6709999999998</v>
      </c>
      <c r="V47" s="1">
        <v>4171.2830000000004</v>
      </c>
      <c r="W47" s="126">
        <v>3504.7040000000002</v>
      </c>
      <c r="X47" s="126">
        <v>4701.6989999999996</v>
      </c>
      <c r="Y47" s="126">
        <v>4939.4459999999999</v>
      </c>
      <c r="Z47" s="126">
        <v>5601.6959999999999</v>
      </c>
      <c r="AA47" s="126">
        <v>8811.1859999999997</v>
      </c>
      <c r="AB47" s="126">
        <v>9341.0969999999998</v>
      </c>
      <c r="AC47" s="126">
        <v>18367</v>
      </c>
      <c r="AD47" s="1">
        <v>13514.95</v>
      </c>
      <c r="AE47" s="1">
        <v>7403.2049999999999</v>
      </c>
      <c r="AF47" s="1">
        <v>4415.7700000000004</v>
      </c>
      <c r="AG47" s="1">
        <v>12532.898999999999</v>
      </c>
      <c r="AH47" s="1">
        <v>13370.673000000001</v>
      </c>
      <c r="AI47" s="1">
        <v>13006.252</v>
      </c>
      <c r="AK47" s="1">
        <v>12369.736999999999</v>
      </c>
      <c r="AL47" s="1">
        <v>14386.63</v>
      </c>
    </row>
    <row r="48" spans="1:38" ht="12.75" customHeight="1">
      <c r="A48" s="1" t="s">
        <v>61</v>
      </c>
      <c r="J48" s="126">
        <v>4261.0829999999996</v>
      </c>
      <c r="M48" s="1">
        <v>2942.7150000000001</v>
      </c>
      <c r="O48" s="1">
        <v>10203.961780000001</v>
      </c>
      <c r="R48" s="18">
        <v>11122.300999999999</v>
      </c>
      <c r="S48" s="1">
        <v>12807.214</v>
      </c>
      <c r="T48" s="1">
        <v>9323.2340000000004</v>
      </c>
      <c r="U48" s="1">
        <v>2885.7750000000001</v>
      </c>
      <c r="V48" s="1">
        <v>3186.4929999999999</v>
      </c>
      <c r="W48" s="126">
        <v>5182.0439999999999</v>
      </c>
      <c r="X48" s="126">
        <v>4514.8900000000003</v>
      </c>
      <c r="Y48" s="126">
        <v>6248.1660000000002</v>
      </c>
      <c r="Z48" s="126">
        <v>4934.2529999999997</v>
      </c>
      <c r="AA48" s="126">
        <v>6088.8469999999998</v>
      </c>
      <c r="AB48" s="126">
        <v>10477.803</v>
      </c>
      <c r="AC48" s="126">
        <v>12910</v>
      </c>
      <c r="AD48" s="1">
        <v>14399.187</v>
      </c>
      <c r="AE48" s="1">
        <v>13683.736000000001</v>
      </c>
      <c r="AF48" s="1">
        <v>1659.8979999999999</v>
      </c>
      <c r="AG48" s="1">
        <v>14586.058999999999</v>
      </c>
      <c r="AH48" s="1">
        <v>14593.683000000001</v>
      </c>
      <c r="AI48" s="1">
        <v>15538.405000000001</v>
      </c>
      <c r="AK48" s="1">
        <v>13162.514999999999</v>
      </c>
      <c r="AL48" s="1">
        <v>15401.962</v>
      </c>
    </row>
    <row r="49" spans="1:38" ht="12.75" customHeight="1">
      <c r="A49" s="1" t="s">
        <v>62</v>
      </c>
      <c r="J49" s="126">
        <v>18288.057000000001</v>
      </c>
      <c r="M49" s="1">
        <v>20810.674999999999</v>
      </c>
      <c r="O49" s="1">
        <v>27375.212</v>
      </c>
      <c r="R49" s="18">
        <v>36656.482000000004</v>
      </c>
      <c r="S49" s="1">
        <v>40036.474000000002</v>
      </c>
      <c r="T49" s="1">
        <v>37489.74</v>
      </c>
      <c r="U49" s="1">
        <v>39389.525000000001</v>
      </c>
      <c r="V49" s="1">
        <v>40494.739000000001</v>
      </c>
      <c r="W49" s="126">
        <v>41072.044999999998</v>
      </c>
      <c r="X49" s="126">
        <v>47353.383000000002</v>
      </c>
      <c r="Y49" s="126">
        <v>23860.188999999998</v>
      </c>
      <c r="Z49" s="126">
        <v>27437.166000000001</v>
      </c>
      <c r="AA49" s="126">
        <v>29733.744999999999</v>
      </c>
      <c r="AB49" s="126">
        <v>93990.89</v>
      </c>
      <c r="AC49" s="126">
        <v>89284</v>
      </c>
      <c r="AD49" s="1">
        <v>41065.42</v>
      </c>
      <c r="AE49" s="1">
        <v>54508.735000000001</v>
      </c>
      <c r="AF49" s="1">
        <v>32756.256000000001</v>
      </c>
      <c r="AG49" s="1">
        <v>39555.137999999999</v>
      </c>
      <c r="AH49" s="1">
        <v>40673.341999999997</v>
      </c>
      <c r="AI49" s="1">
        <v>41767.821000000004</v>
      </c>
      <c r="AK49" s="1">
        <v>50976.481</v>
      </c>
      <c r="AL49" s="1">
        <v>42651.783000000003</v>
      </c>
    </row>
    <row r="50" spans="1:38" ht="12.75" customHeight="1">
      <c r="A50" s="1" t="s">
        <v>63</v>
      </c>
      <c r="J50" s="126">
        <v>6.13</v>
      </c>
      <c r="M50" s="1">
        <v>10.321</v>
      </c>
      <c r="O50" s="1">
        <v>5193.6571399999993</v>
      </c>
      <c r="R50" s="18">
        <v>2865.8890000000001</v>
      </c>
      <c r="S50" s="1">
        <v>2530.7170000000001</v>
      </c>
      <c r="T50" s="1">
        <v>4928.8019999999997</v>
      </c>
      <c r="U50" s="1">
        <v>4260.5519999999997</v>
      </c>
      <c r="V50" s="1">
        <v>2235.7849999999999</v>
      </c>
      <c r="W50" s="126">
        <v>1923.0229999999999</v>
      </c>
      <c r="X50" s="126">
        <v>1032.0930000000001</v>
      </c>
      <c r="Y50" s="126">
        <v>969.48699999999997</v>
      </c>
      <c r="Z50" s="126">
        <v>529.577</v>
      </c>
      <c r="AA50" s="126">
        <v>1065.9449999999999</v>
      </c>
      <c r="AB50" s="126">
        <v>753.14400000000001</v>
      </c>
      <c r="AC50" s="126">
        <v>1210</v>
      </c>
      <c r="AD50" s="1">
        <v>1835.444</v>
      </c>
      <c r="AE50" s="1">
        <v>5194.5190000000002</v>
      </c>
      <c r="AF50" s="1">
        <v>2775.0419999999999</v>
      </c>
      <c r="AG50" s="1">
        <v>3052.9850000000001</v>
      </c>
      <c r="AH50" s="1">
        <v>3459.1950000000002</v>
      </c>
      <c r="AI50" s="1">
        <v>3874.2190000000001</v>
      </c>
      <c r="AK50" s="1">
        <v>7305.933</v>
      </c>
      <c r="AL50" s="1">
        <v>10021.314</v>
      </c>
    </row>
    <row r="51" spans="1:38" ht="12.75" customHeight="1">
      <c r="A51" s="27" t="s">
        <v>64</v>
      </c>
      <c r="B51" s="27"/>
      <c r="C51" s="27"/>
      <c r="D51" s="27"/>
      <c r="E51" s="27"/>
      <c r="F51" s="27"/>
      <c r="G51" s="27"/>
      <c r="H51" s="27"/>
      <c r="I51" s="27"/>
      <c r="J51" s="127">
        <v>26473.973999999998</v>
      </c>
      <c r="K51" s="27"/>
      <c r="L51" s="27"/>
      <c r="M51" s="27">
        <v>39816.076000000001</v>
      </c>
      <c r="N51" s="27"/>
      <c r="O51" s="27">
        <v>42056.521000000001</v>
      </c>
      <c r="P51" s="27"/>
      <c r="Q51" s="27"/>
      <c r="R51" s="37">
        <v>42823.11</v>
      </c>
      <c r="S51" s="27">
        <v>50085.620999999999</v>
      </c>
      <c r="T51" s="27">
        <v>38470.910000000003</v>
      </c>
      <c r="U51" s="27">
        <v>26311.041000000001</v>
      </c>
      <c r="V51" s="27">
        <v>24687.119999999999</v>
      </c>
      <c r="W51" s="127">
        <v>27561.5</v>
      </c>
      <c r="X51" s="127">
        <v>24856.553</v>
      </c>
      <c r="Y51" s="127">
        <v>29849.793000000001</v>
      </c>
      <c r="Z51" s="127">
        <v>34450.788999999997</v>
      </c>
      <c r="AA51" s="127">
        <v>32768.866999999998</v>
      </c>
      <c r="AB51" s="127">
        <v>70267.907999999996</v>
      </c>
      <c r="AC51" s="127">
        <v>82820</v>
      </c>
      <c r="AD51" s="27">
        <v>43038.722000000002</v>
      </c>
      <c r="AE51" s="27">
        <v>41947.807999999997</v>
      </c>
      <c r="AF51" s="27">
        <v>16090.263000000001</v>
      </c>
      <c r="AG51" s="27">
        <v>21142.932000000001</v>
      </c>
      <c r="AH51" s="27">
        <v>36688.648000000001</v>
      </c>
      <c r="AI51" s="27">
        <v>32470.773000000001</v>
      </c>
      <c r="AJ51" s="27"/>
      <c r="AK51" s="1">
        <v>24940.839</v>
      </c>
      <c r="AL51" s="1">
        <v>29625.644</v>
      </c>
    </row>
    <row r="52" spans="1:38" ht="12.75" customHeight="1">
      <c r="A52" s="6" t="s">
        <v>65</v>
      </c>
      <c r="B52" s="51">
        <f>SUM(B54:B62)</f>
        <v>0</v>
      </c>
      <c r="C52" s="51">
        <f t="shared" ref="C52:AK52" si="19">SUM(C54:C62)</f>
        <v>0</v>
      </c>
      <c r="D52" s="51">
        <f t="shared" si="19"/>
        <v>0</v>
      </c>
      <c r="E52" s="51">
        <f t="shared" si="19"/>
        <v>0</v>
      </c>
      <c r="F52" s="51">
        <f t="shared" si="19"/>
        <v>0</v>
      </c>
      <c r="G52" s="51">
        <f t="shared" si="19"/>
        <v>0</v>
      </c>
      <c r="H52" s="51">
        <f t="shared" si="19"/>
        <v>0</v>
      </c>
      <c r="I52" s="51">
        <f t="shared" si="19"/>
        <v>0</v>
      </c>
      <c r="J52" s="51">
        <f t="shared" si="19"/>
        <v>79295.513999999996</v>
      </c>
      <c r="K52" s="51">
        <f t="shared" si="19"/>
        <v>0</v>
      </c>
      <c r="L52" s="51">
        <f t="shared" si="19"/>
        <v>0</v>
      </c>
      <c r="M52" s="51">
        <f t="shared" si="19"/>
        <v>99801.945999999996</v>
      </c>
      <c r="N52" s="51">
        <f t="shared" si="19"/>
        <v>0</v>
      </c>
      <c r="O52" s="51">
        <f t="shared" si="19"/>
        <v>94590.038389999987</v>
      </c>
      <c r="P52" s="51">
        <f t="shared" si="19"/>
        <v>0</v>
      </c>
      <c r="Q52" s="51">
        <f t="shared" si="19"/>
        <v>0</v>
      </c>
      <c r="R52" s="51">
        <f t="shared" si="19"/>
        <v>98279.12</v>
      </c>
      <c r="S52" s="51">
        <f t="shared" si="19"/>
        <v>110227.659</v>
      </c>
      <c r="T52" s="51">
        <f t="shared" si="19"/>
        <v>117337.171</v>
      </c>
      <c r="U52" s="51">
        <f t="shared" si="19"/>
        <v>130110.51000000001</v>
      </c>
      <c r="V52" s="51">
        <f t="shared" si="19"/>
        <v>170401.82900000003</v>
      </c>
      <c r="W52" s="51">
        <f t="shared" si="19"/>
        <v>181218.97099999999</v>
      </c>
      <c r="X52" s="51">
        <f t="shared" si="19"/>
        <v>175082.712</v>
      </c>
      <c r="Y52" s="51">
        <f t="shared" si="19"/>
        <v>164079.77600000001</v>
      </c>
      <c r="Z52" s="51">
        <f t="shared" si="19"/>
        <v>224022.565</v>
      </c>
      <c r="AA52" s="51">
        <f t="shared" si="19"/>
        <v>219417.43600000002</v>
      </c>
      <c r="AB52" s="51">
        <f t="shared" si="19"/>
        <v>295867.98199999996</v>
      </c>
      <c r="AC52" s="51">
        <f t="shared" si="19"/>
        <v>314024</v>
      </c>
      <c r="AD52" s="51">
        <f t="shared" si="19"/>
        <v>357384.58999999997</v>
      </c>
      <c r="AE52" s="51">
        <f t="shared" si="19"/>
        <v>272177.54700000002</v>
      </c>
      <c r="AF52" s="51">
        <f t="shared" si="19"/>
        <v>236905.46100000001</v>
      </c>
      <c r="AG52" s="51">
        <f t="shared" si="19"/>
        <v>267327.935</v>
      </c>
      <c r="AH52" s="51">
        <f t="shared" si="19"/>
        <v>298973.73200000002</v>
      </c>
      <c r="AI52" s="51">
        <f t="shared" si="19"/>
        <v>322180.587</v>
      </c>
      <c r="AJ52" s="51">
        <f t="shared" si="19"/>
        <v>0</v>
      </c>
      <c r="AK52" s="131">
        <f t="shared" si="19"/>
        <v>337111.90899999999</v>
      </c>
      <c r="AL52" s="131">
        <f t="shared" ref="AL52" si="20">SUM(AL54:AL62)</f>
        <v>444506.98300000001</v>
      </c>
    </row>
    <row r="53" spans="1:38" ht="12.75" customHeight="1">
      <c r="A53" s="6" t="s">
        <v>94</v>
      </c>
    </row>
    <row r="54" spans="1:38" ht="12.75" customHeight="1">
      <c r="A54" s="1" t="s">
        <v>66</v>
      </c>
      <c r="J54" s="126">
        <v>1856.748</v>
      </c>
      <c r="M54" s="1">
        <v>6260.1409999999996</v>
      </c>
      <c r="O54" s="1">
        <v>7235.4154699999999</v>
      </c>
      <c r="R54" s="18">
        <v>5813.77</v>
      </c>
      <c r="S54" s="1">
        <v>10341.569</v>
      </c>
      <c r="T54" s="1">
        <v>8188.0060000000003</v>
      </c>
      <c r="U54" s="1">
        <v>20791.89</v>
      </c>
      <c r="V54" s="1">
        <v>32574.524000000001</v>
      </c>
      <c r="W54" s="126">
        <v>13558.766</v>
      </c>
      <c r="X54" s="126">
        <v>14152.132</v>
      </c>
      <c r="Y54" s="126">
        <v>17584.968000000001</v>
      </c>
      <c r="Z54" s="126">
        <v>12822.218999999999</v>
      </c>
      <c r="AA54" s="126">
        <v>18903.053</v>
      </c>
      <c r="AB54" s="126">
        <v>13497.883</v>
      </c>
      <c r="AC54" s="126">
        <v>9897</v>
      </c>
      <c r="AD54" s="1">
        <v>11212.849</v>
      </c>
      <c r="AE54" s="1">
        <v>18614.169999999998</v>
      </c>
      <c r="AF54" s="1">
        <v>9838.3539999999994</v>
      </c>
      <c r="AG54" s="1">
        <v>25850.094000000001</v>
      </c>
      <c r="AH54" s="1">
        <v>23341.027999999998</v>
      </c>
      <c r="AI54" s="1">
        <v>14769.654</v>
      </c>
      <c r="AK54" s="1">
        <v>17509.667000000001</v>
      </c>
      <c r="AL54" s="1">
        <v>7666.7529999999997</v>
      </c>
    </row>
    <row r="55" spans="1:38" ht="12.75" customHeight="1">
      <c r="A55" s="1" t="s">
        <v>67</v>
      </c>
      <c r="J55" s="126">
        <v>990.15700000000004</v>
      </c>
      <c r="M55" s="1">
        <v>1083.4100000000001</v>
      </c>
      <c r="O55" s="1">
        <v>1166.2470000000001</v>
      </c>
      <c r="R55" s="18">
        <v>1692.0070000000001</v>
      </c>
      <c r="S55" s="1">
        <v>1183.875</v>
      </c>
      <c r="T55" s="1">
        <v>12584.779</v>
      </c>
      <c r="U55" s="1">
        <v>4953.8180000000002</v>
      </c>
      <c r="V55" s="1">
        <v>6985.6620000000003</v>
      </c>
      <c r="W55" s="126">
        <v>6682.8509999999997</v>
      </c>
      <c r="X55" s="126">
        <v>8046.1409999999996</v>
      </c>
      <c r="Y55" s="126">
        <v>2780.9630000000002</v>
      </c>
      <c r="Z55" s="126">
        <v>6965.5219999999999</v>
      </c>
      <c r="AA55" s="126">
        <v>366.697</v>
      </c>
      <c r="AB55" s="126">
        <v>3524.4110000000001</v>
      </c>
      <c r="AC55" s="126">
        <v>2242</v>
      </c>
      <c r="AD55" s="1">
        <v>2178.5369999999998</v>
      </c>
      <c r="AE55" s="1">
        <v>6362.2610000000004</v>
      </c>
      <c r="AF55" s="1">
        <v>4510.6189999999997</v>
      </c>
      <c r="AG55" s="1">
        <v>4021.8270000000002</v>
      </c>
      <c r="AH55" s="1">
        <v>2670.5650000000001</v>
      </c>
      <c r="AI55" s="1">
        <v>3251.8710000000001</v>
      </c>
      <c r="AK55" s="1">
        <v>4836.0360000000001</v>
      </c>
      <c r="AL55" s="1">
        <v>8010.0680000000002</v>
      </c>
    </row>
    <row r="56" spans="1:38" ht="12.75" customHeight="1">
      <c r="A56" s="1" t="s">
        <v>68</v>
      </c>
      <c r="J56" s="126">
        <v>6303.5770000000002</v>
      </c>
      <c r="M56" s="1">
        <v>8421.66</v>
      </c>
      <c r="O56" s="1">
        <v>9659.59</v>
      </c>
      <c r="R56" s="18">
        <v>14566.191999999999</v>
      </c>
      <c r="S56" s="1">
        <v>12654.934999999999</v>
      </c>
      <c r="T56" s="1">
        <v>12424.537</v>
      </c>
      <c r="U56" s="1">
        <v>13730.736000000001</v>
      </c>
      <c r="V56" s="1">
        <v>14506.849</v>
      </c>
      <c r="W56" s="126">
        <v>18151.019</v>
      </c>
      <c r="X56" s="126">
        <v>19853.583999999999</v>
      </c>
      <c r="Y56" s="126">
        <v>21180.324000000001</v>
      </c>
      <c r="Z56" s="126">
        <v>21204.732</v>
      </c>
      <c r="AA56" s="126">
        <v>15122.423000000001</v>
      </c>
      <c r="AB56" s="126">
        <v>52191.904000000002</v>
      </c>
      <c r="AC56" s="126">
        <v>33879</v>
      </c>
      <c r="AD56" s="1">
        <v>22705.956999999999</v>
      </c>
      <c r="AE56" s="1">
        <v>26127.044000000002</v>
      </c>
      <c r="AF56" s="1">
        <v>19506.343000000001</v>
      </c>
      <c r="AG56" s="1">
        <v>16931.843000000001</v>
      </c>
      <c r="AH56" s="1">
        <v>18467.615000000002</v>
      </c>
      <c r="AI56" s="1">
        <v>17611.888999999999</v>
      </c>
      <c r="AK56" s="1">
        <v>19489.187000000002</v>
      </c>
      <c r="AL56" s="1">
        <v>16671.702000000001</v>
      </c>
    </row>
    <row r="57" spans="1:38" ht="12.75" customHeight="1">
      <c r="A57" s="1" t="s">
        <v>69</v>
      </c>
      <c r="J57" s="126">
        <v>362.50599999999997</v>
      </c>
      <c r="M57" s="1">
        <v>734.19</v>
      </c>
      <c r="O57" s="1">
        <v>417.73471000000001</v>
      </c>
      <c r="R57" s="24">
        <v>301.06299999999999</v>
      </c>
      <c r="S57" s="1">
        <v>281.39999999999998</v>
      </c>
      <c r="T57" s="1">
        <v>402.07900000000001</v>
      </c>
      <c r="U57" s="1">
        <v>337.07600000000002</v>
      </c>
      <c r="V57" s="1">
        <v>7954.1589999999997</v>
      </c>
      <c r="W57" s="126">
        <v>8619.8850000000002</v>
      </c>
      <c r="X57" s="126">
        <v>8348.4940000000006</v>
      </c>
      <c r="Y57" s="126">
        <v>0</v>
      </c>
      <c r="Z57" s="126">
        <v>232.49700000000001</v>
      </c>
      <c r="AA57" s="126">
        <v>230.36600000000001</v>
      </c>
      <c r="AB57" s="126">
        <v>4779.1620000000003</v>
      </c>
      <c r="AC57" s="126">
        <v>3041</v>
      </c>
      <c r="AD57" s="1">
        <v>1991.202</v>
      </c>
      <c r="AE57" s="1">
        <v>10838.197</v>
      </c>
      <c r="AF57" s="1">
        <v>10938.324000000001</v>
      </c>
      <c r="AG57" s="1">
        <v>790.71699999999998</v>
      </c>
      <c r="AH57" s="1">
        <v>2835.7289999999998</v>
      </c>
      <c r="AI57" s="1">
        <v>2828.0189999999998</v>
      </c>
      <c r="AK57" s="1">
        <v>1908.0239999999999</v>
      </c>
      <c r="AL57" s="1">
        <v>1564.2560000000001</v>
      </c>
    </row>
    <row r="58" spans="1:38" ht="12.75" customHeight="1">
      <c r="A58" s="1" t="s">
        <v>70</v>
      </c>
      <c r="J58" s="126">
        <v>14366.092000000001</v>
      </c>
      <c r="M58" s="1">
        <v>18403.748</v>
      </c>
      <c r="O58" s="1">
        <v>19873.234</v>
      </c>
      <c r="R58" s="24">
        <v>24777.456999999999</v>
      </c>
      <c r="S58" s="1">
        <v>27003.674999999999</v>
      </c>
      <c r="T58" s="1">
        <v>19733.886999999999</v>
      </c>
      <c r="U58" s="1">
        <v>18010.507000000001</v>
      </c>
      <c r="V58" s="1">
        <v>27940.738000000001</v>
      </c>
      <c r="W58" s="126">
        <v>34086.214</v>
      </c>
      <c r="X58" s="126">
        <v>27629.126</v>
      </c>
      <c r="Y58" s="126">
        <v>30554.683000000001</v>
      </c>
      <c r="Z58" s="126">
        <v>46259.406999999999</v>
      </c>
      <c r="AA58" s="126">
        <v>37557.245000000003</v>
      </c>
      <c r="AB58" s="126">
        <v>58446.078000000001</v>
      </c>
      <c r="AC58" s="126">
        <v>37172</v>
      </c>
      <c r="AD58" s="1">
        <v>90021.375</v>
      </c>
      <c r="AE58" s="1">
        <v>37159.135000000002</v>
      </c>
      <c r="AF58" s="1">
        <v>33838.478000000003</v>
      </c>
      <c r="AG58" s="1">
        <v>35297.927000000003</v>
      </c>
      <c r="AH58" s="1">
        <v>44833.777000000002</v>
      </c>
      <c r="AI58" s="1">
        <v>53081.453000000001</v>
      </c>
      <c r="AK58" s="1">
        <v>88010.75</v>
      </c>
      <c r="AL58" s="1">
        <v>72583.407999999996</v>
      </c>
    </row>
    <row r="59" spans="1:38" ht="12.75" customHeight="1">
      <c r="A59" s="1" t="s">
        <v>71</v>
      </c>
      <c r="J59" s="126">
        <v>40988.828999999998</v>
      </c>
      <c r="M59" s="1">
        <v>51539.163999999997</v>
      </c>
      <c r="O59" s="1">
        <v>43514.036</v>
      </c>
      <c r="R59" s="24">
        <v>38772.046999999999</v>
      </c>
      <c r="S59" s="1">
        <v>42730.837</v>
      </c>
      <c r="T59" s="1">
        <v>46204.845999999998</v>
      </c>
      <c r="U59" s="1">
        <v>50662.330999999998</v>
      </c>
      <c r="V59" s="1">
        <v>52066.495999999999</v>
      </c>
      <c r="W59" s="126">
        <v>69147.900999999998</v>
      </c>
      <c r="X59" s="126">
        <v>64749.483</v>
      </c>
      <c r="Y59" s="126">
        <v>53682.042000000001</v>
      </c>
      <c r="Z59" s="126">
        <v>102965.624</v>
      </c>
      <c r="AA59" s="126">
        <v>101996.54399999999</v>
      </c>
      <c r="AB59" s="126">
        <v>112560.431</v>
      </c>
      <c r="AC59" s="126">
        <v>168452</v>
      </c>
      <c r="AD59" s="1">
        <v>150130.81599999999</v>
      </c>
      <c r="AE59" s="1">
        <v>95553.447</v>
      </c>
      <c r="AF59" s="1">
        <v>88937.505999999994</v>
      </c>
      <c r="AG59" s="1">
        <v>104304.803</v>
      </c>
      <c r="AH59" s="1">
        <v>135334.136</v>
      </c>
      <c r="AI59" s="1">
        <v>160663.614</v>
      </c>
      <c r="AK59" s="1">
        <v>139590.071</v>
      </c>
      <c r="AL59" s="1">
        <v>280571.54599999997</v>
      </c>
    </row>
    <row r="60" spans="1:38" ht="12.75" customHeight="1">
      <c r="A60" s="1" t="s">
        <v>72</v>
      </c>
      <c r="J60" s="126">
        <v>12497.65</v>
      </c>
      <c r="M60" s="1">
        <v>11654.942999999999</v>
      </c>
      <c r="O60" s="1">
        <v>11129.859210000001</v>
      </c>
      <c r="R60" s="18">
        <v>11586.721</v>
      </c>
      <c r="S60" s="1">
        <v>12498.282999999999</v>
      </c>
      <c r="T60" s="1">
        <v>15989.8</v>
      </c>
      <c r="U60" s="1">
        <v>19436.439999999999</v>
      </c>
      <c r="V60" s="1">
        <v>23042.642</v>
      </c>
      <c r="W60" s="126">
        <v>25200.796999999999</v>
      </c>
      <c r="X60" s="126">
        <v>29021.093000000001</v>
      </c>
      <c r="Y60" s="126">
        <v>34740.146999999997</v>
      </c>
      <c r="Z60" s="126">
        <v>28990.217000000001</v>
      </c>
      <c r="AA60" s="126">
        <v>37442.792999999998</v>
      </c>
      <c r="AB60" s="126">
        <v>47151.968000000001</v>
      </c>
      <c r="AC60" s="126">
        <v>53040</v>
      </c>
      <c r="AD60" s="1">
        <v>70087.929000000004</v>
      </c>
      <c r="AE60" s="1">
        <v>71355.517000000007</v>
      </c>
      <c r="AF60" s="1">
        <v>65005.122000000003</v>
      </c>
      <c r="AG60" s="1">
        <v>72269.763999999996</v>
      </c>
      <c r="AH60" s="1">
        <v>67544.849000000002</v>
      </c>
      <c r="AI60" s="1">
        <v>66144.764999999999</v>
      </c>
      <c r="AK60" s="1">
        <v>61740.67</v>
      </c>
      <c r="AL60" s="1">
        <v>53083.152000000002</v>
      </c>
    </row>
    <row r="61" spans="1:38" ht="12.75" customHeight="1">
      <c r="A61" s="1" t="s">
        <v>73</v>
      </c>
      <c r="J61" s="126">
        <v>793.99599999999998</v>
      </c>
      <c r="M61" s="1">
        <v>1606.644</v>
      </c>
      <c r="O61" s="1">
        <v>1489.1130000000001</v>
      </c>
      <c r="R61" s="18">
        <v>628.69200000000001</v>
      </c>
      <c r="S61" s="1">
        <v>3275.145</v>
      </c>
      <c r="T61" s="1">
        <v>1742.1669999999999</v>
      </c>
      <c r="U61" s="1">
        <v>2186.6089999999999</v>
      </c>
      <c r="V61" s="1">
        <v>3270.7220000000002</v>
      </c>
      <c r="W61" s="126">
        <v>3278.0949999999998</v>
      </c>
      <c r="X61" s="126">
        <v>3221.913</v>
      </c>
      <c r="Y61" s="126">
        <v>3461.4160000000002</v>
      </c>
      <c r="Z61" s="126">
        <v>4487.973</v>
      </c>
      <c r="AA61" s="126">
        <v>3573.6019999999999</v>
      </c>
      <c r="AB61" s="126">
        <v>3623.2629999999999</v>
      </c>
      <c r="AC61" s="126">
        <v>6112</v>
      </c>
      <c r="AD61" s="1">
        <v>8819.93</v>
      </c>
      <c r="AE61" s="1">
        <v>4621.5649999999996</v>
      </c>
      <c r="AF61" s="1">
        <v>3990.0839999999998</v>
      </c>
      <c r="AG61" s="1">
        <v>4332.4930000000004</v>
      </c>
      <c r="AH61" s="1">
        <v>3819.99</v>
      </c>
      <c r="AI61" s="1">
        <v>3744.848</v>
      </c>
      <c r="AK61" s="1">
        <v>3928.7869999999998</v>
      </c>
      <c r="AL61" s="1">
        <v>4276.3980000000001</v>
      </c>
    </row>
    <row r="62" spans="1:38" ht="12.75" customHeight="1">
      <c r="A62" s="27" t="s">
        <v>74</v>
      </c>
      <c r="B62" s="27"/>
      <c r="C62" s="27"/>
      <c r="D62" s="27"/>
      <c r="E62" s="27"/>
      <c r="F62" s="27"/>
      <c r="G62" s="27"/>
      <c r="H62" s="27"/>
      <c r="I62" s="27"/>
      <c r="J62" s="127">
        <v>1135.9590000000001</v>
      </c>
      <c r="K62" s="27"/>
      <c r="L62" s="27"/>
      <c r="M62" s="27">
        <v>98.046000000000006</v>
      </c>
      <c r="N62" s="27"/>
      <c r="O62" s="27">
        <v>104.809</v>
      </c>
      <c r="P62" s="27"/>
      <c r="Q62" s="27"/>
      <c r="R62" s="37">
        <v>141.17099999999999</v>
      </c>
      <c r="S62" s="27">
        <v>257.94</v>
      </c>
      <c r="T62" s="27">
        <v>67.069999999999993</v>
      </c>
      <c r="U62" s="27">
        <v>1.103</v>
      </c>
      <c r="V62" s="27">
        <v>2060.0369999999998</v>
      </c>
      <c r="W62" s="127">
        <v>2493.4430000000002</v>
      </c>
      <c r="X62" s="127">
        <v>60.746000000000002</v>
      </c>
      <c r="Y62" s="127">
        <v>95.233000000000004</v>
      </c>
      <c r="Z62" s="127">
        <v>94.373999999999995</v>
      </c>
      <c r="AA62" s="127">
        <v>4224.7129999999997</v>
      </c>
      <c r="AB62" s="127">
        <v>92.882000000000005</v>
      </c>
      <c r="AC62" s="127">
        <v>189</v>
      </c>
      <c r="AD62" s="1">
        <v>235.995</v>
      </c>
      <c r="AE62" s="1">
        <v>1546.211</v>
      </c>
      <c r="AF62" s="27">
        <v>340.63099999999997</v>
      </c>
      <c r="AG62" s="27">
        <v>3528.4670000000001</v>
      </c>
      <c r="AH62" s="27">
        <v>126.04300000000001</v>
      </c>
      <c r="AI62" s="27">
        <v>84.474000000000004</v>
      </c>
      <c r="AJ62" s="27"/>
      <c r="AK62" s="27">
        <v>98.716999999999999</v>
      </c>
      <c r="AL62" s="1">
        <v>79.7</v>
      </c>
    </row>
    <row r="63" spans="1:38">
      <c r="A63" s="49" t="s">
        <v>75</v>
      </c>
      <c r="B63" s="46"/>
      <c r="C63" s="46"/>
      <c r="D63" s="46"/>
      <c r="E63" s="46"/>
      <c r="F63" s="46"/>
      <c r="G63" s="46"/>
      <c r="H63" s="46"/>
      <c r="I63" s="46"/>
      <c r="J63" s="128">
        <v>0</v>
      </c>
      <c r="K63" s="46"/>
      <c r="L63" s="46"/>
      <c r="M63" s="46">
        <v>0</v>
      </c>
      <c r="N63" s="46"/>
      <c r="O63" s="46">
        <v>0</v>
      </c>
      <c r="P63" s="46"/>
      <c r="Q63" s="46"/>
      <c r="R63" s="47">
        <v>0</v>
      </c>
      <c r="S63" s="46">
        <v>0</v>
      </c>
      <c r="T63" s="46">
        <v>0</v>
      </c>
      <c r="U63" s="46">
        <v>0</v>
      </c>
      <c r="V63" s="46">
        <v>0</v>
      </c>
      <c r="W63" s="128">
        <v>0</v>
      </c>
      <c r="X63" s="128">
        <v>0</v>
      </c>
      <c r="Y63" s="128">
        <v>0</v>
      </c>
      <c r="Z63" s="128">
        <v>0</v>
      </c>
      <c r="AA63" s="128"/>
      <c r="AB63" s="128">
        <v>0</v>
      </c>
      <c r="AC63" s="128">
        <v>0</v>
      </c>
      <c r="AD63" s="128">
        <v>0</v>
      </c>
      <c r="AE63" s="128">
        <v>0</v>
      </c>
      <c r="AF63" s="27">
        <v>0</v>
      </c>
      <c r="AG63" s="27">
        <v>0</v>
      </c>
      <c r="AH63" s="27"/>
      <c r="AI63" s="27"/>
      <c r="AJ63" s="27"/>
      <c r="AK63" s="27"/>
      <c r="AL63" s="130"/>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B67" s="1" t="s">
        <v>158</v>
      </c>
      <c r="W67" s="1"/>
      <c r="X67" s="1"/>
      <c r="Y67" s="1"/>
      <c r="Z67" s="1"/>
      <c r="AA67" s="1"/>
      <c r="AB67" s="1"/>
      <c r="AC67" s="1"/>
    </row>
    <row r="68" spans="2:29" ht="12.75" customHeight="1">
      <c r="B68" s="1" t="s">
        <v>159</v>
      </c>
      <c r="W68" s="1"/>
      <c r="X68" s="1"/>
      <c r="Y68" s="1"/>
      <c r="Z68" s="1"/>
      <c r="AA68" s="1"/>
      <c r="AB68" s="1"/>
      <c r="AC68" s="1"/>
    </row>
    <row r="69" spans="2:29" ht="12.75" customHeight="1">
      <c r="B69" s="1" t="s">
        <v>160</v>
      </c>
      <c r="M69" s="38"/>
      <c r="N69" s="38"/>
    </row>
    <row r="70" spans="2:29" ht="12.75" customHeight="1">
      <c r="B70" s="1" t="s">
        <v>140</v>
      </c>
    </row>
    <row r="71" spans="2:29" ht="12.75" customHeight="1"/>
    <row r="72" spans="2:29" ht="12.75" customHeight="1">
      <c r="B72" s="1" t="s">
        <v>161</v>
      </c>
    </row>
    <row r="73" spans="2:29" ht="12.75" customHeight="1">
      <c r="B73" s="1" t="s">
        <v>162</v>
      </c>
    </row>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9" ht="9.9499999999999993" customHeight="1"/>
    <row r="82" spans="2:209" ht="9.9499999999999993" customHeight="1">
      <c r="GS82" s="4"/>
      <c r="GT82" s="4"/>
      <c r="GU82" s="4"/>
      <c r="GV82" s="4"/>
      <c r="GW82" s="4"/>
      <c r="GX82" s="4"/>
      <c r="GY82" s="4"/>
      <c r="GZ82" s="4"/>
      <c r="HA82" s="4"/>
    </row>
    <row r="83" spans="2:209">
      <c r="GQ83" s="4"/>
      <c r="GR83" s="4"/>
      <c r="GS83" s="4"/>
      <c r="GT83" s="4"/>
      <c r="GU83" s="4"/>
      <c r="GV83" s="4"/>
      <c r="GW83" s="4"/>
      <c r="GX83" s="4"/>
      <c r="GY83" s="4"/>
      <c r="GZ83" s="4"/>
      <c r="HA83" s="4"/>
    </row>
    <row r="84" spans="2:209">
      <c r="GQ84" s="4"/>
      <c r="GR84" s="4"/>
      <c r="GS84" s="4"/>
      <c r="GT84" s="4"/>
      <c r="GU84" s="4"/>
      <c r="GV84" s="4"/>
      <c r="GW84" s="4"/>
      <c r="GX84" s="4"/>
      <c r="GY84" s="4"/>
      <c r="GZ84" s="4"/>
      <c r="HA84" s="4"/>
    </row>
    <row r="85" spans="2:209">
      <c r="GS85" s="4"/>
      <c r="GT85" s="4"/>
      <c r="GU85" s="4"/>
      <c r="GV85" s="4"/>
      <c r="GW85" s="4"/>
      <c r="GX85" s="4"/>
      <c r="GY85" s="4"/>
    </row>
    <row r="86" spans="2:209">
      <c r="GS86" s="4"/>
      <c r="GT86" s="4"/>
      <c r="GU86" s="4"/>
      <c r="GV86" s="4"/>
      <c r="GW86" s="4"/>
      <c r="GX86" s="4"/>
      <c r="GY86" s="4"/>
    </row>
    <row r="87" spans="2:209">
      <c r="GS87" s="4"/>
      <c r="GT87" s="4"/>
      <c r="GU87" s="4"/>
      <c r="GV87" s="4"/>
      <c r="GW87" s="4"/>
      <c r="GX87" s="4"/>
      <c r="GY87" s="4"/>
    </row>
    <row r="92" spans="2:209">
      <c r="B92" s="12"/>
      <c r="C92" s="12"/>
      <c r="D92" s="12"/>
      <c r="E92" s="12"/>
      <c r="F92" s="12"/>
      <c r="G92" s="12"/>
      <c r="H92" s="12"/>
      <c r="I92" s="12"/>
    </row>
  </sheetData>
  <phoneticPr fontId="8" type="noConversion"/>
  <pageMargins left="0.75" right="0.75" top="1" bottom="1" header="0.5" footer="0.5"/>
  <pageSetup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election activeCell="R45" sqref="R45"/>
    </sheetView>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rgb="FFFF0000"/>
  </sheetPr>
  <dimension ref="A1:AE77"/>
  <sheetViews>
    <sheetView showGridLines="0" tabSelected="1" view="pageBreakPreview" topLeftCell="A53" zoomScaleNormal="110" zoomScaleSheetLayoutView="100" workbookViewId="0">
      <selection activeCell="N78" sqref="N78"/>
    </sheetView>
  </sheetViews>
  <sheetFormatPr defaultColWidth="9.7109375" defaultRowHeight="12.75"/>
  <cols>
    <col min="1" max="1" width="7.5703125" customWidth="1"/>
    <col min="2" max="2" width="9.7109375" customWidth="1"/>
    <col min="3" max="3" width="8.85546875" style="14" customWidth="1"/>
    <col min="4" max="5" width="8.7109375" customWidth="1"/>
    <col min="6" max="7" width="9.7109375" customWidth="1"/>
    <col min="8" max="11" width="8.7109375" customWidth="1"/>
    <col min="12" max="13" width="9.7109375" customWidth="1"/>
    <col min="14" max="14" width="8.7109375" customWidth="1"/>
    <col min="15" max="15" width="4.28515625" customWidth="1"/>
    <col min="16" max="16" width="7.85546875" customWidth="1"/>
    <col min="17" max="17" width="7.140625" customWidth="1"/>
    <col min="18" max="18" width="7.28515625" customWidth="1"/>
    <col min="19" max="20" width="9.5703125" customWidth="1"/>
    <col min="21" max="21" width="7.140625" customWidth="1"/>
    <col min="22" max="22" width="3" customWidth="1"/>
    <col min="23" max="24" width="8.85546875" customWidth="1"/>
  </cols>
  <sheetData>
    <row r="1" spans="1:30">
      <c r="A1" s="6" t="s">
        <v>81</v>
      </c>
      <c r="B1" s="6"/>
      <c r="C1" s="4"/>
      <c r="D1" s="4"/>
      <c r="E1" s="6"/>
      <c r="F1" s="4"/>
      <c r="G1" s="4"/>
      <c r="I1" s="4"/>
      <c r="J1" s="4"/>
      <c r="K1" s="4"/>
      <c r="L1" s="4"/>
      <c r="M1" s="4"/>
      <c r="N1" s="4"/>
      <c r="O1" s="10"/>
      <c r="P1" s="10"/>
      <c r="Q1" s="10"/>
      <c r="R1" s="10"/>
      <c r="S1" s="118"/>
      <c r="T1" s="10"/>
      <c r="U1" s="10"/>
      <c r="V1" s="10"/>
      <c r="W1" s="1"/>
      <c r="X1" s="1"/>
      <c r="Y1" s="1"/>
      <c r="Z1" s="1"/>
      <c r="AA1" s="1"/>
      <c r="AB1" s="1"/>
      <c r="AC1" s="1"/>
      <c r="AD1" s="1"/>
    </row>
    <row r="2" spans="1:30">
      <c r="A2" s="6" t="s">
        <v>1</v>
      </c>
      <c r="B2" s="6"/>
      <c r="C2" s="1"/>
      <c r="D2" s="1"/>
      <c r="E2" s="6"/>
      <c r="F2" s="1"/>
      <c r="G2" s="1"/>
      <c r="H2" s="1"/>
      <c r="I2" s="4"/>
      <c r="J2" s="4"/>
      <c r="K2" s="4"/>
      <c r="L2" s="4"/>
      <c r="M2" s="6"/>
      <c r="N2" s="4"/>
      <c r="O2" s="1"/>
      <c r="P2" s="1"/>
      <c r="Q2" s="1"/>
      <c r="R2" s="1"/>
      <c r="S2" s="1"/>
      <c r="T2" s="1"/>
      <c r="U2" s="1"/>
      <c r="V2" s="1"/>
      <c r="W2" s="1"/>
      <c r="X2" s="1"/>
      <c r="Y2" s="1"/>
      <c r="Z2" s="1"/>
      <c r="AA2" s="1"/>
      <c r="AB2" s="1"/>
      <c r="AC2" s="1"/>
      <c r="AD2" s="1"/>
    </row>
    <row r="3" spans="1:30">
      <c r="A3" s="6" t="s">
        <v>82</v>
      </c>
      <c r="B3" s="6"/>
      <c r="C3" s="1"/>
      <c r="D3" s="1"/>
      <c r="E3" s="6"/>
      <c r="F3" s="1"/>
      <c r="G3" s="1"/>
      <c r="H3" s="1"/>
      <c r="I3" s="4"/>
      <c r="J3" s="4"/>
      <c r="K3" s="4"/>
      <c r="L3" s="4"/>
      <c r="M3" s="4"/>
      <c r="N3" s="4"/>
      <c r="O3" s="20"/>
      <c r="P3" s="1"/>
      <c r="Q3" s="1"/>
      <c r="R3" s="1"/>
      <c r="S3" s="1"/>
      <c r="T3" s="1"/>
      <c r="U3" s="1"/>
      <c r="V3" s="1"/>
      <c r="W3" s="1"/>
      <c r="X3" s="1"/>
      <c r="Y3" s="1"/>
      <c r="Z3" s="1"/>
      <c r="AA3" s="1"/>
      <c r="AB3" s="1"/>
      <c r="AC3" s="1"/>
      <c r="AD3" s="1"/>
    </row>
    <row r="4" spans="1:30">
      <c r="A4" s="1"/>
      <c r="B4" s="1"/>
      <c r="C4" s="1"/>
      <c r="D4" s="1"/>
      <c r="E4" s="1"/>
      <c r="F4" s="1"/>
      <c r="G4" s="1"/>
      <c r="H4" s="1"/>
      <c r="I4" s="1"/>
      <c r="J4" s="1"/>
      <c r="K4" s="1"/>
      <c r="L4" s="1"/>
      <c r="M4" s="1"/>
      <c r="N4" s="1"/>
      <c r="O4" s="20"/>
      <c r="P4" s="1"/>
      <c r="Q4" s="1"/>
      <c r="R4" s="1"/>
      <c r="S4" s="1"/>
      <c r="T4" s="1"/>
      <c r="U4" s="1"/>
      <c r="V4" s="1"/>
      <c r="W4" s="1"/>
      <c r="X4" s="1"/>
      <c r="Y4" s="1"/>
      <c r="Z4" s="1"/>
      <c r="AA4" s="1"/>
      <c r="AB4" s="1"/>
      <c r="AC4" s="1"/>
      <c r="AD4" s="1"/>
    </row>
    <row r="5" spans="1:30">
      <c r="A5" s="7"/>
      <c r="B5" s="7"/>
      <c r="C5" s="2" t="s">
        <v>3</v>
      </c>
      <c r="D5" s="2"/>
      <c r="E5" s="2"/>
      <c r="F5" s="2"/>
      <c r="G5" s="2"/>
      <c r="H5" s="2"/>
      <c r="I5" s="67" t="s">
        <v>83</v>
      </c>
      <c r="J5" s="2"/>
      <c r="K5" s="2"/>
      <c r="L5" s="99"/>
      <c r="M5" s="2"/>
      <c r="N5" s="2"/>
      <c r="O5" s="20"/>
      <c r="P5" s="2" t="s">
        <v>5</v>
      </c>
      <c r="Q5" s="2"/>
      <c r="R5" s="2"/>
      <c r="S5" s="2"/>
      <c r="T5" s="2"/>
      <c r="U5" s="2"/>
      <c r="V5" s="4"/>
      <c r="W5" s="1"/>
      <c r="X5" s="1"/>
      <c r="Y5" s="1"/>
      <c r="Z5" s="1"/>
      <c r="AA5" s="1"/>
      <c r="AB5" s="1"/>
      <c r="AC5" s="1"/>
      <c r="AD5" s="1"/>
    </row>
    <row r="6" spans="1:30">
      <c r="A6" s="8"/>
      <c r="B6" s="8"/>
      <c r="C6" s="89"/>
      <c r="D6" s="15"/>
      <c r="E6" s="16"/>
      <c r="F6" s="67"/>
      <c r="G6" s="16"/>
      <c r="H6" s="15"/>
      <c r="I6" s="67"/>
      <c r="J6" s="15"/>
      <c r="K6" s="16"/>
      <c r="L6" s="67"/>
      <c r="M6" s="16"/>
      <c r="N6" s="15"/>
      <c r="O6" s="20"/>
      <c r="P6" s="2" t="s">
        <v>6</v>
      </c>
      <c r="Q6" s="15"/>
      <c r="R6" s="16"/>
      <c r="S6" s="2" t="s">
        <v>84</v>
      </c>
      <c r="T6" s="16"/>
      <c r="U6" s="3"/>
      <c r="V6" s="1"/>
      <c r="W6" s="1"/>
      <c r="X6" s="1"/>
      <c r="Y6" s="1"/>
      <c r="Z6" s="1"/>
      <c r="AA6" s="1"/>
      <c r="AB6" s="1"/>
      <c r="AC6" s="1"/>
      <c r="AD6" s="1"/>
    </row>
    <row r="7" spans="1:30">
      <c r="A7" s="8"/>
      <c r="B7" s="8"/>
      <c r="C7" s="202" t="s">
        <v>8</v>
      </c>
      <c r="D7" s="25" t="s">
        <v>7</v>
      </c>
      <c r="E7" s="26"/>
      <c r="F7" s="68" t="s">
        <v>9</v>
      </c>
      <c r="G7" s="41"/>
      <c r="H7" s="17" t="s">
        <v>10</v>
      </c>
      <c r="I7" s="204" t="s">
        <v>8</v>
      </c>
      <c r="J7" s="25" t="s">
        <v>7</v>
      </c>
      <c r="K7" s="26"/>
      <c r="L7" s="68" t="s">
        <v>9</v>
      </c>
      <c r="M7" s="41"/>
      <c r="N7" s="17" t="s">
        <v>10</v>
      </c>
      <c r="O7" s="20"/>
      <c r="P7" s="4" t="s">
        <v>11</v>
      </c>
      <c r="Q7" s="210" t="s">
        <v>7</v>
      </c>
      <c r="R7" s="211"/>
      <c r="S7" s="4" t="s">
        <v>9</v>
      </c>
      <c r="T7" s="41"/>
      <c r="U7" s="4" t="s">
        <v>10</v>
      </c>
      <c r="V7" s="4" t="s">
        <v>85</v>
      </c>
      <c r="W7" s="161" t="s">
        <v>86</v>
      </c>
      <c r="X7" s="162"/>
      <c r="Y7" s="169" t="s">
        <v>13</v>
      </c>
      <c r="Z7" s="170"/>
      <c r="AA7" s="169" t="s">
        <v>9</v>
      </c>
      <c r="AB7" s="170"/>
      <c r="AC7" s="171" t="s">
        <v>86</v>
      </c>
      <c r="AD7" s="171"/>
    </row>
    <row r="8" spans="1:30">
      <c r="A8" s="9"/>
      <c r="B8" s="9"/>
      <c r="C8" s="203"/>
      <c r="D8" s="100" t="s">
        <v>14</v>
      </c>
      <c r="E8" s="156" t="s">
        <v>15</v>
      </c>
      <c r="F8" s="104" t="s">
        <v>16</v>
      </c>
      <c r="G8" s="158" t="s">
        <v>17</v>
      </c>
      <c r="H8" s="102" t="s">
        <v>18</v>
      </c>
      <c r="I8" s="205"/>
      <c r="J8" s="100" t="s">
        <v>14</v>
      </c>
      <c r="K8" s="101" t="s">
        <v>15</v>
      </c>
      <c r="L8" s="100" t="s">
        <v>16</v>
      </c>
      <c r="M8" s="102" t="s">
        <v>17</v>
      </c>
      <c r="N8" s="103" t="s">
        <v>18</v>
      </c>
      <c r="O8" s="20"/>
      <c r="P8" s="102" t="s">
        <v>19</v>
      </c>
      <c r="Q8" s="100" t="s">
        <v>14</v>
      </c>
      <c r="R8" s="101" t="s">
        <v>15</v>
      </c>
      <c r="S8" s="104" t="s">
        <v>16</v>
      </c>
      <c r="T8" s="102" t="s">
        <v>17</v>
      </c>
      <c r="U8" s="103" t="s">
        <v>18</v>
      </c>
      <c r="V8" s="5"/>
      <c r="W8" s="163" t="s">
        <v>5</v>
      </c>
      <c r="X8" s="164" t="s">
        <v>3</v>
      </c>
      <c r="Y8" s="172" t="s">
        <v>5</v>
      </c>
      <c r="Z8" s="173" t="s">
        <v>3</v>
      </c>
      <c r="AA8" s="172" t="s">
        <v>5</v>
      </c>
      <c r="AB8" s="173" t="s">
        <v>3</v>
      </c>
      <c r="AC8" s="172" t="s">
        <v>5</v>
      </c>
      <c r="AD8" s="173" t="s">
        <v>3</v>
      </c>
    </row>
    <row r="9" spans="1:30">
      <c r="A9" s="62" t="s">
        <v>20</v>
      </c>
      <c r="B9" s="62"/>
      <c r="C9" s="137">
        <f>('Tuition-2Yr'!AL4/'Total E&amp;G-2Yr'!AL4)*100</f>
        <v>24.844147682434787</v>
      </c>
      <c r="D9" s="69">
        <f>('State Appropriations-2Yr'!AL4)/('Total E&amp;G-2Yr'!AL4)*100</f>
        <v>23.46555231470645</v>
      </c>
      <c r="E9" s="157">
        <f>IF((('Local Appropriations-2Yr'!AL4/'Total E&amp;G-2Yr'!AL4)*100)=0,(('Local Appropriations-2Yr'!AL4/'Total E&amp;G-2Yr'!AL4)*100),IF((('Local Appropriations-2Yr'!AL4/'Total E&amp;G-2Yr'!AL4)*100)&gt;=0.005,('Local Appropriations-2Yr'!AL4/'Total E&amp;G-2Yr'!AL4)*100,"*"))</f>
        <v>19.008705907063604</v>
      </c>
      <c r="F9" s="69">
        <f>('Fed Contracts Grnts-2Yr'!AL4)/('Total E&amp;G-2Yr'!AL4)*100</f>
        <v>18.291574866532738</v>
      </c>
      <c r="G9" s="137">
        <f>('Other Contracts Grnts-2Yr'!AL4/'Total E&amp;G-2Yr'!AL4)*100</f>
        <v>9.6425553965512787</v>
      </c>
      <c r="H9" s="69">
        <f>('All Other E&amp;G-2Yr'!AL4+'Investment Income-2Yr'!AL4)/('Total E&amp;G-2Yr'!AL4)*100</f>
        <v>4.7474638327111256</v>
      </c>
      <c r="I9" s="75">
        <f t="shared" ref="I9:N10" si="0">IF((C9-P9)=0,(C9-P9),IF((C9-P9)&gt;=0.005,(C9-P9),IF((C9-P9&lt;=-0.005),(C9-P9),"*")))</f>
        <v>-3.7321430505141002</v>
      </c>
      <c r="J9" s="75">
        <f t="shared" si="0"/>
        <v>-1.6443806658238103</v>
      </c>
      <c r="K9" s="71">
        <f t="shared" si="0"/>
        <v>4.4862161433067556</v>
      </c>
      <c r="L9" s="75">
        <f t="shared" si="0"/>
        <v>-3.3094071119905699</v>
      </c>
      <c r="M9" s="71">
        <f t="shared" si="0"/>
        <v>2.6382527162641276</v>
      </c>
      <c r="N9" s="75">
        <f t="shared" si="0"/>
        <v>1.5614619687575848</v>
      </c>
      <c r="O9" s="20"/>
      <c r="P9" s="21">
        <f>('Tuition-2Yr'!AG4/'Total E&amp;G-2Yr'!AG4)*100</f>
        <v>28.576290732948888</v>
      </c>
      <c r="Q9" s="22">
        <f>('State Appropriations-2Yr'!AG4/'Total E&amp;G-2Yr'!AG4)*100</f>
        <v>25.10993298053026</v>
      </c>
      <c r="R9" s="23">
        <f>IF((('Local Appropriations-2Yr'!AG4/'Total E&amp;G-2Yr'!AG4)*100)&gt;=0.005,('Local Appropriations-2Yr'!AG4/'Total E&amp;G-2Yr'!AG4)*100,"*")</f>
        <v>14.522489763756848</v>
      </c>
      <c r="S9" s="21">
        <f>('Fed Contracts Grnts-2Yr'!AG4/'Total E&amp;G-2Yr'!AG4)*100</f>
        <v>21.600981978523308</v>
      </c>
      <c r="T9" s="23">
        <f>('Other Contracts Grnts-2Yr'!AG4/'Total E&amp;G-2Yr'!AG4)*100</f>
        <v>7.0043026802871511</v>
      </c>
      <c r="U9" s="21">
        <f>IF(((('Investment Income-2Yr'!AG4+'All Other E&amp;G-2Yr'!AG4)/'Total E&amp;G-2Yr'!AG4)*100)&gt;=0.005,(('Investment Income-2Yr'!AG4+'All Other E&amp;G-2Yr'!AG4)/'Total E&amp;G-2Yr'!AG4)*100,"*")</f>
        <v>3.1860018639535408</v>
      </c>
      <c r="V9" s="5"/>
      <c r="W9" s="165">
        <f>SUM(P9:U9)</f>
        <v>100</v>
      </c>
      <c r="X9" s="166">
        <f>SUM(C9:H9)</f>
        <v>99.999999999999972</v>
      </c>
      <c r="Y9" s="94">
        <f>Q9+R9</f>
        <v>39.632422744287112</v>
      </c>
      <c r="Z9" s="95">
        <f>D9+E9</f>
        <v>42.474258221770057</v>
      </c>
      <c r="AA9" s="94">
        <f>+T9+S9</f>
        <v>28.605284658810458</v>
      </c>
      <c r="AB9" s="95">
        <f>+G9+F9</f>
        <v>27.934130263084015</v>
      </c>
      <c r="AC9" s="174">
        <f>+AA9+Y9+U9+P9</f>
        <v>100</v>
      </c>
      <c r="AD9" s="175">
        <f>+AB9+Z9+H9+C9</f>
        <v>99.999999999999972</v>
      </c>
    </row>
    <row r="10" spans="1:30">
      <c r="A10" s="63" t="s">
        <v>21</v>
      </c>
      <c r="B10" s="63"/>
      <c r="C10" s="140">
        <f>('Tuition-2Yr'!AL5/'Total E&amp;G-2Yr'!AL5)*100</f>
        <v>27.496207887850638</v>
      </c>
      <c r="D10" s="138">
        <f>('State Appropriations-2Yr'!AL5)/('Total E&amp;G-2Yr'!AL5)*100</f>
        <v>27.607322481924552</v>
      </c>
      <c r="E10" s="140">
        <f>IF((('Local Appropriations-2Yr'!AL5/'Total E&amp;G-2Yr'!AL5)*100)=0,(('Local Appropriations-2Yr'!AL5/'Total E&amp;G-2Yr'!AL5)*100),IF((('Local Appropriations-2Yr'!AL5/'Total E&amp;G-2Yr'!AL5)*100)&gt;=0.005,('Local Appropriations-2Yr'!AL5/'Total E&amp;G-2Yr'!AL5)*100,"*"))</f>
        <v>14.755661999123394</v>
      </c>
      <c r="F10" s="138">
        <f>('Fed Contracts Grnts-2Yr'!AL5)/('Total E&amp;G-2Yr'!AL5)*100</f>
        <v>21.826520893946757</v>
      </c>
      <c r="G10" s="140">
        <f>('Other Contracts Grnts-2Yr'!AL5/'Total E&amp;G-2Yr'!AL5)*100</f>
        <v>5.5731809744801426</v>
      </c>
      <c r="H10" s="140">
        <f>('All Other E&amp;G-2Yr'!AL5+'Investment Income-2Yr'!AL5)/('Total E&amp;G-2Yr'!AL5)*100</f>
        <v>2.7411057626745396</v>
      </c>
      <c r="I10" s="69">
        <f t="shared" si="0"/>
        <v>-2.0147024581663224</v>
      </c>
      <c r="J10" s="76">
        <f t="shared" si="0"/>
        <v>0.48393316090708538</v>
      </c>
      <c r="K10" s="69">
        <f t="shared" si="0"/>
        <v>2.8275013163982745</v>
      </c>
      <c r="L10" s="76">
        <f t="shared" si="0"/>
        <v>-2.3917981342369146</v>
      </c>
      <c r="M10" s="69">
        <f t="shared" si="0"/>
        <v>0.4348694346723736</v>
      </c>
      <c r="N10" s="76">
        <f t="shared" si="0"/>
        <v>0.66019668042552793</v>
      </c>
      <c r="O10" s="20"/>
      <c r="P10" s="21">
        <f>('Tuition-2Yr'!AG5/'Total E&amp;G-2Yr'!AG5)*100</f>
        <v>29.51091034601696</v>
      </c>
      <c r="Q10" s="22">
        <f>('State Appropriations-2Yr'!AG5/'Total E&amp;G-2Yr'!AG5)*100</f>
        <v>27.123389321017466</v>
      </c>
      <c r="R10" s="23">
        <f>IF((('Local Appropriations-2Yr'!AG5/'Total E&amp;G-2Yr'!AG5)*100)&gt;=0.005,('Local Appropriations-2Yr'!AG5/'Total E&amp;G-2Yr'!AG5)*100,"*")</f>
        <v>11.928160682725119</v>
      </c>
      <c r="S10" s="21">
        <f>('Fed Contracts Grnts-2Yr'!AG5/'Total E&amp;G-2Yr'!AG5)*100</f>
        <v>24.218319028183672</v>
      </c>
      <c r="T10" s="23">
        <f>('Other Contracts Grnts-2Yr'!AG5/'Total E&amp;G-2Yr'!AG5)*100</f>
        <v>5.138311539807769</v>
      </c>
      <c r="U10" s="21">
        <f>IF(((('Investment Income-2Yr'!AG5+'All Other E&amp;G-2Yr'!AG5)/'Total E&amp;G-2Yr'!AG5)*100)&gt;=0.005,(('Investment Income-2Yr'!AG5+'All Other E&amp;G-2Yr'!AG5)/'Total E&amp;G-2Yr'!AG5)*100,"*")</f>
        <v>2.0809090822490117</v>
      </c>
      <c r="V10" s="21"/>
      <c r="W10" s="165">
        <f t="shared" ref="W10:W68" si="1">SUM(P10:U10)</f>
        <v>100</v>
      </c>
      <c r="X10" s="166">
        <f t="shared" ref="X10:X68" si="2">SUM(C10:H10)</f>
        <v>100</v>
      </c>
      <c r="Y10" s="94">
        <f t="shared" ref="Y10:Y68" si="3">Q10+R10</f>
        <v>39.051550003742584</v>
      </c>
      <c r="Z10" s="95">
        <f>D10+E10</f>
        <v>42.362984481047945</v>
      </c>
      <c r="AA10" s="94">
        <f t="shared" ref="AA10:AA68" si="4">+T10+S10</f>
        <v>29.356630567991441</v>
      </c>
      <c r="AB10" s="95">
        <f t="shared" ref="AB10:AB68" si="5">+G10+F10</f>
        <v>27.399701868426899</v>
      </c>
      <c r="AC10" s="176">
        <f>+AA10+Y10+U10+P10</f>
        <v>99.999999999999986</v>
      </c>
      <c r="AD10" s="177">
        <f>+AB10+Z10+H10+C10</f>
        <v>100.00000000000003</v>
      </c>
    </row>
    <row r="11" spans="1:30">
      <c r="A11" s="63"/>
      <c r="B11" s="63"/>
      <c r="C11" s="137"/>
      <c r="D11" s="69"/>
      <c r="E11" s="137"/>
      <c r="F11" s="69"/>
      <c r="G11" s="137"/>
      <c r="H11" s="137"/>
      <c r="I11" s="69"/>
      <c r="J11" s="76"/>
      <c r="K11" s="69"/>
      <c r="L11" s="76"/>
      <c r="M11" s="69"/>
      <c r="N11" s="76"/>
      <c r="O11" s="20"/>
      <c r="P11" s="21"/>
      <c r="Q11" s="22"/>
      <c r="R11" s="23"/>
      <c r="S11" s="21"/>
      <c r="T11" s="23"/>
      <c r="U11" s="21"/>
      <c r="V11" s="21"/>
      <c r="W11" s="165"/>
      <c r="X11" s="166"/>
      <c r="Y11" s="94"/>
      <c r="Z11" s="95"/>
      <c r="AA11" s="94"/>
      <c r="AB11" s="95"/>
      <c r="AC11" s="176"/>
      <c r="AD11" s="177"/>
    </row>
    <row r="12" spans="1:30">
      <c r="A12" s="64" t="s">
        <v>22</v>
      </c>
      <c r="B12" s="64"/>
      <c r="C12" s="148">
        <f>('Tuition-2Yr'!AL7/'Total E&amp;G-2Yr'!AL7)*100</f>
        <v>30.204912939005514</v>
      </c>
      <c r="D12" s="70">
        <f>('State Appropriations-2Yr'!AL7)/('Total E&amp;G-2Yr'!AL7)*100</f>
        <v>36.148588797764887</v>
      </c>
      <c r="E12" s="148">
        <f>IF((('Local Appropriations-2Yr'!AL7/'Total E&amp;G-2Yr'!AL7)*100)=0,(('Local Appropriations-2Yr'!AL7/'Total E&amp;G-2Yr'!AL7)*100),IF((('Local Appropriations-2Yr'!AL7/'Total E&amp;G-2Yr'!AL7)*100)&gt;=0.005,('Local Appropriations-2Yr'!AL7/'Total E&amp;G-2Yr'!AL7)*100,"*"))</f>
        <v>0.27103137162953939</v>
      </c>
      <c r="F12" s="70">
        <f>('Fed Contracts Grnts-2Yr'!AL7)/('Total E&amp;G-2Yr'!AL7)*100</f>
        <v>25.863157853548557</v>
      </c>
      <c r="G12" s="148">
        <f>('Other Contracts Grnts-2Yr'!AL7/'Total E&amp;G-2Yr'!AL7)*100</f>
        <v>4.6912931445405377</v>
      </c>
      <c r="H12" s="148">
        <f>('All Other E&amp;G-2Yr'!AL7+'Investment Income-2Yr'!AL7)/('Total E&amp;G-2Yr'!AL7)*100</f>
        <v>2.8210158935109653</v>
      </c>
      <c r="I12" s="70">
        <f t="shared" ref="I12:I28" si="6">IF((C12-P12)=0,(C12-P12),IF((C12-P12)&gt;=0.005,(C12-P12),IF((C12-P12&lt;=-0.005),(C12-P12),"*")))</f>
        <v>-2.5929835833780679</v>
      </c>
      <c r="J12" s="77">
        <f t="shared" ref="J12:J28" si="7">IF((D12-Q12)=0,(D12-Q12),IF((D12-Q12)&gt;=0.005,(D12-Q12),IF((D12-Q12&lt;=-0.005),(D12-Q12),"*")))</f>
        <v>2.9851484631842595</v>
      </c>
      <c r="K12" s="70">
        <f t="shared" ref="K12:K28" si="8">IF((E12-R12)=0,(E12-R12),IF((E12-R12)&gt;=0.005,(E12-R12),IF((E12-R12&lt;=-0.005),(E12-R12),"*")))</f>
        <v>4.2507774313490759E-2</v>
      </c>
      <c r="L12" s="77">
        <f t="shared" ref="L12:L28" si="9">IF((F12-S12)=0,(F12-S12),IF((F12-S12)&gt;=0.005,(F12-S12),IF((F12-S12&lt;=-0.005),(F12-S12),"*")))</f>
        <v>-2.551353575687898</v>
      </c>
      <c r="M12" s="70">
        <f t="shared" ref="M12:M28" si="10">IF((G12-T12)=0,(G12-T12),IF((G12-T12)&gt;=0.005,(G12-T12),IF((G12-T12&lt;=-0.005),(G12-T12),"*")))</f>
        <v>0.88998195722284112</v>
      </c>
      <c r="N12" s="77">
        <f t="shared" ref="N12:N28" si="11">IF((H12-U12)=0,(H12-U12),IF((H12-U12)&gt;=0.005,(H12-U12),IF((H12-U12&lt;=-0.005),(H12-U12),"*")))</f>
        <v>1.2266989643454072</v>
      </c>
      <c r="O12" s="20"/>
      <c r="P12" s="21">
        <f>('Tuition-2Yr'!AG7/'Total E&amp;G-2Yr'!AG7)*100</f>
        <v>32.797896522383581</v>
      </c>
      <c r="Q12" s="22">
        <f>('State Appropriations-2Yr'!AG7/'Total E&amp;G-2Yr'!AG7)*100</f>
        <v>33.163440334580628</v>
      </c>
      <c r="R12" s="23">
        <f>IF((('Local Appropriations-2Yr'!AG7/'Total E&amp;G-2Yr'!AG7)*100)&gt;=0.005,('Local Appropriations-2Yr'!AG7/'Total E&amp;G-2Yr'!AG7)*100,"*")</f>
        <v>0.22852359731604863</v>
      </c>
      <c r="S12" s="21">
        <f>('Fed Contracts Grnts-2Yr'!AG7/'Total E&amp;G-2Yr'!AG7)*100</f>
        <v>28.414511429236455</v>
      </c>
      <c r="T12" s="23">
        <f>('Other Contracts Grnts-2Yr'!AG7/'Total E&amp;G-2Yr'!AG7)*100</f>
        <v>3.8013111873176966</v>
      </c>
      <c r="U12" s="21">
        <f>IF(((('Investment Income-2Yr'!AG7+'All Other E&amp;G-2Yr'!AG7)/'Total E&amp;G-2Yr'!AG7)*100)&gt;=0.005,(('Investment Income-2Yr'!AG7+'All Other E&amp;G-2Yr'!AG7)/'Total E&amp;G-2Yr'!AG7)*100,"*")</f>
        <v>1.5943169291655581</v>
      </c>
      <c r="V12" s="21"/>
      <c r="W12" s="165">
        <f t="shared" si="1"/>
        <v>99.999999999999972</v>
      </c>
      <c r="X12" s="166">
        <f t="shared" si="2"/>
        <v>99.999999999999986</v>
      </c>
      <c r="Y12" s="94">
        <f t="shared" si="3"/>
        <v>33.391963931896676</v>
      </c>
      <c r="Z12" s="95">
        <f t="shared" ref="Z12:Z68" si="12">D12+E12</f>
        <v>36.419620169394427</v>
      </c>
      <c r="AA12" s="94">
        <f t="shared" si="4"/>
        <v>32.215822616554149</v>
      </c>
      <c r="AB12" s="95">
        <f t="shared" si="5"/>
        <v>30.554450998089095</v>
      </c>
      <c r="AC12" s="176">
        <f>+AA12+Y12+U12+P12</f>
        <v>99.999999999999972</v>
      </c>
      <c r="AD12" s="177">
        <f>+AB12+Z12+H12+C12</f>
        <v>99.999999999999986</v>
      </c>
    </row>
    <row r="13" spans="1:30">
      <c r="A13" s="64" t="s">
        <v>23</v>
      </c>
      <c r="B13" s="64"/>
      <c r="C13" s="148">
        <f>('Tuition-2Yr'!AL8/'Total E&amp;G-2Yr'!AL8)*100</f>
        <v>25.452943620413883</v>
      </c>
      <c r="D13" s="70">
        <f>('State Appropriations-2Yr'!AL8)/('Total E&amp;G-2Yr'!AL8)*100</f>
        <v>33.415952458780481</v>
      </c>
      <c r="E13" s="148">
        <f>IF((('Local Appropriations-2Yr'!AL8/'Total E&amp;G-2Yr'!AL8)*100)=0,(('Local Appropriations-2Yr'!AL8/'Total E&amp;G-2Yr'!AL8)*100),IF((('Local Appropriations-2Yr'!AL8/'Total E&amp;G-2Yr'!AL8)*100)&gt;=0.005,('Local Appropriations-2Yr'!AL8/'Total E&amp;G-2Yr'!AL8)*100,"*"))</f>
        <v>5.7906634300800484</v>
      </c>
      <c r="F13" s="70">
        <f>('Fed Contracts Grnts-2Yr'!AL8)/('Total E&amp;G-2Yr'!AL8)*100</f>
        <v>25.147063005884863</v>
      </c>
      <c r="G13" s="148">
        <f>('Other Contracts Grnts-2Yr'!AL8/'Total E&amp;G-2Yr'!AL8)*100</f>
        <v>8.4375493199035319</v>
      </c>
      <c r="H13" s="148">
        <f>('All Other E&amp;G-2Yr'!AL8+'Investment Income-2Yr'!AL8)/('Total E&amp;G-2Yr'!AL8)*100</f>
        <v>1.7558281649372083</v>
      </c>
      <c r="I13" s="70">
        <f t="shared" si="6"/>
        <v>-0.53041998988814143</v>
      </c>
      <c r="J13" s="77">
        <f t="shared" si="7"/>
        <v>0.62596327388448714</v>
      </c>
      <c r="K13" s="70">
        <f t="shared" si="8"/>
        <v>0.77057973470190433</v>
      </c>
      <c r="L13" s="77">
        <f t="shared" si="9"/>
        <v>-3.0074735780636743</v>
      </c>
      <c r="M13" s="70">
        <f t="shared" si="10"/>
        <v>1.6914377420335853</v>
      </c>
      <c r="N13" s="77">
        <f t="shared" si="11"/>
        <v>0.44991281733185273</v>
      </c>
      <c r="O13" s="20"/>
      <c r="P13" s="21">
        <f>('Tuition-2Yr'!AG8/'Total E&amp;G-2Yr'!AG8)*100</f>
        <v>25.983363610302025</v>
      </c>
      <c r="Q13" s="22">
        <f>('State Appropriations-2Yr'!AG8/'Total E&amp;G-2Yr'!AG8)*100</f>
        <v>32.789989184895994</v>
      </c>
      <c r="R13" s="23">
        <f>IF((('Local Appropriations-2Yr'!AG8/'Total E&amp;G-2Yr'!AG8)*100)&gt;=0.005,('Local Appropriations-2Yr'!AG8/'Total E&amp;G-2Yr'!AG8)*100,"*")</f>
        <v>5.020083695378144</v>
      </c>
      <c r="S13" s="21">
        <f>('Fed Contracts Grnts-2Yr'!AG8/'Total E&amp;G-2Yr'!AG8)*100</f>
        <v>28.154536583948538</v>
      </c>
      <c r="T13" s="23">
        <f>('Other Contracts Grnts-2Yr'!AG8/'Total E&amp;G-2Yr'!AG8)*100</f>
        <v>6.7461115778699465</v>
      </c>
      <c r="U13" s="21">
        <f>IF(((('Investment Income-2Yr'!AG8+'All Other E&amp;G-2Yr'!AG8)/'Total E&amp;G-2Yr'!AG8)*100)&gt;=0.005,(('Investment Income-2Yr'!AG8+'All Other E&amp;G-2Yr'!AG8)/'Total E&amp;G-2Yr'!AG8)*100,"*")</f>
        <v>1.3059153476053555</v>
      </c>
      <c r="V13" s="21"/>
      <c r="W13" s="165">
        <f t="shared" si="1"/>
        <v>100</v>
      </c>
      <c r="X13" s="166">
        <f t="shared" si="2"/>
        <v>100.00000000000003</v>
      </c>
      <c r="Y13" s="94">
        <f t="shared" si="3"/>
        <v>37.810072880274134</v>
      </c>
      <c r="Z13" s="95">
        <f t="shared" si="12"/>
        <v>39.206615888860526</v>
      </c>
      <c r="AA13" s="94">
        <f t="shared" si="4"/>
        <v>34.900648161818481</v>
      </c>
      <c r="AB13" s="95">
        <f t="shared" si="5"/>
        <v>33.584612325788399</v>
      </c>
      <c r="AC13" s="176">
        <f>+AA13+Y13+U13+P13</f>
        <v>99.999999999999986</v>
      </c>
      <c r="AD13" s="177">
        <f>+AB13+Z13+H13+C13</f>
        <v>100.00000000000003</v>
      </c>
    </row>
    <row r="14" spans="1:30">
      <c r="A14" s="64" t="s">
        <v>24</v>
      </c>
      <c r="B14" s="64"/>
      <c r="C14" s="148">
        <f>('Tuition-2Yr'!AL9/'Total E&amp;G-2Yr'!AL9)*100</f>
        <v>33.468429853725716</v>
      </c>
      <c r="D14" s="70">
        <f>('State Appropriations-2Yr'!AL9)/('Total E&amp;G-2Yr'!AL9)*100</f>
        <v>39.477927863000964</v>
      </c>
      <c r="E14" s="148">
        <f>IF((('Local Appropriations-2Yr'!AL9/'Total E&amp;G-2Yr'!AL9)*100)=0,(('Local Appropriations-2Yr'!AL9/'Total E&amp;G-2Yr'!AL9)*100),IF((('Local Appropriations-2Yr'!AL9/'Total E&amp;G-2Yr'!AL9)*100)&gt;=0.005,('Local Appropriations-2Yr'!AL9/'Total E&amp;G-2Yr'!AL9)*100,"*"))</f>
        <v>0</v>
      </c>
      <c r="F14" s="70">
        <f>('Fed Contracts Grnts-2Yr'!AL9)/('Total E&amp;G-2Yr'!AL9)*100</f>
        <v>17.945711968451192</v>
      </c>
      <c r="G14" s="148">
        <f>('Other Contracts Grnts-2Yr'!AL9/'Total E&amp;G-2Yr'!AL9)*100</f>
        <v>9.1079303148221165</v>
      </c>
      <c r="H14" s="148">
        <f>('All Other E&amp;G-2Yr'!AL9+'Investment Income-2Yr'!AL9)/('Total E&amp;G-2Yr'!AL9)*100</f>
        <v>0</v>
      </c>
      <c r="I14" s="70">
        <f t="shared" si="6"/>
        <v>-3.1996954045655883</v>
      </c>
      <c r="J14" s="77">
        <f t="shared" si="7"/>
        <v>1.5570530355763026</v>
      </c>
      <c r="K14" s="70">
        <f t="shared" si="8"/>
        <v>0</v>
      </c>
      <c r="L14" s="77">
        <f t="shared" si="9"/>
        <v>2.861349057786958</v>
      </c>
      <c r="M14" s="70">
        <f t="shared" si="10"/>
        <v>-1.218706688797683</v>
      </c>
      <c r="N14" s="77">
        <f t="shared" si="11"/>
        <v>0</v>
      </c>
      <c r="O14" s="20"/>
      <c r="P14" s="21">
        <f>('Tuition-2Yr'!AG9/'Total E&amp;G-2Yr'!AG9)*100</f>
        <v>36.668125258291305</v>
      </c>
      <c r="Q14" s="22">
        <f>('State Appropriations-2Yr'!AG9/'Total E&amp;G-2Yr'!AG9)*100</f>
        <v>37.920874827424662</v>
      </c>
      <c r="R14" s="23" t="str">
        <f>IF((('Local Appropriations-2Yr'!AG9/'Total E&amp;G-2Yr'!AG9)*100)&gt;=0.005,('Local Appropriations-2Yr'!AG9/'Total E&amp;G-2Yr'!AG9)*100,"*")</f>
        <v>*</v>
      </c>
      <c r="S14" s="21">
        <f>('Fed Contracts Grnts-2Yr'!AG9/'Total E&amp;G-2Yr'!AG9)*100</f>
        <v>15.084362910664234</v>
      </c>
      <c r="T14" s="23">
        <f>('Other Contracts Grnts-2Yr'!AG9/'Total E&amp;G-2Yr'!AG9)*100</f>
        <v>10.326637003619799</v>
      </c>
      <c r="U14" s="21" t="str">
        <f>IF(((('Investment Income-2Yr'!AG9+'All Other E&amp;G-2Yr'!AG9)/'Total E&amp;G-2Yr'!AG9)*100)&gt;=0.005,(('Investment Income-2Yr'!AG9+'All Other E&amp;G-2Yr'!AG9)/'Total E&amp;G-2Yr'!AG9)*100,"*")</f>
        <v>*</v>
      </c>
      <c r="V14" s="21"/>
      <c r="W14" s="165">
        <f t="shared" si="1"/>
        <v>100</v>
      </c>
      <c r="X14" s="166">
        <f t="shared" si="2"/>
        <v>99.999999999999986</v>
      </c>
      <c r="Y14" s="94">
        <f t="shared" si="3"/>
        <v>37.920874827424662</v>
      </c>
      <c r="Z14" s="95">
        <f t="shared" si="12"/>
        <v>39.477927863000964</v>
      </c>
      <c r="AA14" s="94">
        <f t="shared" si="4"/>
        <v>25.410999914284034</v>
      </c>
      <c r="AB14" s="95">
        <f t="shared" si="5"/>
        <v>27.053642283273309</v>
      </c>
      <c r="AC14" s="176">
        <f>+AA14+Y14+U14+P14</f>
        <v>100</v>
      </c>
      <c r="AD14" s="177">
        <f>+AB14+Z14+H14+C14</f>
        <v>100</v>
      </c>
    </row>
    <row r="15" spans="1:30">
      <c r="A15" s="64" t="s">
        <v>25</v>
      </c>
      <c r="B15" s="64"/>
      <c r="C15" s="148">
        <f>('Tuition-2Yr'!AL10/'Total E&amp;G-2Yr'!AL10)*100</f>
        <v>27.637857250321957</v>
      </c>
      <c r="D15" s="70">
        <f>('State Appropriations-2Yr'!AL10)/('Total E&amp;G-2Yr'!AL10)*100</f>
        <v>34.286927057522973</v>
      </c>
      <c r="E15" s="148">
        <f>IF((('Local Appropriations-2Yr'!AL10/'Total E&amp;G-2Yr'!AL10)*100)=0,(('Local Appropriations-2Yr'!AL10/'Total E&amp;G-2Yr'!AL10)*100),IF((('Local Appropriations-2Yr'!AL10/'Total E&amp;G-2Yr'!AL10)*100)&gt;=0.005,('Local Appropriations-2Yr'!AL10/'Total E&amp;G-2Yr'!AL10)*100,"*"))</f>
        <v>0</v>
      </c>
      <c r="F15" s="70">
        <f>('Fed Contracts Grnts-2Yr'!AL10)/('Total E&amp;G-2Yr'!AL10)*100</f>
        <v>26.683039000205255</v>
      </c>
      <c r="G15" s="148">
        <f>('Other Contracts Grnts-2Yr'!AL10/'Total E&amp;G-2Yr'!AL10)*100</f>
        <v>8.2534766612573485</v>
      </c>
      <c r="H15" s="148">
        <f>('All Other E&amp;G-2Yr'!AL10+'Investment Income-2Yr'!AL10)/('Total E&amp;G-2Yr'!AL10)*100</f>
        <v>3.1387000306924677</v>
      </c>
      <c r="I15" s="70">
        <f t="shared" si="6"/>
        <v>-2.7819879857122842</v>
      </c>
      <c r="J15" s="77">
        <f t="shared" si="7"/>
        <v>1.7040743202459652</v>
      </c>
      <c r="K15" s="70">
        <f t="shared" si="8"/>
        <v>0</v>
      </c>
      <c r="L15" s="77">
        <f t="shared" si="9"/>
        <v>-1.8482369427972429</v>
      </c>
      <c r="M15" s="70">
        <f t="shared" si="10"/>
        <v>2.2067337302637826</v>
      </c>
      <c r="N15" s="77">
        <f t="shared" si="11"/>
        <v>0.71941687799978071</v>
      </c>
      <c r="O15" s="20"/>
      <c r="P15" s="21">
        <f>('Tuition-2Yr'!AG10/'Total E&amp;G-2Yr'!AG10)*100</f>
        <v>30.419845236034242</v>
      </c>
      <c r="Q15" s="22">
        <f>('State Appropriations-2Yr'!AG10/'Total E&amp;G-2Yr'!AG10)*100</f>
        <v>32.582852737277008</v>
      </c>
      <c r="R15" s="23" t="str">
        <f>IF((('Local Appropriations-2Yr'!AG10/'Total E&amp;G-2Yr'!AG10)*100)&gt;=0.005,('Local Appropriations-2Yr'!AG10/'Total E&amp;G-2Yr'!AG10)*100,"*")</f>
        <v>*</v>
      </c>
      <c r="S15" s="21">
        <f>('Fed Contracts Grnts-2Yr'!AG10/'Total E&amp;G-2Yr'!AG10)*100</f>
        <v>28.531275943002498</v>
      </c>
      <c r="T15" s="23">
        <f>('Other Contracts Grnts-2Yr'!AG10/'Total E&amp;G-2Yr'!AG10)*100</f>
        <v>6.0467429309935659</v>
      </c>
      <c r="U15" s="21">
        <f>IF(((('Investment Income-2Yr'!AG10+'All Other E&amp;G-2Yr'!AG10)/'Total E&amp;G-2Yr'!AG10)*100)&gt;=0.005,(('Investment Income-2Yr'!AG10+'All Other E&amp;G-2Yr'!AG10)/'Total E&amp;G-2Yr'!AG10)*100,"*")</f>
        <v>2.419283152692687</v>
      </c>
      <c r="V15" s="21"/>
      <c r="W15" s="165">
        <f t="shared" si="1"/>
        <v>100</v>
      </c>
      <c r="X15" s="166">
        <f t="shared" si="2"/>
        <v>100</v>
      </c>
      <c r="Y15" s="94">
        <f t="shared" si="3"/>
        <v>32.582852737277008</v>
      </c>
      <c r="Z15" s="95">
        <f t="shared" si="12"/>
        <v>34.286927057522973</v>
      </c>
      <c r="AA15" s="94">
        <f t="shared" si="4"/>
        <v>34.578018873996065</v>
      </c>
      <c r="AB15" s="95">
        <f t="shared" si="5"/>
        <v>34.936515661462607</v>
      </c>
      <c r="AC15" s="176">
        <f>+AA15+Y15+U15+P15</f>
        <v>100</v>
      </c>
      <c r="AD15" s="177">
        <f>+AB15+Z15+H15+C15</f>
        <v>100</v>
      </c>
    </row>
    <row r="16" spans="1:30">
      <c r="A16" s="63" t="s">
        <v>26</v>
      </c>
      <c r="B16" s="63"/>
      <c r="C16" s="137">
        <f>('Tuition-2Yr'!AL11/'Total E&amp;G-2Yr'!AL11)*100</f>
        <v>36.7703477179655</v>
      </c>
      <c r="D16" s="69">
        <f>('State Appropriations-2Yr'!AL11)/('Total E&amp;G-2Yr'!AL11)*100</f>
        <v>24.4691689447654</v>
      </c>
      <c r="E16" s="137">
        <f>IF((('Local Appropriations-2Yr'!AL11/'Total E&amp;G-2Yr'!AL11)*100)=0,(('Local Appropriations-2Yr'!AL11/'Total E&amp;G-2Yr'!AL11)*100),IF((('Local Appropriations-2Yr'!AL11/'Total E&amp;G-2Yr'!AL11)*100)&gt;=0.005,('Local Appropriations-2Yr'!AL11/'Total E&amp;G-2Yr'!AL11)*100,"*"))</f>
        <v>0</v>
      </c>
      <c r="F16" s="69">
        <f>('Fed Contracts Grnts-2Yr'!AL11)/('Total E&amp;G-2Yr'!AL11)*100</f>
        <v>29.516374895066434</v>
      </c>
      <c r="G16" s="137">
        <f>('Other Contracts Grnts-2Yr'!AL11/'Total E&amp;G-2Yr'!AL11)*100</f>
        <v>6.5922364540091261</v>
      </c>
      <c r="H16" s="137">
        <f>('All Other E&amp;G-2Yr'!AL11+'Investment Income-2Yr'!AL11)/('Total E&amp;G-2Yr'!AL11)*100</f>
        <v>2.6518719881935509</v>
      </c>
      <c r="I16" s="69">
        <f t="shared" si="6"/>
        <v>-0.76891355539782325</v>
      </c>
      <c r="J16" s="76">
        <f t="shared" si="7"/>
        <v>-4.9872445301398471</v>
      </c>
      <c r="K16" s="69">
        <f t="shared" si="8"/>
        <v>0</v>
      </c>
      <c r="L16" s="76">
        <f t="shared" si="9"/>
        <v>1.6997530871538054</v>
      </c>
      <c r="M16" s="69">
        <f t="shared" si="10"/>
        <v>3.4274306186689354</v>
      </c>
      <c r="N16" s="76">
        <f t="shared" si="11"/>
        <v>0.62897437971494519</v>
      </c>
      <c r="O16" s="20"/>
      <c r="P16" s="21">
        <f>('Tuition-2Yr'!AG11/'Total E&amp;G-2Yr'!AG11)*100</f>
        <v>37.539261273363323</v>
      </c>
      <c r="Q16" s="22">
        <f>('State Appropriations-2Yr'!AG11/'Total E&amp;G-2Yr'!AG11)*100</f>
        <v>29.456413474905247</v>
      </c>
      <c r="R16" s="23" t="str">
        <f>IF((('Local Appropriations-2Yr'!AG11/'Total E&amp;G-2Yr'!AG11)*100)&gt;=0.005,('Local Appropriations-2Yr'!AG11/'Total E&amp;G-2Yr'!AG11)*100,"*")</f>
        <v>*</v>
      </c>
      <c r="S16" s="21">
        <f>('Fed Contracts Grnts-2Yr'!AG11/'Total E&amp;G-2Yr'!AG11)*100</f>
        <v>27.816621807912629</v>
      </c>
      <c r="T16" s="23">
        <f>('Other Contracts Grnts-2Yr'!AG11/'Total E&amp;G-2Yr'!AG11)*100</f>
        <v>3.1648058353401907</v>
      </c>
      <c r="U16" s="21">
        <f>IF(((('Investment Income-2Yr'!AG11+'All Other E&amp;G-2Yr'!AG11)/'Total E&amp;G-2Yr'!AG11)*100)&gt;=0.005,(('Investment Income-2Yr'!AG11+'All Other E&amp;G-2Yr'!AG11)/'Total E&amp;G-2Yr'!AG11)*100,"*")</f>
        <v>2.0228976084786057</v>
      </c>
      <c r="V16" s="21"/>
      <c r="W16" s="165">
        <f t="shared" si="1"/>
        <v>99.999999999999986</v>
      </c>
      <c r="X16" s="166">
        <f t="shared" si="2"/>
        <v>100</v>
      </c>
      <c r="Y16" s="94">
        <f t="shared" si="3"/>
        <v>29.456413474905247</v>
      </c>
      <c r="Z16" s="95">
        <f t="shared" si="12"/>
        <v>24.4691689447654</v>
      </c>
      <c r="AA16" s="94">
        <f t="shared" si="4"/>
        <v>30.981427643252818</v>
      </c>
      <c r="AB16" s="95">
        <f t="shared" si="5"/>
        <v>36.108611349075559</v>
      </c>
      <c r="AC16" s="176">
        <f>+AA16+Y16+U16+P16</f>
        <v>100</v>
      </c>
      <c r="AD16" s="177">
        <f>+AB16+Z16+H16+C16</f>
        <v>100</v>
      </c>
    </row>
    <row r="17" spans="1:31">
      <c r="A17" s="63" t="s">
        <v>27</v>
      </c>
      <c r="B17" s="63"/>
      <c r="C17" s="137">
        <f>('Tuition-2Yr'!AL12/'Total E&amp;G-2Yr'!AL12)*100</f>
        <v>35.346075812292014</v>
      </c>
      <c r="D17" s="69">
        <f>('State Appropriations-2Yr'!AL12)/('Total E&amp;G-2Yr'!AL12)*100</f>
        <v>24.734178576652063</v>
      </c>
      <c r="E17" s="137">
        <f>IF((('Local Appropriations-2Yr'!AL12/'Total E&amp;G-2Yr'!AL12)*100)=0,(('Local Appropriations-2Yr'!AL12/'Total E&amp;G-2Yr'!AL12)*100),IF((('Local Appropriations-2Yr'!AL12/'Total E&amp;G-2Yr'!AL12)*100)&gt;=0.005,('Local Appropriations-2Yr'!AL12/'Total E&amp;G-2Yr'!AL12)*100,"*"))</f>
        <v>0</v>
      </c>
      <c r="F17" s="69">
        <f>('Fed Contracts Grnts-2Yr'!AL12)/('Total E&amp;G-2Yr'!AL12)*100</f>
        <v>28.296031361876555</v>
      </c>
      <c r="G17" s="137">
        <f>('Other Contracts Grnts-2Yr'!AL12/'Total E&amp;G-2Yr'!AL12)*100</f>
        <v>9.4680283896464967</v>
      </c>
      <c r="H17" s="137">
        <f>('All Other E&amp;G-2Yr'!AL12+'Investment Income-2Yr'!AL12)/('Total E&amp;G-2Yr'!AL12)*100</f>
        <v>2.1556858595328734</v>
      </c>
      <c r="I17" s="69">
        <f t="shared" si="6"/>
        <v>0.49447488917588345</v>
      </c>
      <c r="J17" s="76">
        <f t="shared" si="7"/>
        <v>5.298925954870505</v>
      </c>
      <c r="K17" s="119">
        <f t="shared" si="8"/>
        <v>-6.6962144348011532E-3</v>
      </c>
      <c r="L17" s="76">
        <f t="shared" si="9"/>
        <v>-4.0778348352057598</v>
      </c>
      <c r="M17" s="69">
        <f t="shared" si="10"/>
        <v>-1.1694179496650747E-2</v>
      </c>
      <c r="N17" s="76">
        <f t="shared" si="11"/>
        <v>-1.6971756149091641</v>
      </c>
      <c r="O17" s="20"/>
      <c r="P17" s="21">
        <f>('Tuition-2Yr'!AG12/'Total E&amp;G-2Yr'!AG12)*100</f>
        <v>34.851600923116131</v>
      </c>
      <c r="Q17" s="22">
        <f>('State Appropriations-2Yr'!AG12/'Total E&amp;G-2Yr'!AG12)*100</f>
        <v>19.435252621781558</v>
      </c>
      <c r="R17" s="23">
        <f>IF((('Local Appropriations-2Yr'!AG12/'Total E&amp;G-2Yr'!AG12)*100)&gt;=0.005,('Local Appropriations-2Yr'!AG12/'Total E&amp;G-2Yr'!AG12)*100,"*")</f>
        <v>6.6962144348011532E-3</v>
      </c>
      <c r="S17" s="21">
        <f>('Fed Contracts Grnts-2Yr'!AG12/'Total E&amp;G-2Yr'!AG12)*100</f>
        <v>32.373866197082314</v>
      </c>
      <c r="T17" s="23">
        <f>('Other Contracts Grnts-2Yr'!AG12/'Total E&amp;G-2Yr'!AG12)*100</f>
        <v>9.4797225691431475</v>
      </c>
      <c r="U17" s="21">
        <f>IF(((('Investment Income-2Yr'!AG12+'All Other E&amp;G-2Yr'!AG12)/'Total E&amp;G-2Yr'!AG12)*100)&gt;=0.005,(('Investment Income-2Yr'!AG12+'All Other E&amp;G-2Yr'!AG12)/'Total E&amp;G-2Yr'!AG12)*100,"*")</f>
        <v>3.8528614744420375</v>
      </c>
      <c r="V17" s="21"/>
      <c r="W17" s="165">
        <f t="shared" si="1"/>
        <v>99.999999999999986</v>
      </c>
      <c r="X17" s="166">
        <f t="shared" si="2"/>
        <v>100</v>
      </c>
      <c r="Y17" s="94">
        <f t="shared" si="3"/>
        <v>19.441948836216358</v>
      </c>
      <c r="Z17" s="95">
        <f t="shared" si="12"/>
        <v>24.734178576652063</v>
      </c>
      <c r="AA17" s="94">
        <f t="shared" si="4"/>
        <v>41.853588766225464</v>
      </c>
      <c r="AB17" s="95">
        <f t="shared" si="5"/>
        <v>37.76405975152305</v>
      </c>
      <c r="AC17" s="176">
        <f>+AA17+Y17+U17+P17</f>
        <v>100</v>
      </c>
      <c r="AD17" s="177">
        <f>+AB17+Z17+H17+C17</f>
        <v>100</v>
      </c>
    </row>
    <row r="18" spans="1:31">
      <c r="A18" s="63" t="s">
        <v>28</v>
      </c>
      <c r="B18" s="63"/>
      <c r="C18" s="137">
        <f>('Tuition-2Yr'!AL13/'Total E&amp;G-2Yr'!AL13)*100</f>
        <v>36.226716377510456</v>
      </c>
      <c r="D18" s="69">
        <f>('State Appropriations-2Yr'!AL13)/('Total E&amp;G-2Yr'!AL13)*100</f>
        <v>19.516840240794515</v>
      </c>
      <c r="E18" s="137">
        <f>IF((('Local Appropriations-2Yr'!AL13/'Total E&amp;G-2Yr'!AL13)*100)=0,(('Local Appropriations-2Yr'!AL13/'Total E&amp;G-2Yr'!AL13)*100),IF((('Local Appropriations-2Yr'!AL13/'Total E&amp;G-2Yr'!AL13)*100)&gt;=0.005,('Local Appropriations-2Yr'!AL13/'Total E&amp;G-2Yr'!AL13)*100,"*"))</f>
        <v>0</v>
      </c>
      <c r="F18" s="69">
        <f>('Fed Contracts Grnts-2Yr'!AL13)/('Total E&amp;G-2Yr'!AL13)*100</f>
        <v>36.699705062991022</v>
      </c>
      <c r="G18" s="137">
        <f>('Other Contracts Grnts-2Yr'!AL13/'Total E&amp;G-2Yr'!AL13)*100</f>
        <v>3.1738615980437825</v>
      </c>
      <c r="H18" s="137">
        <f>('All Other E&amp;G-2Yr'!AL13+'Investment Income-2Yr'!AL13)/('Total E&amp;G-2Yr'!AL13)*100</f>
        <v>4.3828767206602208</v>
      </c>
      <c r="I18" s="69">
        <f t="shared" si="6"/>
        <v>-2.4883952970214054</v>
      </c>
      <c r="J18" s="76">
        <f t="shared" si="7"/>
        <v>-0.70805068728489573</v>
      </c>
      <c r="K18" s="69">
        <f t="shared" si="8"/>
        <v>0</v>
      </c>
      <c r="L18" s="76">
        <f t="shared" si="9"/>
        <v>0.62352236437950381</v>
      </c>
      <c r="M18" s="69">
        <f t="shared" si="10"/>
        <v>0.41565219074128246</v>
      </c>
      <c r="N18" s="76">
        <f t="shared" si="11"/>
        <v>2.1572714291855144</v>
      </c>
      <c r="O18" s="20"/>
      <c r="P18" s="21">
        <f>('Tuition-2Yr'!AG13/'Total E&amp;G-2Yr'!AG13)*100</f>
        <v>38.715111674531862</v>
      </c>
      <c r="Q18" s="22">
        <f>('State Appropriations-2Yr'!AG13/'Total E&amp;G-2Yr'!AG13)*100</f>
        <v>20.224890928079411</v>
      </c>
      <c r="R18" s="23" t="str">
        <f>IF((('Local Appropriations-2Yr'!AG13/'Total E&amp;G-2Yr'!AG13)*100)&gt;=0.005,('Local Appropriations-2Yr'!AG13/'Total E&amp;G-2Yr'!AG13)*100,"*")</f>
        <v>*</v>
      </c>
      <c r="S18" s="21">
        <f>('Fed Contracts Grnts-2Yr'!AG13/'Total E&amp;G-2Yr'!AG13)*100</f>
        <v>36.076182698611518</v>
      </c>
      <c r="T18" s="23">
        <f>('Other Contracts Grnts-2Yr'!AG13/'Total E&amp;G-2Yr'!AG13)*100</f>
        <v>2.7582094073025001</v>
      </c>
      <c r="U18" s="21">
        <f>IF(((('Investment Income-2Yr'!AG13+'All Other E&amp;G-2Yr'!AG13)/'Total E&amp;G-2Yr'!AG13)*100)&gt;=0.005,(('Investment Income-2Yr'!AG13+'All Other E&amp;G-2Yr'!AG13)/'Total E&amp;G-2Yr'!AG13)*100,"*")</f>
        <v>2.2256052914747064</v>
      </c>
      <c r="V18" s="21"/>
      <c r="W18" s="165">
        <f t="shared" si="1"/>
        <v>100</v>
      </c>
      <c r="X18" s="166">
        <f t="shared" si="2"/>
        <v>100</v>
      </c>
      <c r="Y18" s="94">
        <f t="shared" si="3"/>
        <v>20.224890928079411</v>
      </c>
      <c r="Z18" s="95">
        <f t="shared" si="12"/>
        <v>19.516840240794515</v>
      </c>
      <c r="AA18" s="94">
        <f t="shared" si="4"/>
        <v>38.83439210591402</v>
      </c>
      <c r="AB18" s="95">
        <f t="shared" si="5"/>
        <v>39.873566661034808</v>
      </c>
      <c r="AC18" s="176">
        <f>+AA18+Y18+U18+P18</f>
        <v>100</v>
      </c>
      <c r="AD18" s="177">
        <f>+AB18+Z18+H18+C18</f>
        <v>100</v>
      </c>
    </row>
    <row r="19" spans="1:31">
      <c r="A19" s="63" t="s">
        <v>29</v>
      </c>
      <c r="B19" s="63"/>
      <c r="C19" s="137">
        <f>('Tuition-2Yr'!AL14/'Total E&amp;G-2Yr'!AL14)*100</f>
        <v>28.152475712572244</v>
      </c>
      <c r="D19" s="69">
        <f>('State Appropriations-2Yr'!AL14)/('Total E&amp;G-2Yr'!AL14)*100</f>
        <v>21.687170810434157</v>
      </c>
      <c r="E19" s="137">
        <f>IF((('Local Appropriations-2Yr'!AL14/'Total E&amp;G-2Yr'!AL14)*100)=0,(('Local Appropriations-2Yr'!AL14/'Total E&amp;G-2Yr'!AL14)*100),IF((('Local Appropriations-2Yr'!AL14/'Total E&amp;G-2Yr'!AL14)*100)&gt;=0.005,('Local Appropriations-2Yr'!AL14/'Total E&amp;G-2Yr'!AL14)*100,"*"))</f>
        <v>30.06871269240548</v>
      </c>
      <c r="F19" s="69">
        <f>('Fed Contracts Grnts-2Yr'!AL14)/('Total E&amp;G-2Yr'!AL14)*100</f>
        <v>12.825160525845835</v>
      </c>
      <c r="G19" s="137">
        <f>('Other Contracts Grnts-2Yr'!AL14/'Total E&amp;G-2Yr'!AL14)*100</f>
        <v>3.0717785969432283</v>
      </c>
      <c r="H19" s="137">
        <f>('All Other E&amp;G-2Yr'!AL14+'Investment Income-2Yr'!AL14)/('Total E&amp;G-2Yr'!AL14)*100</f>
        <v>4.1947016617990283</v>
      </c>
      <c r="I19" s="69">
        <f t="shared" si="6"/>
        <v>-3.8906863956269113</v>
      </c>
      <c r="J19" s="76">
        <f t="shared" si="7"/>
        <v>1.6224487055689316</v>
      </c>
      <c r="K19" s="69">
        <f t="shared" si="8"/>
        <v>4.7808800414742265</v>
      </c>
      <c r="L19" s="76">
        <f t="shared" si="9"/>
        <v>-2.6203239826652798</v>
      </c>
      <c r="M19" s="69">
        <f t="shared" si="10"/>
        <v>-0.61040335071382135</v>
      </c>
      <c r="N19" s="76">
        <f t="shared" si="11"/>
        <v>0.71808498196281567</v>
      </c>
      <c r="O19" s="20"/>
      <c r="P19" s="21">
        <f>('Tuition-2Yr'!AG14/'Total E&amp;G-2Yr'!AG14)*100</f>
        <v>32.043162108199155</v>
      </c>
      <c r="Q19" s="22">
        <f>('State Appropriations-2Yr'!AG14/'Total E&amp;G-2Yr'!AG14)*100</f>
        <v>20.064722104865226</v>
      </c>
      <c r="R19" s="23">
        <f>IF((('Local Appropriations-2Yr'!AG14/'Total E&amp;G-2Yr'!AG14)*100)&gt;=0.005,('Local Appropriations-2Yr'!AG14/'Total E&amp;G-2Yr'!AG14)*100,"*")</f>
        <v>25.287832650931254</v>
      </c>
      <c r="S19" s="21">
        <f>('Fed Contracts Grnts-2Yr'!AG14/'Total E&amp;G-2Yr'!AG14)*100</f>
        <v>15.445484508511115</v>
      </c>
      <c r="T19" s="23">
        <f>('Other Contracts Grnts-2Yr'!AG14/'Total E&amp;G-2Yr'!AG14)*100</f>
        <v>3.6821819476570496</v>
      </c>
      <c r="U19" s="21">
        <f>IF(((('Investment Income-2Yr'!AG14+'All Other E&amp;G-2Yr'!AG14)/'Total E&amp;G-2Yr'!AG14)*100)&gt;=0.005,(('Investment Income-2Yr'!AG14+'All Other E&amp;G-2Yr'!AG14)/'Total E&amp;G-2Yr'!AG14)*100,"*")</f>
        <v>3.4766166798362126</v>
      </c>
      <c r="V19" s="21"/>
      <c r="W19" s="165">
        <f t="shared" si="1"/>
        <v>100</v>
      </c>
      <c r="X19" s="166">
        <f t="shared" si="2"/>
        <v>99.999999999999972</v>
      </c>
      <c r="Y19" s="94">
        <f t="shared" si="3"/>
        <v>45.352554755796476</v>
      </c>
      <c r="Z19" s="95">
        <f t="shared" si="12"/>
        <v>51.755883502839637</v>
      </c>
      <c r="AA19" s="94">
        <f t="shared" si="4"/>
        <v>19.127666456168164</v>
      </c>
      <c r="AB19" s="95">
        <f t="shared" si="5"/>
        <v>15.896939122789064</v>
      </c>
      <c r="AC19" s="176">
        <f>+AA19+Y19+U19+P19</f>
        <v>100.00000000000001</v>
      </c>
      <c r="AD19" s="177">
        <f>+AB19+Z19+H19+C19</f>
        <v>99.999999999999972</v>
      </c>
    </row>
    <row r="20" spans="1:31">
      <c r="A20" s="64" t="s">
        <v>30</v>
      </c>
      <c r="B20" s="64"/>
      <c r="C20" s="148">
        <f>('Tuition-2Yr'!AL15/'Total E&amp;G-2Yr'!AL15)*100</f>
        <v>25.693254614217143</v>
      </c>
      <c r="D20" s="70">
        <f>('State Appropriations-2Yr'!AL15)/('Total E&amp;G-2Yr'!AL15)*100</f>
        <v>25.984246803252102</v>
      </c>
      <c r="E20" s="148">
        <f>IF((('Local Appropriations-2Yr'!AL15/'Total E&amp;G-2Yr'!AL15)*100)=0,(('Local Appropriations-2Yr'!AL15/'Total E&amp;G-2Yr'!AL15)*100),IF((('Local Appropriations-2Yr'!AL15/'Total E&amp;G-2Yr'!AL15)*100)&gt;=0.005,('Local Appropriations-2Yr'!AL15/'Total E&amp;G-2Yr'!AL15)*100,"*"))</f>
        <v>8.2016487447599236</v>
      </c>
      <c r="F20" s="70">
        <f>('Fed Contracts Grnts-2Yr'!AL15)/('Total E&amp;G-2Yr'!AL15)*100</f>
        <v>29.831309034817149</v>
      </c>
      <c r="G20" s="148">
        <f>('Other Contracts Grnts-2Yr'!AL15/'Total E&amp;G-2Yr'!AL15)*100</f>
        <v>8.1838726988868729</v>
      </c>
      <c r="H20" s="148">
        <f>('All Other E&amp;G-2Yr'!AL15+'Investment Income-2Yr'!AL15)/('Total E&amp;G-2Yr'!AL15)*100</f>
        <v>2.105668104066801</v>
      </c>
      <c r="I20" s="70">
        <f t="shared" si="6"/>
        <v>2.099516393392399</v>
      </c>
      <c r="J20" s="77">
        <f t="shared" si="7"/>
        <v>-4.0038019722033482</v>
      </c>
      <c r="K20" s="70">
        <f t="shared" si="8"/>
        <v>0.37215137401332754</v>
      </c>
      <c r="L20" s="77">
        <f t="shared" si="9"/>
        <v>1.1968430212744181</v>
      </c>
      <c r="M20" s="70">
        <f t="shared" si="10"/>
        <v>-0.37602785641289849</v>
      </c>
      <c r="N20" s="77">
        <f t="shared" si="11"/>
        <v>0.71131903993612111</v>
      </c>
      <c r="O20" s="20"/>
      <c r="P20" s="21">
        <f>('Tuition-2Yr'!AG15/'Total E&amp;G-2Yr'!AG15)*100</f>
        <v>23.593738220824743</v>
      </c>
      <c r="Q20" s="22">
        <f>('State Appropriations-2Yr'!AG15/'Total E&amp;G-2Yr'!AG15)*100</f>
        <v>29.98804877545545</v>
      </c>
      <c r="R20" s="23">
        <f>IF((('Local Appropriations-2Yr'!AG15/'Total E&amp;G-2Yr'!AG15)*100)&gt;=0.005,('Local Appropriations-2Yr'!AG15/'Total E&amp;G-2Yr'!AG15)*100,"*")</f>
        <v>7.829497370746596</v>
      </c>
      <c r="S20" s="21">
        <f>('Fed Contracts Grnts-2Yr'!AG15/'Total E&amp;G-2Yr'!AG15)*100</f>
        <v>28.634466013542731</v>
      </c>
      <c r="T20" s="23">
        <f>('Other Contracts Grnts-2Yr'!AG15/'Total E&amp;G-2Yr'!AG15)*100</f>
        <v>8.5599005552997713</v>
      </c>
      <c r="U20" s="21">
        <f>IF(((('Investment Income-2Yr'!AG15+'All Other E&amp;G-2Yr'!AG15)/'Total E&amp;G-2Yr'!AG15)*100)&gt;=0.005,(('Investment Income-2Yr'!AG15+'All Other E&amp;G-2Yr'!AG15)/'Total E&amp;G-2Yr'!AG15)*100,"*")</f>
        <v>1.3943490641306799</v>
      </c>
      <c r="V20" s="21"/>
      <c r="W20" s="165">
        <f t="shared" si="1"/>
        <v>99.999999999999972</v>
      </c>
      <c r="X20" s="166">
        <f t="shared" si="2"/>
        <v>100</v>
      </c>
      <c r="Y20" s="94">
        <f t="shared" si="3"/>
        <v>37.817546146202048</v>
      </c>
      <c r="Z20" s="95">
        <f t="shared" si="12"/>
        <v>34.185895548012027</v>
      </c>
      <c r="AA20" s="94">
        <f t="shared" si="4"/>
        <v>37.194366568842504</v>
      </c>
      <c r="AB20" s="95">
        <f t="shared" si="5"/>
        <v>38.015181733704026</v>
      </c>
      <c r="AC20" s="176">
        <f>+AA20+Y20+U20+P20</f>
        <v>99.999999999999986</v>
      </c>
      <c r="AD20" s="177">
        <f>+AB20+Z20+H20+C20</f>
        <v>99.999999999999986</v>
      </c>
    </row>
    <row r="21" spans="1:31">
      <c r="A21" s="64" t="s">
        <v>31</v>
      </c>
      <c r="B21" s="64"/>
      <c r="C21" s="148">
        <f>('Tuition-2Yr'!AL16/'Total E&amp;G-2Yr'!AL16)*100</f>
        <v>16.381041508532668</v>
      </c>
      <c r="D21" s="70">
        <f>('State Appropriations-2Yr'!AL16)/('Total E&amp;G-2Yr'!AL16)*100</f>
        <v>46.356528685656713</v>
      </c>
      <c r="E21" s="148">
        <f>IF((('Local Appropriations-2Yr'!AL16/'Total E&amp;G-2Yr'!AL16)*100)=0,(('Local Appropriations-2Yr'!AL16/'Total E&amp;G-2Yr'!AL16)*100),IF((('Local Appropriations-2Yr'!AL16/'Total E&amp;G-2Yr'!AL16)*100)&gt;=0.005,('Local Appropriations-2Yr'!AL16/'Total E&amp;G-2Yr'!AL16)*100,"*"))</f>
        <v>11.673136587862256</v>
      </c>
      <c r="F21" s="70">
        <f>('Fed Contracts Grnts-2Yr'!AL16)/('Total E&amp;G-2Yr'!AL16)*100</f>
        <v>18.89025325562687</v>
      </c>
      <c r="G21" s="148">
        <f>('Other Contracts Grnts-2Yr'!AL16/'Total E&amp;G-2Yr'!AL16)*100</f>
        <v>3.6967863276598187</v>
      </c>
      <c r="H21" s="148">
        <f>('All Other E&amp;G-2Yr'!AL16+'Investment Income-2Yr'!AL16)/('Total E&amp;G-2Yr'!AL16)*100</f>
        <v>3.002253634661697</v>
      </c>
      <c r="I21" s="70">
        <f t="shared" si="6"/>
        <v>-1.6059059398848952</v>
      </c>
      <c r="J21" s="77">
        <f t="shared" si="7"/>
        <v>4.0725038898647483</v>
      </c>
      <c r="K21" s="70">
        <f t="shared" si="8"/>
        <v>1.4852463483896923</v>
      </c>
      <c r="L21" s="77">
        <f t="shared" si="9"/>
        <v>-4.4557510153961211</v>
      </c>
      <c r="M21" s="70">
        <f t="shared" si="10"/>
        <v>-1.2188146775580995</v>
      </c>
      <c r="N21" s="77">
        <f t="shared" si="11"/>
        <v>1.722721394584714</v>
      </c>
      <c r="O21" s="20"/>
      <c r="P21" s="21">
        <f>('Tuition-2Yr'!AG16/'Total E&amp;G-2Yr'!AG16)*100</f>
        <v>17.986947448417563</v>
      </c>
      <c r="Q21" s="22">
        <f>('State Appropriations-2Yr'!AG16/'Total E&amp;G-2Yr'!AG16)*100</f>
        <v>42.284024795791964</v>
      </c>
      <c r="R21" s="23">
        <f>IF((('Local Appropriations-2Yr'!AG16/'Total E&amp;G-2Yr'!AG16)*100)&gt;=0.005,('Local Appropriations-2Yr'!AG16/'Total E&amp;G-2Yr'!AG16)*100,"*")</f>
        <v>10.187890239472564</v>
      </c>
      <c r="S21" s="21">
        <f>('Fed Contracts Grnts-2Yr'!AG16/'Total E&amp;G-2Yr'!AG16)*100</f>
        <v>23.346004271022991</v>
      </c>
      <c r="T21" s="23">
        <f>('Other Contracts Grnts-2Yr'!AG16/'Total E&amp;G-2Yr'!AG16)*100</f>
        <v>4.9156010052179182</v>
      </c>
      <c r="U21" s="21">
        <f>IF(((('Investment Income-2Yr'!AG16+'All Other E&amp;G-2Yr'!AG16)/'Total E&amp;G-2Yr'!AG16)*100)&gt;=0.005,(('Investment Income-2Yr'!AG16+'All Other E&amp;G-2Yr'!AG16)/'Total E&amp;G-2Yr'!AG16)*100,"*")</f>
        <v>1.2795322400769831</v>
      </c>
      <c r="V21" s="21"/>
      <c r="W21" s="165">
        <f t="shared" si="1"/>
        <v>100</v>
      </c>
      <c r="X21" s="166">
        <f t="shared" si="2"/>
        <v>100.00000000000003</v>
      </c>
      <c r="Y21" s="94">
        <f t="shared" si="3"/>
        <v>52.47191503526453</v>
      </c>
      <c r="Z21" s="95">
        <f t="shared" si="12"/>
        <v>58.029665273518972</v>
      </c>
      <c r="AA21" s="94">
        <f t="shared" si="4"/>
        <v>28.26160527624091</v>
      </c>
      <c r="AB21" s="95">
        <f t="shared" si="5"/>
        <v>22.587039583286689</v>
      </c>
      <c r="AC21" s="176">
        <f>+AA21+Y21+U21+P21</f>
        <v>100</v>
      </c>
      <c r="AD21" s="177">
        <f>+AB21+Z21+H21+C21</f>
        <v>100.00000000000003</v>
      </c>
    </row>
    <row r="22" spans="1:31">
      <c r="A22" s="64" t="s">
        <v>32</v>
      </c>
      <c r="B22" s="64"/>
      <c r="C22" s="148">
        <f>('Tuition-2Yr'!AL17/'Total E&amp;G-2Yr'!AL17)*100</f>
        <v>29.465733300709196</v>
      </c>
      <c r="D22" s="70">
        <f>('State Appropriations-2Yr'!AL17)/('Total E&amp;G-2Yr'!AL17)*100</f>
        <v>24.399861456517002</v>
      </c>
      <c r="E22" s="148">
        <f>IF((('Local Appropriations-2Yr'!AL17/'Total E&amp;G-2Yr'!AL17)*100)=0,(('Local Appropriations-2Yr'!AL17/'Total E&amp;G-2Yr'!AL17)*100),IF((('Local Appropriations-2Yr'!AL17/'Total E&amp;G-2Yr'!AL17)*100)&gt;=0.005,('Local Appropriations-2Yr'!AL17/'Total E&amp;G-2Yr'!AL17)*100,"*"))</f>
        <v>10.890909738635465</v>
      </c>
      <c r="F22" s="70">
        <f>('Fed Contracts Grnts-2Yr'!AL17)/('Total E&amp;G-2Yr'!AL17)*100</f>
        <v>25.966436376992114</v>
      </c>
      <c r="G22" s="148">
        <f>('Other Contracts Grnts-2Yr'!AL17/'Total E&amp;G-2Yr'!AL17)*100</f>
        <v>5.9490389343199546</v>
      </c>
      <c r="H22" s="148">
        <f>('All Other E&amp;G-2Yr'!AL17+'Investment Income-2Yr'!AL17)/('Total E&amp;G-2Yr'!AL17)*100</f>
        <v>3.3280201928262754</v>
      </c>
      <c r="I22" s="70">
        <f t="shared" si="6"/>
        <v>3.989490074942136</v>
      </c>
      <c r="J22" s="77">
        <f t="shared" si="7"/>
        <v>-6.0904226933328331</v>
      </c>
      <c r="K22" s="70">
        <f t="shared" si="8"/>
        <v>1.358169886022889</v>
      </c>
      <c r="L22" s="77">
        <f t="shared" si="9"/>
        <v>1.6196759800858764</v>
      </c>
      <c r="M22" s="70">
        <f t="shared" si="10"/>
        <v>1.014139233037306</v>
      </c>
      <c r="N22" s="77">
        <f t="shared" si="11"/>
        <v>-1.8910524807553664</v>
      </c>
      <c r="O22" s="20"/>
      <c r="P22" s="21">
        <f>('Tuition-2Yr'!AG17/'Total E&amp;G-2Yr'!AG17)*100</f>
        <v>25.47624322576706</v>
      </c>
      <c r="Q22" s="22">
        <f>('State Appropriations-2Yr'!AG17/'Total E&amp;G-2Yr'!AG17)*100</f>
        <v>30.490284149849835</v>
      </c>
      <c r="R22" s="23">
        <f>IF((('Local Appropriations-2Yr'!AG17/'Total E&amp;G-2Yr'!AG17)*100)&gt;=0.005,('Local Appropriations-2Yr'!AG17/'Total E&amp;G-2Yr'!AG17)*100,"*")</f>
        <v>9.5327398526125755</v>
      </c>
      <c r="S22" s="21">
        <f>('Fed Contracts Grnts-2Yr'!AG17/'Total E&amp;G-2Yr'!AG17)*100</f>
        <v>24.346760396906237</v>
      </c>
      <c r="T22" s="23">
        <f>('Other Contracts Grnts-2Yr'!AG17/'Total E&amp;G-2Yr'!AG17)*100</f>
        <v>4.9348997012826485</v>
      </c>
      <c r="U22" s="21">
        <f>IF(((('Investment Income-2Yr'!AG17+'All Other E&amp;G-2Yr'!AG17)/'Total E&amp;G-2Yr'!AG17)*100)&gt;=0.005,(('Investment Income-2Yr'!AG17+'All Other E&amp;G-2Yr'!AG17)/'Total E&amp;G-2Yr'!AG17)*100,"*")</f>
        <v>5.2190726735816417</v>
      </c>
      <c r="V22" s="21"/>
      <c r="W22" s="165">
        <f t="shared" si="1"/>
        <v>99.999999999999986</v>
      </c>
      <c r="X22" s="166">
        <f t="shared" si="2"/>
        <v>100</v>
      </c>
      <c r="Y22" s="94">
        <f t="shared" si="3"/>
        <v>40.023024002462407</v>
      </c>
      <c r="Z22" s="95">
        <f t="shared" si="12"/>
        <v>35.290771195152466</v>
      </c>
      <c r="AA22" s="94">
        <f t="shared" si="4"/>
        <v>29.281660098188887</v>
      </c>
      <c r="AB22" s="95">
        <f t="shared" si="5"/>
        <v>31.915475311312068</v>
      </c>
      <c r="AC22" s="176">
        <f>+AA22+Y22+U22+P22</f>
        <v>99.999999999999986</v>
      </c>
      <c r="AD22" s="177">
        <f>+AB22+Z22+H22+C22</f>
        <v>100</v>
      </c>
    </row>
    <row r="23" spans="1:31">
      <c r="A23" s="64" t="s">
        <v>33</v>
      </c>
      <c r="B23" s="64"/>
      <c r="C23" s="148">
        <f>('Tuition-2Yr'!AL18/'Total E&amp;G-2Yr'!AL18)*100</f>
        <v>37.822126361399405</v>
      </c>
      <c r="D23" s="70">
        <f>('State Appropriations-2Yr'!AL18)/('Total E&amp;G-2Yr'!AL18)*100</f>
        <v>15.780582785873811</v>
      </c>
      <c r="E23" s="148">
        <f>IF((('Local Appropriations-2Yr'!AL18/'Total E&amp;G-2Yr'!AL18)*100)=0,(('Local Appropriations-2Yr'!AL18/'Total E&amp;G-2Yr'!AL18)*100),IF((('Local Appropriations-2Yr'!AL18/'Total E&amp;G-2Yr'!AL18)*100)&gt;=0.005,('Local Appropriations-2Yr'!AL18/'Total E&amp;G-2Yr'!AL18)*100,"*"))</f>
        <v>7.695361056560647</v>
      </c>
      <c r="F23" s="70">
        <f>('Fed Contracts Grnts-2Yr'!AL18)/('Total E&amp;G-2Yr'!AL18)*100</f>
        <v>20.507866345511356</v>
      </c>
      <c r="G23" s="148">
        <f>('Other Contracts Grnts-2Yr'!AL18/'Total E&amp;G-2Yr'!AL18)*100</f>
        <v>15.565303576533859</v>
      </c>
      <c r="H23" s="148">
        <f>('All Other E&amp;G-2Yr'!AL18+'Investment Income-2Yr'!AL18)/('Total E&amp;G-2Yr'!AL18)*100</f>
        <v>2.6287598741209126</v>
      </c>
      <c r="I23" s="70">
        <f t="shared" si="6"/>
        <v>-2.8238589538469512</v>
      </c>
      <c r="J23" s="77">
        <f t="shared" si="7"/>
        <v>2.9224894774929204</v>
      </c>
      <c r="K23" s="70">
        <f t="shared" si="8"/>
        <v>0.9452091196384087</v>
      </c>
      <c r="L23" s="77">
        <f t="shared" si="9"/>
        <v>-6.1439323795262517</v>
      </c>
      <c r="M23" s="70">
        <f t="shared" si="10"/>
        <v>4.7812003959555653</v>
      </c>
      <c r="N23" s="77">
        <f t="shared" si="11"/>
        <v>0.31889234028630797</v>
      </c>
      <c r="O23" s="20"/>
      <c r="P23" s="21">
        <f>('Tuition-2Yr'!AG18/'Total E&amp;G-2Yr'!AG18)*100</f>
        <v>40.645985315246357</v>
      </c>
      <c r="Q23" s="22">
        <f>('State Appropriations-2Yr'!AG18/'Total E&amp;G-2Yr'!AG18)*100</f>
        <v>12.858093308380891</v>
      </c>
      <c r="R23" s="23">
        <f>IF((('Local Appropriations-2Yr'!AG18/'Total E&amp;G-2Yr'!AG18)*100)&gt;=0.005,('Local Appropriations-2Yr'!AG18/'Total E&amp;G-2Yr'!AG18)*100,"*")</f>
        <v>6.7501519369222382</v>
      </c>
      <c r="S23" s="21">
        <f>('Fed Contracts Grnts-2Yr'!AG18/'Total E&amp;G-2Yr'!AG18)*100</f>
        <v>26.651798725037608</v>
      </c>
      <c r="T23" s="23">
        <f>('Other Contracts Grnts-2Yr'!AG18/'Total E&amp;G-2Yr'!AG18)*100</f>
        <v>10.784103180578294</v>
      </c>
      <c r="U23" s="21">
        <f>IF(((('Investment Income-2Yr'!AG18+'All Other E&amp;G-2Yr'!AG18)/'Total E&amp;G-2Yr'!AG18)*100)&gt;=0.005,(('Investment Income-2Yr'!AG18+'All Other E&amp;G-2Yr'!AG18)/'Total E&amp;G-2Yr'!AG18)*100,"*")</f>
        <v>2.3098675338346046</v>
      </c>
      <c r="V23" s="21"/>
      <c r="W23" s="165">
        <f t="shared" si="1"/>
        <v>100</v>
      </c>
      <c r="X23" s="166">
        <f t="shared" si="2"/>
        <v>100</v>
      </c>
      <c r="Y23" s="94">
        <f t="shared" si="3"/>
        <v>19.608245245303131</v>
      </c>
      <c r="Z23" s="95">
        <f t="shared" si="12"/>
        <v>23.475943842434457</v>
      </c>
      <c r="AA23" s="94">
        <f t="shared" si="4"/>
        <v>37.4359019056159</v>
      </c>
      <c r="AB23" s="95">
        <f t="shared" si="5"/>
        <v>36.073169922045217</v>
      </c>
      <c r="AC23" s="176">
        <f>+AA23+Y23+U23+P23</f>
        <v>100</v>
      </c>
      <c r="AD23" s="177">
        <f>+AB23+Z23+H23+C23</f>
        <v>99.999999999999986</v>
      </c>
    </row>
    <row r="24" spans="1:31">
      <c r="A24" s="63" t="s">
        <v>34</v>
      </c>
      <c r="B24" s="63"/>
      <c r="C24" s="137">
        <f>('Tuition-2Yr'!AL19/'Total E&amp;G-2Yr'!AL19)*100</f>
        <v>32.655046083002041</v>
      </c>
      <c r="D24" s="69">
        <f>('State Appropriations-2Yr'!AL19)/('Total E&amp;G-2Yr'!AL19)*100</f>
        <v>30.303955141911924</v>
      </c>
      <c r="E24" s="137">
        <f>IF((('Local Appropriations-2Yr'!AL19/'Total E&amp;G-2Yr'!AL19)*100)=0,(('Local Appropriations-2Yr'!AL19/'Total E&amp;G-2Yr'!AL19)*100),IF((('Local Appropriations-2Yr'!AL19/'Total E&amp;G-2Yr'!AL19)*100)&gt;=0.005,('Local Appropriations-2Yr'!AL19/'Total E&amp;G-2Yr'!AL19)*100,"*"))</f>
        <v>0</v>
      </c>
      <c r="F24" s="69">
        <f>('Fed Contracts Grnts-2Yr'!AL19)/('Total E&amp;G-2Yr'!AL19)*100</f>
        <v>20.780862906767013</v>
      </c>
      <c r="G24" s="137">
        <f>('Other Contracts Grnts-2Yr'!AL19/'Total E&amp;G-2Yr'!AL19)*100</f>
        <v>13.720603091368014</v>
      </c>
      <c r="H24" s="137">
        <f>('All Other E&amp;G-2Yr'!AL19+'Investment Income-2Yr'!AL19)/('Total E&amp;G-2Yr'!AL19)*100</f>
        <v>2.5395327769510132</v>
      </c>
      <c r="I24" s="69">
        <f t="shared" si="6"/>
        <v>-4.5887277503279762</v>
      </c>
      <c r="J24" s="76">
        <f t="shared" si="7"/>
        <v>2.8873051376477363</v>
      </c>
      <c r="K24" s="69">
        <f t="shared" si="8"/>
        <v>0</v>
      </c>
      <c r="L24" s="76">
        <f t="shared" si="9"/>
        <v>-3.4855259036323361</v>
      </c>
      <c r="M24" s="69">
        <f t="shared" si="10"/>
        <v>3.8169435303751147</v>
      </c>
      <c r="N24" s="76">
        <f t="shared" si="11"/>
        <v>1.3700049859374452</v>
      </c>
      <c r="O24" s="20"/>
      <c r="P24" s="21">
        <f>('Tuition-2Yr'!AG19/'Total E&amp;G-2Yr'!AG19)*100</f>
        <v>37.243773833330017</v>
      </c>
      <c r="Q24" s="22">
        <f>('State Appropriations-2Yr'!AG19/'Total E&amp;G-2Yr'!AG19)*100</f>
        <v>27.416650004264188</v>
      </c>
      <c r="R24" s="23" t="str">
        <f>IF((('Local Appropriations-2Yr'!AG19/'Total E&amp;G-2Yr'!AG19)*100)&gt;=0.005,('Local Appropriations-2Yr'!AG19/'Total E&amp;G-2Yr'!AG19)*100,"*")</f>
        <v>*</v>
      </c>
      <c r="S24" s="21">
        <f>('Fed Contracts Grnts-2Yr'!AG19/'Total E&amp;G-2Yr'!AG19)*100</f>
        <v>24.266388810399349</v>
      </c>
      <c r="T24" s="23">
        <f>('Other Contracts Grnts-2Yr'!AG19/'Total E&amp;G-2Yr'!AG19)*100</f>
        <v>9.9036595609928995</v>
      </c>
      <c r="U24" s="21">
        <f>IF(((('Investment Income-2Yr'!AG19+'All Other E&amp;G-2Yr'!AG19)/'Total E&amp;G-2Yr'!AG19)*100)&gt;=0.005,(('Investment Income-2Yr'!AG19+'All Other E&amp;G-2Yr'!AG19)/'Total E&amp;G-2Yr'!AG19)*100,"*")</f>
        <v>1.169527791013568</v>
      </c>
      <c r="V24" s="21"/>
      <c r="W24" s="165">
        <f t="shared" si="1"/>
        <v>100.00000000000003</v>
      </c>
      <c r="X24" s="166">
        <f t="shared" si="2"/>
        <v>100</v>
      </c>
      <c r="Y24" s="94">
        <f t="shared" si="3"/>
        <v>27.416650004264188</v>
      </c>
      <c r="Z24" s="95">
        <f t="shared" si="12"/>
        <v>30.303955141911924</v>
      </c>
      <c r="AA24" s="94">
        <f t="shared" si="4"/>
        <v>34.170048371392248</v>
      </c>
      <c r="AB24" s="95">
        <f t="shared" si="5"/>
        <v>34.501465998135025</v>
      </c>
      <c r="AC24" s="176">
        <f>+AA24+Y24+U24+P24</f>
        <v>100.00000000000003</v>
      </c>
      <c r="AD24" s="177">
        <f>+AB24+Z24+H24+C24</f>
        <v>100</v>
      </c>
    </row>
    <row r="25" spans="1:31">
      <c r="A25" s="63" t="s">
        <v>35</v>
      </c>
      <c r="B25" s="63"/>
      <c r="C25" s="137">
        <f>('Tuition-2Yr'!AL20/'Total E&amp;G-2Yr'!AL20)*100</f>
        <v>24.273340403648451</v>
      </c>
      <c r="D25" s="69">
        <f>('State Appropriations-2Yr'!AL20)/('Total E&amp;G-2Yr'!AL20)*100</f>
        <v>19.394251513708088</v>
      </c>
      <c r="E25" s="137">
        <f>IF((('Local Appropriations-2Yr'!AL20/'Total E&amp;G-2Yr'!AL20)*100)=0,(('Local Appropriations-2Yr'!AL20/'Total E&amp;G-2Yr'!AL20)*100),IF((('Local Appropriations-2Yr'!AL20/'Total E&amp;G-2Yr'!AL20)*100)&gt;=0.005,('Local Appropriations-2Yr'!AL20/'Total E&amp;G-2Yr'!AL20)*100,"*"))</f>
        <v>33.151445708197755</v>
      </c>
      <c r="F25" s="69">
        <f>('Fed Contracts Grnts-2Yr'!AL20)/('Total E&amp;G-2Yr'!AL20)*100</f>
        <v>18.530195961880917</v>
      </c>
      <c r="G25" s="137">
        <f>('Other Contracts Grnts-2Yr'!AL20/'Total E&amp;G-2Yr'!AL20)*100</f>
        <v>2.3663372779996994</v>
      </c>
      <c r="H25" s="137">
        <f>('All Other E&amp;G-2Yr'!AL20+'Investment Income-2Yr'!AL20)/('Total E&amp;G-2Yr'!AL20)*100</f>
        <v>2.2844291345650896</v>
      </c>
      <c r="I25" s="69">
        <f t="shared" si="6"/>
        <v>-1.6325522353385153</v>
      </c>
      <c r="J25" s="76">
        <f t="shared" si="7"/>
        <v>-0.32186817977294524</v>
      </c>
      <c r="K25" s="69">
        <f t="shared" si="8"/>
        <v>3.9627898230078706</v>
      </c>
      <c r="L25" s="76">
        <f t="shared" si="9"/>
        <v>-1.6606190939812571</v>
      </c>
      <c r="M25" s="69">
        <f t="shared" si="10"/>
        <v>-0.91569763680575678</v>
      </c>
      <c r="N25" s="76">
        <f t="shared" si="11"/>
        <v>0.56794732289062244</v>
      </c>
      <c r="O25" s="20"/>
      <c r="P25" s="21">
        <f>('Tuition-2Yr'!AG20/'Total E&amp;G-2Yr'!AG20)*100</f>
        <v>25.905892638986966</v>
      </c>
      <c r="Q25" s="22">
        <f>('State Appropriations-2Yr'!AG20/'Total E&amp;G-2Yr'!AG20)*100</f>
        <v>19.716119693481033</v>
      </c>
      <c r="R25" s="23">
        <f>IF((('Local Appropriations-2Yr'!AG20/'Total E&amp;G-2Yr'!AG20)*100)&gt;=0.005,('Local Appropriations-2Yr'!AG20/'Total E&amp;G-2Yr'!AG20)*100,"*")</f>
        <v>29.188655885189885</v>
      </c>
      <c r="S25" s="21">
        <f>('Fed Contracts Grnts-2Yr'!AG20/'Total E&amp;G-2Yr'!AG20)*100</f>
        <v>20.190815055862174</v>
      </c>
      <c r="T25" s="23">
        <f>('Other Contracts Grnts-2Yr'!AG20/'Total E&amp;G-2Yr'!AG20)*100</f>
        <v>3.2820349148054562</v>
      </c>
      <c r="U25" s="21">
        <f>IF(((('Investment Income-2Yr'!AG20+'All Other E&amp;G-2Yr'!AG20)/'Total E&amp;G-2Yr'!AG20)*100)&gt;=0.005,(('Investment Income-2Yr'!AG20+'All Other E&amp;G-2Yr'!AG20)/'Total E&amp;G-2Yr'!AG20)*100,"*")</f>
        <v>1.7164818116744671</v>
      </c>
      <c r="V25" s="21"/>
      <c r="W25" s="165">
        <f t="shared" si="1"/>
        <v>99.999999999999986</v>
      </c>
      <c r="X25" s="166">
        <f t="shared" si="2"/>
        <v>100.00000000000001</v>
      </c>
      <c r="Y25" s="94">
        <f t="shared" si="3"/>
        <v>48.904775578670922</v>
      </c>
      <c r="Z25" s="95">
        <f t="shared" si="12"/>
        <v>52.54569722190584</v>
      </c>
      <c r="AA25" s="94">
        <f t="shared" si="4"/>
        <v>23.472849970667632</v>
      </c>
      <c r="AB25" s="95">
        <f t="shared" si="5"/>
        <v>20.896533239880618</v>
      </c>
      <c r="AC25" s="176">
        <f>+AA25+Y25+U25+P25</f>
        <v>99.999999999999986</v>
      </c>
      <c r="AD25" s="177">
        <f>+AB25+Z25+H25+C25</f>
        <v>100</v>
      </c>
    </row>
    <row r="26" spans="1:31">
      <c r="A26" s="63" t="s">
        <v>36</v>
      </c>
      <c r="B26" s="63"/>
      <c r="C26" s="137">
        <f>('Tuition-2Yr'!AL21/'Total E&amp;G-2Yr'!AL21)*100</f>
        <v>40.273846295357465</v>
      </c>
      <c r="D26" s="69">
        <f>('State Appropriations-2Yr'!AL21)/('Total E&amp;G-2Yr'!AL21)*100</f>
        <v>33.150192173483852</v>
      </c>
      <c r="E26" s="137">
        <f>IF((('Local Appropriations-2Yr'!AL21/'Total E&amp;G-2Yr'!AL21)*100)=0,(('Local Appropriations-2Yr'!AL21/'Total E&amp;G-2Yr'!AL21)*100),IF((('Local Appropriations-2Yr'!AL21/'Total E&amp;G-2Yr'!AL21)*100)&gt;=0.005,('Local Appropriations-2Yr'!AL21/'Total E&amp;G-2Yr'!AL21)*100,"*"))</f>
        <v>0.23926778316063815</v>
      </c>
      <c r="F26" s="69">
        <f>('Fed Contracts Grnts-2Yr'!AL21)/('Total E&amp;G-2Yr'!AL21)*100</f>
        <v>21.361545299974559</v>
      </c>
      <c r="G26" s="137">
        <f>('Other Contracts Grnts-2Yr'!AL21/'Total E&amp;G-2Yr'!AL21)*100</f>
        <v>2.4351348059979943</v>
      </c>
      <c r="H26" s="137">
        <f>('All Other E&amp;G-2Yr'!AL21+'Investment Income-2Yr'!AL21)/('Total E&amp;G-2Yr'!AL21)*100</f>
        <v>2.540013642025484</v>
      </c>
      <c r="I26" s="69">
        <f t="shared" si="6"/>
        <v>-1.7847413986226712</v>
      </c>
      <c r="J26" s="76">
        <f t="shared" si="7"/>
        <v>3.1047704254008295</v>
      </c>
      <c r="K26" s="119">
        <f t="shared" si="8"/>
        <v>6.2953116152113103E-2</v>
      </c>
      <c r="L26" s="76">
        <f t="shared" si="9"/>
        <v>-2.3354801671905143</v>
      </c>
      <c r="M26" s="69">
        <f t="shared" si="10"/>
        <v>0.38135168727476643</v>
      </c>
      <c r="N26" s="76">
        <f t="shared" si="11"/>
        <v>0.57114633698544437</v>
      </c>
      <c r="O26" s="20"/>
      <c r="P26" s="21">
        <f>('Tuition-2Yr'!AG21/'Total E&amp;G-2Yr'!AG21)*100</f>
        <v>42.058587693980137</v>
      </c>
      <c r="Q26" s="22">
        <f>('State Appropriations-2Yr'!AG21/'Total E&amp;G-2Yr'!AG21)*100</f>
        <v>30.045421748083022</v>
      </c>
      <c r="R26" s="23">
        <f>IF((('Local Appropriations-2Yr'!AG21/'Total E&amp;G-2Yr'!AG21)*100)&gt;=0.005,('Local Appropriations-2Yr'!AG21/'Total E&amp;G-2Yr'!AG21)*100,"*")</f>
        <v>0.17631466700852505</v>
      </c>
      <c r="S26" s="21">
        <f>('Fed Contracts Grnts-2Yr'!AG21/'Total E&amp;G-2Yr'!AG21)*100</f>
        <v>23.697025467165073</v>
      </c>
      <c r="T26" s="23">
        <f>('Other Contracts Grnts-2Yr'!AG21/'Total E&amp;G-2Yr'!AG21)*100</f>
        <v>2.0537831187232278</v>
      </c>
      <c r="U26" s="21">
        <f>IF(((('Investment Income-2Yr'!AG21+'All Other E&amp;G-2Yr'!AG21)/'Total E&amp;G-2Yr'!AG21)*100)&gt;=0.005,(('Investment Income-2Yr'!AG21+'All Other E&amp;G-2Yr'!AG21)/'Total E&amp;G-2Yr'!AG21)*100,"*")</f>
        <v>1.9688673050400396</v>
      </c>
      <c r="V26" s="21"/>
      <c r="W26" s="165">
        <f t="shared" si="1"/>
        <v>100.00000000000003</v>
      </c>
      <c r="X26" s="166">
        <f t="shared" si="2"/>
        <v>100</v>
      </c>
      <c r="Y26" s="94">
        <f t="shared" si="3"/>
        <v>30.221736415091549</v>
      </c>
      <c r="Z26" s="95">
        <f t="shared" si="12"/>
        <v>33.389459956644487</v>
      </c>
      <c r="AA26" s="94">
        <f t="shared" si="4"/>
        <v>25.750808585888301</v>
      </c>
      <c r="AB26" s="95">
        <f t="shared" si="5"/>
        <v>23.796680105972552</v>
      </c>
      <c r="AC26" s="176">
        <f>+AA26+Y26+U26+P26</f>
        <v>100.00000000000003</v>
      </c>
      <c r="AD26" s="177">
        <f>+AB26+Z26+H26+C26</f>
        <v>100</v>
      </c>
    </row>
    <row r="27" spans="1:31">
      <c r="A27" s="62" t="s">
        <v>37</v>
      </c>
      <c r="B27" s="62"/>
      <c r="C27" s="137">
        <f>('Tuition-2Yr'!AL22/'Total E&amp;G-2Yr'!AL22)*100</f>
        <v>29.221105050112694</v>
      </c>
      <c r="D27" s="69">
        <f>('State Appropriations-2Yr'!AL22)/('Total E&amp;G-2Yr'!AL22)*100</f>
        <v>33.762859191722313</v>
      </c>
      <c r="E27" s="137">
        <f>IF((('Local Appropriations-2Yr'!AL22/'Total E&amp;G-2Yr'!AL22)*100)=0,(('Local Appropriations-2Yr'!AL22/'Total E&amp;G-2Yr'!AL22)*100),IF((('Local Appropriations-2Yr'!AL22/'Total E&amp;G-2Yr'!AL22)*100)&gt;=0.005,('Local Appropriations-2Yr'!AL22/'Total E&amp;G-2Yr'!AL22)*100,"*"))</f>
        <v>0</v>
      </c>
      <c r="F27" s="69">
        <f>('Fed Contracts Grnts-2Yr'!AL22)/('Total E&amp;G-2Yr'!AL22)*100</f>
        <v>20.146159251365933</v>
      </c>
      <c r="G27" s="137">
        <f>('Other Contracts Grnts-2Yr'!AL22/'Total E&amp;G-2Yr'!AL22)*100</f>
        <v>11.844380424699018</v>
      </c>
      <c r="H27" s="137">
        <f>('All Other E&amp;G-2Yr'!AL22+'Investment Income-2Yr'!AL22)/('Total E&amp;G-2Yr'!AL22)*100</f>
        <v>5.0254960821000321</v>
      </c>
      <c r="I27" s="71">
        <f t="shared" si="6"/>
        <v>-0.8814074248365884</v>
      </c>
      <c r="J27" s="75">
        <f t="shared" si="7"/>
        <v>3.8083124823634193</v>
      </c>
      <c r="K27" s="71">
        <f t="shared" si="8"/>
        <v>0</v>
      </c>
      <c r="L27" s="75">
        <f t="shared" si="9"/>
        <v>-6.3360872218177953</v>
      </c>
      <c r="M27" s="71">
        <f t="shared" si="10"/>
        <v>1.1536451345331216</v>
      </c>
      <c r="N27" s="75">
        <f t="shared" si="11"/>
        <v>2.2555370297578263</v>
      </c>
      <c r="O27" s="20"/>
      <c r="P27" s="21">
        <f>('Tuition-2Yr'!AG22/'Total E&amp;G-2Yr'!AG22)*100</f>
        <v>30.102512474949283</v>
      </c>
      <c r="Q27" s="22">
        <f>('State Appropriations-2Yr'!AG22/'Total E&amp;G-2Yr'!AG22)*100</f>
        <v>29.954546709358894</v>
      </c>
      <c r="R27" s="23" t="str">
        <f>IF((('Local Appropriations-2Yr'!AG22/'Total E&amp;G-2Yr'!AG22)*100)&gt;=0.005,('Local Appropriations-2Yr'!AG22/'Total E&amp;G-2Yr'!AG22)*100,"*")</f>
        <v>*</v>
      </c>
      <c r="S27" s="21">
        <f>('Fed Contracts Grnts-2Yr'!AG22/'Total E&amp;G-2Yr'!AG22)*100</f>
        <v>26.482246473183729</v>
      </c>
      <c r="T27" s="23">
        <f>('Other Contracts Grnts-2Yr'!AG22/'Total E&amp;G-2Yr'!AG22)*100</f>
        <v>10.690735290165897</v>
      </c>
      <c r="U27" s="21">
        <f>IF(((('Investment Income-2Yr'!AG22+'All Other E&amp;G-2Yr'!AG22)/'Total E&amp;G-2Yr'!AG22)*100)&gt;=0.005,(('Investment Income-2Yr'!AG22+'All Other E&amp;G-2Yr'!AG22)/'Total E&amp;G-2Yr'!AG22)*100,"*")</f>
        <v>2.7699590523422057</v>
      </c>
      <c r="V27" s="21"/>
      <c r="W27" s="165">
        <f t="shared" si="1"/>
        <v>99.999999999999986</v>
      </c>
      <c r="X27" s="166">
        <f t="shared" si="2"/>
        <v>100</v>
      </c>
      <c r="Y27" s="94">
        <f t="shared" si="3"/>
        <v>29.954546709358894</v>
      </c>
      <c r="Z27" s="95">
        <f t="shared" si="12"/>
        <v>33.762859191722313</v>
      </c>
      <c r="AA27" s="94">
        <f t="shared" si="4"/>
        <v>37.172981763349625</v>
      </c>
      <c r="AB27" s="95">
        <f t="shared" si="5"/>
        <v>31.990539676064952</v>
      </c>
      <c r="AC27" s="176">
        <f>+AA27+Y27+U27+P27</f>
        <v>100</v>
      </c>
      <c r="AD27" s="177">
        <f>+AB27+Z27+H27+C27</f>
        <v>100</v>
      </c>
    </row>
    <row r="28" spans="1:31" s="33" customFormat="1">
      <c r="A28" s="63" t="s">
        <v>38</v>
      </c>
      <c r="B28" s="63"/>
      <c r="C28" s="140">
        <f>('Tuition-2Yr'!AL23/'Total E&amp;G-2Yr'!AL23)*100</f>
        <v>16.305318210193043</v>
      </c>
      <c r="D28" s="138">
        <f>('State Appropriations-2Yr'!AL23)/('Total E&amp;G-2Yr'!AL23)*100</f>
        <v>24.976593752189469</v>
      </c>
      <c r="E28" s="140">
        <f>IF((('Local Appropriations-2Yr'!AL23/'Total E&amp;G-2Yr'!AL23)*100)=0,(('Local Appropriations-2Yr'!AL23/'Total E&amp;G-2Yr'!AL23)*100),IF((('Local Appropriations-2Yr'!AL23/'Total E&amp;G-2Yr'!AL23)*100)&gt;=0.005,('Local Appropriations-2Yr'!AL23/'Total E&amp;G-2Yr'!AL23)*100,"*"))</f>
        <v>22.244271405919708</v>
      </c>
      <c r="F28" s="138">
        <f>('Fed Contracts Grnts-2Yr'!AL23)/('Total E&amp;G-2Yr'!AL23)*100</f>
        <v>15.532219711903043</v>
      </c>
      <c r="G28" s="140">
        <f>('Other Contracts Grnts-2Yr'!AL23/'Total E&amp;G-2Yr'!AL23)*100</f>
        <v>14.793227863966754</v>
      </c>
      <c r="H28" s="140">
        <f>('All Other E&amp;G-2Yr'!AL23+'Investment Income-2Yr'!AL23)/('Total E&amp;G-2Yr'!AL23)*100</f>
        <v>6.1483690558279864</v>
      </c>
      <c r="I28" s="69">
        <f t="shared" si="6"/>
        <v>-3.7544716811419967</v>
      </c>
      <c r="J28" s="76">
        <f t="shared" si="7"/>
        <v>-1.9521352901431754</v>
      </c>
      <c r="K28" s="69">
        <f t="shared" si="8"/>
        <v>4.0325849406366743</v>
      </c>
      <c r="L28" s="76">
        <f t="shared" si="9"/>
        <v>-4.2612499988893902</v>
      </c>
      <c r="M28" s="69">
        <f t="shared" si="10"/>
        <v>4.1543390540528602</v>
      </c>
      <c r="N28" s="76">
        <f t="shared" si="11"/>
        <v>1.7809329754850403</v>
      </c>
      <c r="O28" s="20"/>
      <c r="P28" s="21">
        <f>('Tuition-2Yr'!AG23/'Total E&amp;G-2Yr'!AG23)*100</f>
        <v>20.05978989133504</v>
      </c>
      <c r="Q28" s="22">
        <f>('State Appropriations-2Yr'!AG23/'Total E&amp;G-2Yr'!AG23)*100</f>
        <v>26.928729042332645</v>
      </c>
      <c r="R28" s="23">
        <f>IF((('Local Appropriations-2Yr'!AG23/'Total E&amp;G-2Yr'!AG23)*100)&gt;=0.005,('Local Appropriations-2Yr'!AG23/'Total E&amp;G-2Yr'!AG23)*100,"*")</f>
        <v>18.211686465283034</v>
      </c>
      <c r="S28" s="21">
        <f>('Fed Contracts Grnts-2Yr'!AG23/'Total E&amp;G-2Yr'!AG23)*100</f>
        <v>19.793469710792433</v>
      </c>
      <c r="T28" s="23">
        <f>('Other Contracts Grnts-2Yr'!AG23/'Total E&amp;G-2Yr'!AG23)*100</f>
        <v>10.638888809913894</v>
      </c>
      <c r="U28" s="21">
        <f>IF(((('Investment Income-2Yr'!AG23+'All Other E&amp;G-2Yr'!AG23)/'Total E&amp;G-2Yr'!AG23)*100)&gt;=0.005,(('Investment Income-2Yr'!AG23+'All Other E&amp;G-2Yr'!AG23)/'Total E&amp;G-2Yr'!AG23)*100,"*")</f>
        <v>4.3674360803429462</v>
      </c>
      <c r="V28" s="21"/>
      <c r="W28" s="165">
        <f t="shared" si="1"/>
        <v>99.999999999999986</v>
      </c>
      <c r="X28" s="166">
        <f t="shared" si="2"/>
        <v>99.999999999999986</v>
      </c>
      <c r="Y28" s="94">
        <f t="shared" si="3"/>
        <v>45.140415507615678</v>
      </c>
      <c r="Z28" s="95">
        <f t="shared" si="12"/>
        <v>47.220865158109177</v>
      </c>
      <c r="AA28" s="94">
        <f t="shared" si="4"/>
        <v>30.432358520706327</v>
      </c>
      <c r="AB28" s="95">
        <f t="shared" si="5"/>
        <v>30.325447575869795</v>
      </c>
      <c r="AC28" s="176">
        <f>+AA28+Y28+U28+P28</f>
        <v>99.999999999999986</v>
      </c>
      <c r="AD28" s="177">
        <f>+AB28+Z28+H28+C28</f>
        <v>100</v>
      </c>
      <c r="AE28" s="199"/>
    </row>
    <row r="29" spans="1:31">
      <c r="A29" s="63"/>
      <c r="B29" s="63"/>
      <c r="C29" s="137"/>
      <c r="D29" s="69"/>
      <c r="E29" s="137"/>
      <c r="F29" s="69"/>
      <c r="G29" s="137"/>
      <c r="H29" s="137"/>
      <c r="I29" s="69"/>
      <c r="J29" s="76"/>
      <c r="K29" s="69"/>
      <c r="L29" s="76"/>
      <c r="M29" s="69"/>
      <c r="N29" s="76"/>
      <c r="O29" s="20"/>
      <c r="P29" s="21"/>
      <c r="Q29" s="22"/>
      <c r="R29" s="23"/>
      <c r="S29" s="21"/>
      <c r="T29" s="23"/>
      <c r="U29" s="21"/>
      <c r="V29" s="10"/>
      <c r="W29" s="165"/>
      <c r="X29" s="166"/>
      <c r="Y29" s="94"/>
      <c r="Z29" s="95"/>
      <c r="AA29" s="94"/>
      <c r="AB29" s="95"/>
      <c r="AC29" s="176"/>
      <c r="AD29" s="177"/>
    </row>
    <row r="30" spans="1:31">
      <c r="A30" s="64" t="s">
        <v>39</v>
      </c>
      <c r="B30" s="64"/>
      <c r="C30" s="148">
        <f>('Tuition-2Yr'!AL25/'Total E&amp;G-2Yr'!AL25)*100</f>
        <v>3.4385570687863432</v>
      </c>
      <c r="D30" s="70">
        <f>('State Appropriations-2Yr'!AL25)/('Total E&amp;G-2Yr'!AL25)*100</f>
        <v>0</v>
      </c>
      <c r="E30" s="148">
        <f>IF((('Local Appropriations-2Yr'!AL25/'Total E&amp;G-2Yr'!AL25)*100)=0,(('Local Appropriations-2Yr'!AL25/'Total E&amp;G-2Yr'!AL25)*100),IF((('Local Appropriations-2Yr'!AL25/'Total E&amp;G-2Yr'!AL25)*100)&gt;=0.005,('Local Appropriations-2Yr'!AL25/'Total E&amp;G-2Yr'!AL25)*100,"*"))</f>
        <v>63.365413916113134</v>
      </c>
      <c r="F30" s="70">
        <f>('Fed Contracts Grnts-2Yr'!AL25)/('Total E&amp;G-2Yr'!AL25)*100</f>
        <v>21.013438683482992</v>
      </c>
      <c r="G30" s="148">
        <f>('Other Contracts Grnts-2Yr'!AL25/'Total E&amp;G-2Yr'!AL25)*100</f>
        <v>11.425619934997496</v>
      </c>
      <c r="H30" s="148">
        <f>('All Other E&amp;G-2Yr'!AL25+'Investment Income-2Yr'!AL25)/('Total E&amp;G-2Yr'!AL25)*100</f>
        <v>0.75697039662003618</v>
      </c>
      <c r="I30" s="70" t="s">
        <v>87</v>
      </c>
      <c r="J30" s="77" t="s">
        <v>87</v>
      </c>
      <c r="K30" s="70" t="s">
        <v>87</v>
      </c>
      <c r="L30" s="77" t="s">
        <v>87</v>
      </c>
      <c r="M30" s="70" t="s">
        <v>87</v>
      </c>
      <c r="N30" s="77" t="s">
        <v>87</v>
      </c>
      <c r="O30" s="20"/>
      <c r="P30" s="21" t="s">
        <v>87</v>
      </c>
      <c r="Q30" s="21" t="s">
        <v>87</v>
      </c>
      <c r="R30" s="21" t="s">
        <v>87</v>
      </c>
      <c r="S30" s="21" t="s">
        <v>87</v>
      </c>
      <c r="T30" s="21" t="s">
        <v>87</v>
      </c>
      <c r="U30" s="21" t="s">
        <v>87</v>
      </c>
      <c r="V30" s="10"/>
      <c r="W30" s="165">
        <f t="shared" ref="W30" si="13">SUM(P30:U30)</f>
        <v>0</v>
      </c>
      <c r="X30" s="166">
        <f t="shared" ref="X30" si="14">SUM(C30:H30)</f>
        <v>100</v>
      </c>
      <c r="Y30" s="94">
        <f t="shared" ref="Y30" si="15">Q30+R30</f>
        <v>0</v>
      </c>
      <c r="Z30" s="95">
        <f t="shared" ref="Z30" si="16">D30+E30</f>
        <v>63.365413916113134</v>
      </c>
      <c r="AA30" s="94">
        <f t="shared" ref="AA30" si="17">+T30+S30</f>
        <v>0</v>
      </c>
      <c r="AB30" s="95">
        <f t="shared" ref="AB30" si="18">+G30+F30</f>
        <v>32.439058618480487</v>
      </c>
      <c r="AC30" s="176">
        <f>+AA30+Y30+U30+P30</f>
        <v>0</v>
      </c>
      <c r="AD30" s="177">
        <f>+AB30+Z30+H30+C30</f>
        <v>100</v>
      </c>
    </row>
    <row r="31" spans="1:31">
      <c r="A31" s="64" t="s">
        <v>40</v>
      </c>
      <c r="B31" s="64"/>
      <c r="C31" s="148">
        <f>('Tuition-2Yr'!AL26/'Total E&amp;G-2Yr'!AL26)*100</f>
        <v>20.646538868596281</v>
      </c>
      <c r="D31" s="70">
        <f>('State Appropriations-2Yr'!AL26)/('Total E&amp;G-2Yr'!AL26)*100</f>
        <v>4.5513524729869683</v>
      </c>
      <c r="E31" s="148">
        <f>IF((('Local Appropriations-2Yr'!AL26/'Total E&amp;G-2Yr'!AL26)*100)=0,(('Local Appropriations-2Yr'!AL26/'Total E&amp;G-2Yr'!AL26)*100),IF((('Local Appropriations-2Yr'!AL26/'Total E&amp;G-2Yr'!AL26)*100)&gt;=0.005,('Local Appropriations-2Yr'!AL26/'Total E&amp;G-2Yr'!AL26)*100,"*"))</f>
        <v>50.508930098158686</v>
      </c>
      <c r="F31" s="70">
        <f>('Fed Contracts Grnts-2Yr'!AL26)/('Total E&amp;G-2Yr'!AL26)*100</f>
        <v>18.692266263873083</v>
      </c>
      <c r="G31" s="148">
        <f>('Other Contracts Grnts-2Yr'!AL26/'Total E&amp;G-2Yr'!AL26)*100</f>
        <v>2.9862356280122859</v>
      </c>
      <c r="H31" s="148">
        <f>('All Other E&amp;G-2Yr'!AL26+'Investment Income-2Yr'!AL26)/('Total E&amp;G-2Yr'!AL26)*100</f>
        <v>2.614676668372689</v>
      </c>
      <c r="I31" s="70">
        <f t="shared" ref="I31:I43" si="19">IF((C31-P31)=0,(C31-P31),IF((C31-P31)&gt;=0.005,(C31-P31),IF((C31-P31&lt;=-0.005),(C31-P31),"*")))</f>
        <v>0.64480311304322768</v>
      </c>
      <c r="J31" s="77">
        <f t="shared" ref="J31:J43" si="20">IF((D31-Q31)=0,(D31-Q31),IF((D31-Q31)&gt;=0.005,(D31-Q31),IF((D31-Q31&lt;=-0.005),(D31-Q31),"*")))</f>
        <v>-9.3123475201338124E-2</v>
      </c>
      <c r="K31" s="70">
        <f t="shared" ref="K31:K43" si="21">IF((E31-R31)=0,(E31-R31),IF((E31-R31)&gt;=0.005,(E31-R31),IF((E31-R31&lt;=-0.005),(E31-R31),"*")))</f>
        <v>2.903679901337</v>
      </c>
      <c r="L31" s="77">
        <f t="shared" ref="L31:L43" si="22">IF((F31-S31)=0,(F31-S31),IF((F31-S31)&gt;=0.005,(F31-S31),IF((F31-S31&lt;=-0.005),(F31-S31),"*")))</f>
        <v>-2.4346254186131091</v>
      </c>
      <c r="M31" s="70">
        <f t="shared" ref="M31:M43" si="23">IF((G31-T31)=0,(G31-T31),IF((G31-T31)&gt;=0.005,(G31-T31),IF((G31-T31&lt;=-0.005),(G31-T31),"*")))</f>
        <v>1.0313185202003163</v>
      </c>
      <c r="N31" s="77">
        <f t="shared" ref="N31:N43" si="24">IF((H31-U31)=0,(H31-U31),IF((H31-U31)&gt;=0.005,(H31-U31),IF((H31-U31&lt;=-0.005),(H31-U31),"*")))</f>
        <v>-2.0520526407660986</v>
      </c>
      <c r="O31" s="20"/>
      <c r="P31" s="21">
        <f>('Tuition-2Yr'!AG26/'Total E&amp;G-2Yr'!AG26)*100</f>
        <v>20.001735755553053</v>
      </c>
      <c r="Q31" s="22">
        <f>('State Appropriations-2Yr'!AG26/'Total E&amp;G-2Yr'!AG26)*100</f>
        <v>4.6444759481883064</v>
      </c>
      <c r="R31" s="23">
        <f>IF((('Local Appropriations-2Yr'!AG26/'Total E&amp;G-2Yr'!AG26)*100)&gt;=0.005,('Local Appropriations-2Yr'!AG26/'Total E&amp;G-2Yr'!AG26)*100,"*")</f>
        <v>47.605250196821686</v>
      </c>
      <c r="S31" s="21">
        <f>('Fed Contracts Grnts-2Yr'!AG26/'Total E&amp;G-2Yr'!AG26)*100</f>
        <v>21.126891682486193</v>
      </c>
      <c r="T31" s="23">
        <f>('Other Contracts Grnts-2Yr'!AG26/'Total E&amp;G-2Yr'!AG26)*100</f>
        <v>1.9549171078119696</v>
      </c>
      <c r="U31" s="21">
        <f>IF(((('Investment Income-2Yr'!AG26+'All Other E&amp;G-2Yr'!AG26)/'Total E&amp;G-2Yr'!AG26)*100)&gt;=0.005,(('Investment Income-2Yr'!AG26+'All Other E&amp;G-2Yr'!AG26)/'Total E&amp;G-2Yr'!AG26)*100,"*")</f>
        <v>4.6667293091387876</v>
      </c>
      <c r="V31" s="10"/>
      <c r="W31" s="165">
        <f t="shared" si="1"/>
        <v>99.999999999999986</v>
      </c>
      <c r="X31" s="166">
        <f t="shared" si="2"/>
        <v>99.999999999999986</v>
      </c>
      <c r="Y31" s="94">
        <f t="shared" si="3"/>
        <v>52.249726145009994</v>
      </c>
      <c r="Z31" s="95">
        <f t="shared" si="12"/>
        <v>55.060282571145656</v>
      </c>
      <c r="AA31" s="94">
        <f t="shared" si="4"/>
        <v>23.081808790298162</v>
      </c>
      <c r="AB31" s="95">
        <f t="shared" si="5"/>
        <v>21.678501891885368</v>
      </c>
      <c r="AC31" s="176">
        <f>+AA31+Y31+U31+P31</f>
        <v>100</v>
      </c>
      <c r="AD31" s="177">
        <f>+AB31+Z31+H31+C31</f>
        <v>100</v>
      </c>
    </row>
    <row r="32" spans="1:31">
      <c r="A32" s="64" t="s">
        <v>41</v>
      </c>
      <c r="B32" s="64"/>
      <c r="C32" s="148">
        <f>('Tuition-2Yr'!AL27/'Total E&amp;G-2Yr'!AL27)*100</f>
        <v>10.784170398948259</v>
      </c>
      <c r="D32" s="70">
        <f>('State Appropriations-2Yr'!AL27)/('Total E&amp;G-2Yr'!AL27)*100</f>
        <v>25.218405147313856</v>
      </c>
      <c r="E32" s="148">
        <f>IF((('Local Appropriations-2Yr'!AL27/'Total E&amp;G-2Yr'!AL27)*100)=0,(('Local Appropriations-2Yr'!AL27/'Total E&amp;G-2Yr'!AL27)*100),IF((('Local Appropriations-2Yr'!AL27/'Total E&amp;G-2Yr'!AL27)*100)&gt;=0.005,('Local Appropriations-2Yr'!AL27/'Total E&amp;G-2Yr'!AL27)*100,"*"))</f>
        <v>25.327271153266345</v>
      </c>
      <c r="F32" s="70">
        <f>('Fed Contracts Grnts-2Yr'!AL27)/('Total E&amp;G-2Yr'!AL27)*100</f>
        <v>15.190894787345075</v>
      </c>
      <c r="G32" s="148">
        <f>('Other Contracts Grnts-2Yr'!AL27/'Total E&amp;G-2Yr'!AL27)*100</f>
        <v>17.130502878808525</v>
      </c>
      <c r="H32" s="148">
        <f>('All Other E&amp;G-2Yr'!AL27+'Investment Income-2Yr'!AL27)/('Total E&amp;G-2Yr'!AL27)*100</f>
        <v>6.3487556343179543</v>
      </c>
      <c r="I32" s="70">
        <f t="shared" si="19"/>
        <v>-3.6148652897344284</v>
      </c>
      <c r="J32" s="77">
        <f t="shared" si="20"/>
        <v>-2.7488246240878027</v>
      </c>
      <c r="K32" s="70">
        <f t="shared" si="21"/>
        <v>2.4155770698288173</v>
      </c>
      <c r="L32" s="77">
        <f t="shared" si="22"/>
        <v>-4.2964656787478628</v>
      </c>
      <c r="M32" s="70">
        <f t="shared" si="23"/>
        <v>6.1439800447600881</v>
      </c>
      <c r="N32" s="77">
        <f t="shared" si="24"/>
        <v>2.1005984779812064</v>
      </c>
      <c r="O32" s="20"/>
      <c r="P32" s="21">
        <f>('Tuition-2Yr'!AG27/'Total E&amp;G-2Yr'!AG27)*100</f>
        <v>14.399035688682687</v>
      </c>
      <c r="Q32" s="22">
        <f>('State Appropriations-2Yr'!AG27/'Total E&amp;G-2Yr'!AG27)*100</f>
        <v>27.967229771401659</v>
      </c>
      <c r="R32" s="23">
        <f>IF((('Local Appropriations-2Yr'!AG27/'Total E&amp;G-2Yr'!AG27)*100)&gt;=0.005,('Local Appropriations-2Yr'!AG27/'Total E&amp;G-2Yr'!AG27)*100,"*")</f>
        <v>22.911694083437528</v>
      </c>
      <c r="S32" s="21">
        <f>('Fed Contracts Grnts-2Yr'!AG27/'Total E&amp;G-2Yr'!AG27)*100</f>
        <v>19.487360466092937</v>
      </c>
      <c r="T32" s="23">
        <f>('Other Contracts Grnts-2Yr'!AG27/'Total E&amp;G-2Yr'!AG27)*100</f>
        <v>10.986522834048436</v>
      </c>
      <c r="U32" s="21">
        <f>IF(((('Investment Income-2Yr'!AG27+'All Other E&amp;G-2Yr'!AG27)/'Total E&amp;G-2Yr'!AG27)*100)&gt;=0.005,(('Investment Income-2Yr'!AG27+'All Other E&amp;G-2Yr'!AG27)/'Total E&amp;G-2Yr'!AG27)*100,"*")</f>
        <v>4.248157156336748</v>
      </c>
      <c r="V32" s="10"/>
      <c r="W32" s="165">
        <f t="shared" si="1"/>
        <v>99.999999999999986</v>
      </c>
      <c r="X32" s="166">
        <f t="shared" si="2"/>
        <v>100.00000000000001</v>
      </c>
      <c r="Y32" s="94">
        <f t="shared" si="3"/>
        <v>50.878923854839186</v>
      </c>
      <c r="Z32" s="95">
        <f t="shared" si="12"/>
        <v>50.545676300580197</v>
      </c>
      <c r="AA32" s="94">
        <f t="shared" si="4"/>
        <v>30.473883300141374</v>
      </c>
      <c r="AB32" s="95">
        <f t="shared" si="5"/>
        <v>32.321397666153601</v>
      </c>
      <c r="AC32" s="176">
        <f>+AA32+Y32+U32+P32</f>
        <v>99.999999999999986</v>
      </c>
      <c r="AD32" s="177">
        <f>+AB32+Z32+H32+C32</f>
        <v>100.00000000000001</v>
      </c>
    </row>
    <row r="33" spans="1:30">
      <c r="A33" s="64" t="s">
        <v>42</v>
      </c>
      <c r="B33" s="64"/>
      <c r="C33" s="148">
        <f>('Tuition-2Yr'!AL28/'Total E&amp;G-2Yr'!AL28)*100</f>
        <v>51.056609684757163</v>
      </c>
      <c r="D33" s="70">
        <f>('State Appropriations-2Yr'!AL28)/('Total E&amp;G-2Yr'!AL28)*100</f>
        <v>1.8402557767821526</v>
      </c>
      <c r="E33" s="148">
        <f>IF((('Local Appropriations-2Yr'!AL28/'Total E&amp;G-2Yr'!AL28)*100)=0,(('Local Appropriations-2Yr'!AL28/'Total E&amp;G-2Yr'!AL28)*100),IF((('Local Appropriations-2Yr'!AL28/'Total E&amp;G-2Yr'!AL28)*100)&gt;=0.005,('Local Appropriations-2Yr'!AL28/'Total E&amp;G-2Yr'!AL28)*100,"*"))</f>
        <v>9.837832064052364</v>
      </c>
      <c r="F33" s="70">
        <f>('Fed Contracts Grnts-2Yr'!AL28)/('Total E&amp;G-2Yr'!AL28)*100</f>
        <v>14.757262632313465</v>
      </c>
      <c r="G33" s="148">
        <f>('Other Contracts Grnts-2Yr'!AL28/'Total E&amp;G-2Yr'!AL28)*100</f>
        <v>12.784859861575923</v>
      </c>
      <c r="H33" s="148">
        <f>('All Other E&amp;G-2Yr'!AL28+'Investment Income-2Yr'!AL28)/('Total E&amp;G-2Yr'!AL28)*100</f>
        <v>9.7231799805189265</v>
      </c>
      <c r="I33" s="70">
        <f t="shared" si="19"/>
        <v>0.6105415316912115</v>
      </c>
      <c r="J33" s="77">
        <f t="shared" si="20"/>
        <v>-0.41760944796019639</v>
      </c>
      <c r="K33" s="70">
        <f t="shared" si="21"/>
        <v>-2.7677146641440729</v>
      </c>
      <c r="L33" s="77">
        <f t="shared" si="22"/>
        <v>-5.602412975204766</v>
      </c>
      <c r="M33" s="70">
        <f t="shared" si="23"/>
        <v>2.1751716749572108</v>
      </c>
      <c r="N33" s="77">
        <f t="shared" si="24"/>
        <v>6.0020238806606141</v>
      </c>
      <c r="O33" s="20"/>
      <c r="P33" s="21">
        <f>('Tuition-2Yr'!AG28/'Total E&amp;G-2Yr'!AG28)*100</f>
        <v>50.446068153065951</v>
      </c>
      <c r="Q33" s="22">
        <f>('State Appropriations-2Yr'!AG28/'Total E&amp;G-2Yr'!AG28)*100</f>
        <v>2.257865224742349</v>
      </c>
      <c r="R33" s="23">
        <f>IF((('Local Appropriations-2Yr'!AG28/'Total E&amp;G-2Yr'!AG28)*100)&gt;=0.005,('Local Appropriations-2Yr'!AG28/'Total E&amp;G-2Yr'!AG28)*100,"*")</f>
        <v>12.605546728196437</v>
      </c>
      <c r="S33" s="21">
        <f>('Fed Contracts Grnts-2Yr'!AG28/'Total E&amp;G-2Yr'!AG28)*100</f>
        <v>20.359675607518231</v>
      </c>
      <c r="T33" s="23">
        <f>('Other Contracts Grnts-2Yr'!AG28/'Total E&amp;G-2Yr'!AG28)*100</f>
        <v>10.609688186618712</v>
      </c>
      <c r="U33" s="21">
        <f>IF(((('Investment Income-2Yr'!AG28+'All Other E&amp;G-2Yr'!AG28)/'Total E&amp;G-2Yr'!AG28)*100)&gt;=0.005,(('Investment Income-2Yr'!AG28+'All Other E&amp;G-2Yr'!AG28)/'Total E&amp;G-2Yr'!AG28)*100,"*")</f>
        <v>3.7211560998583124</v>
      </c>
      <c r="V33" s="10"/>
      <c r="W33" s="165">
        <f t="shared" si="1"/>
        <v>100</v>
      </c>
      <c r="X33" s="166">
        <f t="shared" si="2"/>
        <v>99.999999999999986</v>
      </c>
      <c r="Y33" s="94">
        <f t="shared" si="3"/>
        <v>14.863411952938787</v>
      </c>
      <c r="Z33" s="95">
        <f t="shared" si="12"/>
        <v>11.678087840834516</v>
      </c>
      <c r="AA33" s="94">
        <f t="shared" si="4"/>
        <v>30.969363794136942</v>
      </c>
      <c r="AB33" s="95">
        <f t="shared" si="5"/>
        <v>27.542122493889387</v>
      </c>
      <c r="AC33" s="176">
        <f>+AA33+Y33+U33+P33</f>
        <v>100</v>
      </c>
      <c r="AD33" s="177">
        <f>+AB33+Z33+H33+C33</f>
        <v>100</v>
      </c>
    </row>
    <row r="34" spans="1:30">
      <c r="A34" s="63" t="s">
        <v>43</v>
      </c>
      <c r="B34" s="63"/>
      <c r="C34" s="137">
        <f>('Tuition-2Yr'!AL29/'Total E&amp;G-2Yr'!AL29)*100</f>
        <v>20.061299171342696</v>
      </c>
      <c r="D34" s="69">
        <f>('State Appropriations-2Yr'!AL29)/('Total E&amp;G-2Yr'!AL29)*100</f>
        <v>39.997556498784739</v>
      </c>
      <c r="E34" s="137">
        <f>IF((('Local Appropriations-2Yr'!AL29/'Total E&amp;G-2Yr'!AL29)*100)=0,(('Local Appropriations-2Yr'!AL29/'Total E&amp;G-2Yr'!AL29)*100),IF((('Local Appropriations-2Yr'!AL29/'Total E&amp;G-2Yr'!AL29)*100)&gt;=0.005,('Local Appropriations-2Yr'!AL29/'Total E&amp;G-2Yr'!AL29)*100,"*"))</f>
        <v>0</v>
      </c>
      <c r="F34" s="69">
        <f>('Fed Contracts Grnts-2Yr'!AL29)/('Total E&amp;G-2Yr'!AL29)*100</f>
        <v>14.653318467921622</v>
      </c>
      <c r="G34" s="137">
        <f>('Other Contracts Grnts-2Yr'!AL29/'Total E&amp;G-2Yr'!AL29)*100</f>
        <v>23.667591841600562</v>
      </c>
      <c r="H34" s="137">
        <f>('All Other E&amp;G-2Yr'!AL29+'Investment Income-2Yr'!AL29)/('Total E&amp;G-2Yr'!AL29)*100</f>
        <v>1.6202340203503973</v>
      </c>
      <c r="I34" s="69">
        <f t="shared" si="19"/>
        <v>-4.5619964863093507</v>
      </c>
      <c r="J34" s="76">
        <f t="shared" si="20"/>
        <v>4.4365039585091992</v>
      </c>
      <c r="K34" s="69">
        <f t="shared" si="21"/>
        <v>0</v>
      </c>
      <c r="L34" s="76">
        <f t="shared" si="22"/>
        <v>-7.0524402756425033</v>
      </c>
      <c r="M34" s="69">
        <f t="shared" si="23"/>
        <v>7.4795791151002149</v>
      </c>
      <c r="N34" s="76">
        <f t="shared" si="24"/>
        <v>-0.30164631165754452</v>
      </c>
      <c r="O34" s="20"/>
      <c r="P34" s="21">
        <f>('Tuition-2Yr'!AG29/'Total E&amp;G-2Yr'!AG29)*100</f>
        <v>24.623295657652047</v>
      </c>
      <c r="Q34" s="22">
        <f>('State Appropriations-2Yr'!AG29/'Total E&amp;G-2Yr'!AG29)*100</f>
        <v>35.56105254027554</v>
      </c>
      <c r="R34" s="23" t="str">
        <f>IF((('Local Appropriations-2Yr'!AG29/'Total E&amp;G-2Yr'!AG29)*100)&gt;=0.005,('Local Appropriations-2Yr'!AG29/'Total E&amp;G-2Yr'!AG29)*100,"*")</f>
        <v>*</v>
      </c>
      <c r="S34" s="21">
        <f>('Fed Contracts Grnts-2Yr'!AG29/'Total E&amp;G-2Yr'!AG29)*100</f>
        <v>21.705758743564125</v>
      </c>
      <c r="T34" s="23">
        <f>('Other Contracts Grnts-2Yr'!AG29/'Total E&amp;G-2Yr'!AG29)*100</f>
        <v>16.188012726500347</v>
      </c>
      <c r="U34" s="21">
        <f>IF(((('Investment Income-2Yr'!AG29+'All Other E&amp;G-2Yr'!AG29)/'Total E&amp;G-2Yr'!AG29)*100)&gt;=0.005,(('Investment Income-2Yr'!AG29+'All Other E&amp;G-2Yr'!AG29)/'Total E&amp;G-2Yr'!AG29)*100,"*")</f>
        <v>1.9218803320079418</v>
      </c>
      <c r="V34" s="10"/>
      <c r="W34" s="165">
        <f t="shared" si="1"/>
        <v>100.00000000000001</v>
      </c>
      <c r="X34" s="166">
        <f t="shared" si="2"/>
        <v>100.00000000000001</v>
      </c>
      <c r="Y34" s="94">
        <f t="shared" si="3"/>
        <v>35.56105254027554</v>
      </c>
      <c r="Z34" s="95">
        <f t="shared" si="12"/>
        <v>39.997556498784739</v>
      </c>
      <c r="AA34" s="94">
        <f t="shared" si="4"/>
        <v>37.893771470064472</v>
      </c>
      <c r="AB34" s="95">
        <f t="shared" si="5"/>
        <v>38.320910309522183</v>
      </c>
      <c r="AC34" s="176">
        <f>+AA34+Y34+U34+P34</f>
        <v>100.00000000000001</v>
      </c>
      <c r="AD34" s="177">
        <f>+AB34+Z34+H34+C34</f>
        <v>100.00000000000001</v>
      </c>
    </row>
    <row r="35" spans="1:30">
      <c r="A35" s="63" t="s">
        <v>44</v>
      </c>
      <c r="B35" s="63"/>
      <c r="C35" s="137">
        <f>('Tuition-2Yr'!AL30/'Total E&amp;G-2Yr'!AL30)*100</f>
        <v>24.562740474728535</v>
      </c>
      <c r="D35" s="69">
        <f>('State Appropriations-2Yr'!AL30)/('Total E&amp;G-2Yr'!AL30)*100</f>
        <v>27.125906043748515</v>
      </c>
      <c r="E35" s="137">
        <f>IF((('Local Appropriations-2Yr'!AL30/'Total E&amp;G-2Yr'!AL30)*100)=0,(('Local Appropriations-2Yr'!AL30/'Total E&amp;G-2Yr'!AL30)*100),IF((('Local Appropriations-2Yr'!AL30/'Total E&amp;G-2Yr'!AL30)*100)&gt;=0.005,('Local Appropriations-2Yr'!AL30/'Total E&amp;G-2Yr'!AL30)*100,"*"))</f>
        <v>12.659976703047729</v>
      </c>
      <c r="F35" s="69">
        <f>('Fed Contracts Grnts-2Yr'!AL30)/('Total E&amp;G-2Yr'!AL30)*100</f>
        <v>19.99324283545047</v>
      </c>
      <c r="G35" s="137">
        <f>('Other Contracts Grnts-2Yr'!AL30/'Total E&amp;G-2Yr'!AL30)*100</f>
        <v>4.9577044993266215</v>
      </c>
      <c r="H35" s="137">
        <f>('All Other E&amp;G-2Yr'!AL30+'Investment Income-2Yr'!AL30)/('Total E&amp;G-2Yr'!AL30)*100</f>
        <v>10.700429443698134</v>
      </c>
      <c r="I35" s="69">
        <f t="shared" si="19"/>
        <v>-1.3402481992172284</v>
      </c>
      <c r="J35" s="76">
        <f t="shared" si="20"/>
        <v>3.2701811473539131</v>
      </c>
      <c r="K35" s="69">
        <f t="shared" si="21"/>
        <v>-0.38630750848179218</v>
      </c>
      <c r="L35" s="76">
        <f t="shared" si="22"/>
        <v>-6.3726661670245974</v>
      </c>
      <c r="M35" s="69">
        <f t="shared" si="23"/>
        <v>1.7766469601608326</v>
      </c>
      <c r="N35" s="76">
        <f t="shared" si="24"/>
        <v>3.0523937672088834</v>
      </c>
      <c r="O35" s="20"/>
      <c r="P35" s="21">
        <f>('Tuition-2Yr'!AG30/'Total E&amp;G-2Yr'!AG30)*100</f>
        <v>25.902988673945764</v>
      </c>
      <c r="Q35" s="22">
        <f>('State Appropriations-2Yr'!AG30/'Total E&amp;G-2Yr'!AG30)*100</f>
        <v>23.855724896394602</v>
      </c>
      <c r="R35" s="23">
        <f>IF((('Local Appropriations-2Yr'!AG30/'Total E&amp;G-2Yr'!AG30)*100)&gt;=0.005,('Local Appropriations-2Yr'!AG30/'Total E&amp;G-2Yr'!AG30)*100,"*")</f>
        <v>13.046284211529521</v>
      </c>
      <c r="S35" s="21">
        <f>('Fed Contracts Grnts-2Yr'!AG30/'Total E&amp;G-2Yr'!AG30)*100</f>
        <v>26.365909002475068</v>
      </c>
      <c r="T35" s="23">
        <f>('Other Contracts Grnts-2Yr'!AG30/'Total E&amp;G-2Yr'!AG30)*100</f>
        <v>3.1810575391657889</v>
      </c>
      <c r="U35" s="21">
        <f>IF(((('Investment Income-2Yr'!AG30+'All Other E&amp;G-2Yr'!AG30)/'Total E&amp;G-2Yr'!AG30)*100)&gt;=0.005,(('Investment Income-2Yr'!AG30+'All Other E&amp;G-2Yr'!AG30)/'Total E&amp;G-2Yr'!AG30)*100,"*")</f>
        <v>7.6480356764892505</v>
      </c>
      <c r="V35" s="10"/>
      <c r="W35" s="165">
        <f t="shared" si="1"/>
        <v>100</v>
      </c>
      <c r="X35" s="166">
        <f t="shared" si="2"/>
        <v>100</v>
      </c>
      <c r="Y35" s="94">
        <f t="shared" si="3"/>
        <v>36.902009107924123</v>
      </c>
      <c r="Z35" s="95">
        <f t="shared" si="12"/>
        <v>39.785882746796247</v>
      </c>
      <c r="AA35" s="94">
        <f t="shared" si="4"/>
        <v>29.546966541640856</v>
      </c>
      <c r="AB35" s="95">
        <f t="shared" si="5"/>
        <v>24.950947334777091</v>
      </c>
      <c r="AC35" s="176">
        <f>+AA35+Y35+U35+P35</f>
        <v>100</v>
      </c>
      <c r="AD35" s="177">
        <f>+AB35+Z35+H35+C35</f>
        <v>100.00000000000003</v>
      </c>
    </row>
    <row r="36" spans="1:30">
      <c r="A36" s="63" t="s">
        <v>45</v>
      </c>
      <c r="B36" s="63"/>
      <c r="C36" s="137">
        <f>('Tuition-2Yr'!AL31/'Total E&amp;G-2Yr'!AL31)*100</f>
        <v>17.402973347197541</v>
      </c>
      <c r="D36" s="69">
        <f>('State Appropriations-2Yr'!AL31)/('Total E&amp;G-2Yr'!AL31)*100</f>
        <v>22.06065042186983</v>
      </c>
      <c r="E36" s="137">
        <f>IF((('Local Appropriations-2Yr'!AL31/'Total E&amp;G-2Yr'!AL31)*100)=0,(('Local Appropriations-2Yr'!AL31/'Total E&amp;G-2Yr'!AL31)*100),IF((('Local Appropriations-2Yr'!AL31/'Total E&amp;G-2Yr'!AL31)*100)&gt;=0.005,('Local Appropriations-2Yr'!AL31/'Total E&amp;G-2Yr'!AL31)*100,"*"))</f>
        <v>9.2059788222820771</v>
      </c>
      <c r="F36" s="69">
        <f>('Fed Contracts Grnts-2Yr'!AL31)/('Total E&amp;G-2Yr'!AL31)*100</f>
        <v>35.036562030567339</v>
      </c>
      <c r="G36" s="137">
        <f>('Other Contracts Grnts-2Yr'!AL31/'Total E&amp;G-2Yr'!AL31)*100</f>
        <v>5.4043377534793668</v>
      </c>
      <c r="H36" s="137">
        <f>('All Other E&amp;G-2Yr'!AL31+'Investment Income-2Yr'!AL31)/('Total E&amp;G-2Yr'!AL31)*100</f>
        <v>10.889497624603838</v>
      </c>
      <c r="I36" s="69">
        <f t="shared" si="19"/>
        <v>-1.1028913623256997</v>
      </c>
      <c r="J36" s="76">
        <f t="shared" si="20"/>
        <v>-0.99462935967780552</v>
      </c>
      <c r="K36" s="69">
        <f t="shared" si="21"/>
        <v>0.7939925096937035</v>
      </c>
      <c r="L36" s="76">
        <f t="shared" si="22"/>
        <v>-2.1600760613441636</v>
      </c>
      <c r="M36" s="69">
        <f t="shared" si="23"/>
        <v>0.81442730929779206</v>
      </c>
      <c r="N36" s="76">
        <f t="shared" si="24"/>
        <v>2.64917696435616</v>
      </c>
      <c r="O36" s="20"/>
      <c r="P36" s="21">
        <f>('Tuition-2Yr'!AG31/'Total E&amp;G-2Yr'!AG31)*100</f>
        <v>18.505864709523241</v>
      </c>
      <c r="Q36" s="22">
        <f>('State Appropriations-2Yr'!AG31/'Total E&amp;G-2Yr'!AG31)*100</f>
        <v>23.055279781547636</v>
      </c>
      <c r="R36" s="23">
        <f>IF((('Local Appropriations-2Yr'!AG31/'Total E&amp;G-2Yr'!AG31)*100)&gt;=0.005,('Local Appropriations-2Yr'!AG31/'Total E&amp;G-2Yr'!AG31)*100,"*")</f>
        <v>8.4119863125883736</v>
      </c>
      <c r="S36" s="21">
        <f>('Fed Contracts Grnts-2Yr'!AG31/'Total E&amp;G-2Yr'!AG31)*100</f>
        <v>37.196638091911502</v>
      </c>
      <c r="T36" s="23">
        <f>('Other Contracts Grnts-2Yr'!AG31/'Total E&amp;G-2Yr'!AG31)*100</f>
        <v>4.5899104441815748</v>
      </c>
      <c r="U36" s="21">
        <f>IF(((('Investment Income-2Yr'!AG31+'All Other E&amp;G-2Yr'!AG31)/'Total E&amp;G-2Yr'!AG31)*100)&gt;=0.005,(('Investment Income-2Yr'!AG31+'All Other E&amp;G-2Yr'!AG31)/'Total E&amp;G-2Yr'!AG31)*100,"*")</f>
        <v>8.2403206602476775</v>
      </c>
      <c r="V36" s="10"/>
      <c r="W36" s="165">
        <f t="shared" si="1"/>
        <v>100</v>
      </c>
      <c r="X36" s="166">
        <f t="shared" si="2"/>
        <v>99.999999999999986</v>
      </c>
      <c r="Y36" s="94">
        <f t="shared" si="3"/>
        <v>31.467266094136008</v>
      </c>
      <c r="Z36" s="95">
        <f t="shared" si="12"/>
        <v>31.266629244151908</v>
      </c>
      <c r="AA36" s="94">
        <f t="shared" si="4"/>
        <v>41.786548536093079</v>
      </c>
      <c r="AB36" s="95">
        <f t="shared" si="5"/>
        <v>40.440899784046707</v>
      </c>
      <c r="AC36" s="176">
        <f>+AA36+Y36+U36+P36</f>
        <v>100</v>
      </c>
      <c r="AD36" s="177">
        <f>+AB36+Z36+H36+C36</f>
        <v>100</v>
      </c>
    </row>
    <row r="37" spans="1:30">
      <c r="A37" s="63" t="s">
        <v>46</v>
      </c>
      <c r="B37" s="63"/>
      <c r="C37" s="137">
        <f>('Tuition-2Yr'!AL32/'Total E&amp;G-2Yr'!AL32)*100</f>
        <v>30.647123989759429</v>
      </c>
      <c r="D37" s="69">
        <f>('State Appropriations-2Yr'!AL32)/('Total E&amp;G-2Yr'!AL32)*100</f>
        <v>43.397035388470186</v>
      </c>
      <c r="E37" s="137">
        <f>IF((('Local Appropriations-2Yr'!AL32/'Total E&amp;G-2Yr'!AL32)*100)=0,(('Local Appropriations-2Yr'!AL32/'Total E&amp;G-2Yr'!AL32)*100),IF((('Local Appropriations-2Yr'!AL32/'Total E&amp;G-2Yr'!AL32)*100)&gt;=0.005,('Local Appropriations-2Yr'!AL32/'Total E&amp;G-2Yr'!AL32)*100,"*"))</f>
        <v>0</v>
      </c>
      <c r="F37" s="69">
        <f>('Fed Contracts Grnts-2Yr'!AL32)/('Total E&amp;G-2Yr'!AL32)*100</f>
        <v>19.857345728426516</v>
      </c>
      <c r="G37" s="137">
        <f>('Other Contracts Grnts-2Yr'!AL32/'Total E&amp;G-2Yr'!AL32)*100</f>
        <v>3.5043978458114515</v>
      </c>
      <c r="H37" s="137">
        <f>('All Other E&amp;G-2Yr'!AL32+'Investment Income-2Yr'!AL32)/('Total E&amp;G-2Yr'!AL32)*100</f>
        <v>2.594097047532423</v>
      </c>
      <c r="I37" s="69">
        <f t="shared" si="19"/>
        <v>0.93558249028074059</v>
      </c>
      <c r="J37" s="76">
        <f t="shared" si="20"/>
        <v>2.5087681787597376</v>
      </c>
      <c r="K37" s="69">
        <f t="shared" si="21"/>
        <v>0</v>
      </c>
      <c r="L37" s="76">
        <f t="shared" si="22"/>
        <v>-4.8389872899184425</v>
      </c>
      <c r="M37" s="69">
        <f t="shared" si="23"/>
        <v>1.4168578858503991</v>
      </c>
      <c r="N37" s="76">
        <f t="shared" si="24"/>
        <v>-2.2221264972423604E-2</v>
      </c>
      <c r="O37" s="20"/>
      <c r="P37" s="21">
        <f>('Tuition-2Yr'!AG32/'Total E&amp;G-2Yr'!AG32)*100</f>
        <v>29.711541499478688</v>
      </c>
      <c r="Q37" s="22">
        <f>('State Appropriations-2Yr'!AG32/'Total E&amp;G-2Yr'!AG32)*100</f>
        <v>40.888267209710449</v>
      </c>
      <c r="R37" s="23" t="str">
        <f>IF((('Local Appropriations-2Yr'!AG32/'Total E&amp;G-2Yr'!AG32)*100)&gt;=0.005,('Local Appropriations-2Yr'!AG32/'Total E&amp;G-2Yr'!AG32)*100,"*")</f>
        <v>*</v>
      </c>
      <c r="S37" s="21">
        <f>('Fed Contracts Grnts-2Yr'!AG32/'Total E&amp;G-2Yr'!AG32)*100</f>
        <v>24.696333018344959</v>
      </c>
      <c r="T37" s="23">
        <f>('Other Contracts Grnts-2Yr'!AG32/'Total E&amp;G-2Yr'!AG32)*100</f>
        <v>2.0875399599610525</v>
      </c>
      <c r="U37" s="21">
        <f>IF(((('Investment Income-2Yr'!AG32+'All Other E&amp;G-2Yr'!AG32)/'Total E&amp;G-2Yr'!AG32)*100)&gt;=0.005,(('Investment Income-2Yr'!AG32+'All Other E&amp;G-2Yr'!AG32)/'Total E&amp;G-2Yr'!AG32)*100,"*")</f>
        <v>2.6163183125048466</v>
      </c>
      <c r="V37" s="10"/>
      <c r="W37" s="165">
        <f t="shared" si="1"/>
        <v>99.999999999999986</v>
      </c>
      <c r="X37" s="166">
        <f t="shared" si="2"/>
        <v>100</v>
      </c>
      <c r="Y37" s="94">
        <f t="shared" si="3"/>
        <v>40.888267209710449</v>
      </c>
      <c r="Z37" s="95">
        <f t="shared" si="12"/>
        <v>43.397035388470186</v>
      </c>
      <c r="AA37" s="94">
        <f t="shared" si="4"/>
        <v>26.783872978306011</v>
      </c>
      <c r="AB37" s="95">
        <f t="shared" si="5"/>
        <v>23.361743574237966</v>
      </c>
      <c r="AC37" s="176">
        <f>+AA37+Y37+U37+P37</f>
        <v>99.999999999999986</v>
      </c>
      <c r="AD37" s="177">
        <f>+AB37+Z37+H37+C37</f>
        <v>100</v>
      </c>
    </row>
    <row r="38" spans="1:30">
      <c r="A38" s="64" t="s">
        <v>47</v>
      </c>
      <c r="B38" s="64"/>
      <c r="C38" s="148">
        <f>('Tuition-2Yr'!AL33/'Total E&amp;G-2Yr'!AL33)*100</f>
        <v>12.118116558779024</v>
      </c>
      <c r="D38" s="70">
        <f>('State Appropriations-2Yr'!AL33)/('Total E&amp;G-2Yr'!AL33)*100</f>
        <v>27.154141211021749</v>
      </c>
      <c r="E38" s="148">
        <f>IF((('Local Appropriations-2Yr'!AL33/'Total E&amp;G-2Yr'!AL33)*100)=0,(('Local Appropriations-2Yr'!AL33/'Total E&amp;G-2Yr'!AL33)*100),IF((('Local Appropriations-2Yr'!AL33/'Total E&amp;G-2Yr'!AL33)*100)&gt;=0.005,('Local Appropriations-2Yr'!AL33/'Total E&amp;G-2Yr'!AL33)*100,"*"))</f>
        <v>23.937815358189802</v>
      </c>
      <c r="F38" s="70">
        <f>('Fed Contracts Grnts-2Yr'!AL33)/('Total E&amp;G-2Yr'!AL33)*100</f>
        <v>17.651351359276266</v>
      </c>
      <c r="G38" s="148">
        <f>('Other Contracts Grnts-2Yr'!AL33/'Total E&amp;G-2Yr'!AL33)*100</f>
        <v>5.148933528917464</v>
      </c>
      <c r="H38" s="148">
        <f>('All Other E&amp;G-2Yr'!AL33+'Investment Income-2Yr'!AL33)/('Total E&amp;G-2Yr'!AL33)*100</f>
        <v>13.989641983815696</v>
      </c>
      <c r="I38" s="70">
        <f t="shared" si="19"/>
        <v>-1.5769636103176481</v>
      </c>
      <c r="J38" s="77">
        <f t="shared" si="20"/>
        <v>-0.54748053850051193</v>
      </c>
      <c r="K38" s="70">
        <f t="shared" si="21"/>
        <v>5.4260802006955799</v>
      </c>
      <c r="L38" s="77">
        <f t="shared" si="22"/>
        <v>-6.6020292596064962</v>
      </c>
      <c r="M38" s="70">
        <f t="shared" si="23"/>
        <v>-1.6234744135258525</v>
      </c>
      <c r="N38" s="77">
        <f t="shared" si="24"/>
        <v>4.9238676212549262</v>
      </c>
      <c r="O38" s="20"/>
      <c r="P38" s="21">
        <f>('Tuition-2Yr'!AG33/'Total E&amp;G-2Yr'!AG33)*100</f>
        <v>13.695080169096672</v>
      </c>
      <c r="Q38" s="22">
        <f>('State Appropriations-2Yr'!AG33/'Total E&amp;G-2Yr'!AG33)*100</f>
        <v>27.701621749522261</v>
      </c>
      <c r="R38" s="23">
        <f>IF((('Local Appropriations-2Yr'!AG33/'Total E&amp;G-2Yr'!AG33)*100)&gt;=0.005,('Local Appropriations-2Yr'!AG33/'Total E&amp;G-2Yr'!AG33)*100,"*")</f>
        <v>18.511735157494222</v>
      </c>
      <c r="S38" s="21">
        <f>('Fed Contracts Grnts-2Yr'!AG33/'Total E&amp;G-2Yr'!AG33)*100</f>
        <v>24.253380618882762</v>
      </c>
      <c r="T38" s="23">
        <f>('Other Contracts Grnts-2Yr'!AG33/'Total E&amp;G-2Yr'!AG33)*100</f>
        <v>6.7724079424433166</v>
      </c>
      <c r="U38" s="21">
        <f>IF(((('Investment Income-2Yr'!AG33+'All Other E&amp;G-2Yr'!AG33)/'Total E&amp;G-2Yr'!AG33)*100)&gt;=0.005,(('Investment Income-2Yr'!AG33+'All Other E&amp;G-2Yr'!AG33)/'Total E&amp;G-2Yr'!AG33)*100,"*")</f>
        <v>9.0657743625607701</v>
      </c>
      <c r="V38" s="10"/>
      <c r="W38" s="165">
        <f t="shared" si="1"/>
        <v>100.00000000000001</v>
      </c>
      <c r="X38" s="166">
        <f t="shared" si="2"/>
        <v>100.00000000000001</v>
      </c>
      <c r="Y38" s="94">
        <f t="shared" si="3"/>
        <v>46.213356907016482</v>
      </c>
      <c r="Z38" s="95">
        <f t="shared" si="12"/>
        <v>51.091956569211547</v>
      </c>
      <c r="AA38" s="94">
        <f t="shared" si="4"/>
        <v>31.025788561326078</v>
      </c>
      <c r="AB38" s="95">
        <f t="shared" si="5"/>
        <v>22.80028488819373</v>
      </c>
      <c r="AC38" s="176">
        <f>+AA38+Y38+U38+P38</f>
        <v>100</v>
      </c>
      <c r="AD38" s="177">
        <f>+AB38+Z38+H38+C38</f>
        <v>100</v>
      </c>
    </row>
    <row r="39" spans="1:30">
      <c r="A39" s="64" t="s">
        <v>48</v>
      </c>
      <c r="B39" s="64"/>
      <c r="C39" s="148">
        <f>('Tuition-2Yr'!AL34/'Total E&amp;G-2Yr'!AL34)*100</f>
        <v>23.107550494344359</v>
      </c>
      <c r="D39" s="70">
        <f>('State Appropriations-2Yr'!AL34)/('Total E&amp;G-2Yr'!AL34)*100</f>
        <v>28.591976359899757</v>
      </c>
      <c r="E39" s="148">
        <f>IF((('Local Appropriations-2Yr'!AL34/'Total E&amp;G-2Yr'!AL34)*100)=0,(('Local Appropriations-2Yr'!AL34/'Total E&amp;G-2Yr'!AL34)*100),IF((('Local Appropriations-2Yr'!AL34/'Total E&amp;G-2Yr'!AL34)*100)&gt;=0.005,('Local Appropriations-2Yr'!AL34/'Total E&amp;G-2Yr'!AL34)*100,"*"))</f>
        <v>21.259061365141111</v>
      </c>
      <c r="F39" s="70">
        <f>('Fed Contracts Grnts-2Yr'!AL34)/('Total E&amp;G-2Yr'!AL34)*100</f>
        <v>15.031156507671895</v>
      </c>
      <c r="G39" s="148">
        <f>('Other Contracts Grnts-2Yr'!AL34/'Total E&amp;G-2Yr'!AL34)*100</f>
        <v>6.6885065185821766</v>
      </c>
      <c r="H39" s="148">
        <f>('All Other E&amp;G-2Yr'!AL34+'Investment Income-2Yr'!AL34)/('Total E&amp;G-2Yr'!AL34)*100</f>
        <v>5.3217487543606907</v>
      </c>
      <c r="I39" s="70">
        <f t="shared" si="19"/>
        <v>-6.4194031078456995</v>
      </c>
      <c r="J39" s="77">
        <f t="shared" si="20"/>
        <v>11.928787319859019</v>
      </c>
      <c r="K39" s="70">
        <f t="shared" si="21"/>
        <v>0.99731222112250606</v>
      </c>
      <c r="L39" s="77">
        <f t="shared" si="22"/>
        <v>-7.4800424044779419</v>
      </c>
      <c r="M39" s="70">
        <f t="shared" si="23"/>
        <v>0.84140557536439697</v>
      </c>
      <c r="N39" s="77">
        <f t="shared" si="24"/>
        <v>0.13194039597770058</v>
      </c>
      <c r="O39" s="20"/>
      <c r="P39" s="21">
        <f>('Tuition-2Yr'!AG34/'Total E&amp;G-2Yr'!AG34)*100</f>
        <v>29.526953602190058</v>
      </c>
      <c r="Q39" s="22">
        <f>('State Appropriations-2Yr'!AG34/'Total E&amp;G-2Yr'!AG34)*100</f>
        <v>16.663189040040738</v>
      </c>
      <c r="R39" s="23">
        <f>IF((('Local Appropriations-2Yr'!AG34/'Total E&amp;G-2Yr'!AG34)*100)&gt;=0.005,('Local Appropriations-2Yr'!AG34/'Total E&amp;G-2Yr'!AG34)*100,"*")</f>
        <v>20.261749144018605</v>
      </c>
      <c r="S39" s="21">
        <f>('Fed Contracts Grnts-2Yr'!AG34/'Total E&amp;G-2Yr'!AG34)*100</f>
        <v>22.511198912149837</v>
      </c>
      <c r="T39" s="23">
        <f>('Other Contracts Grnts-2Yr'!AG34/'Total E&amp;G-2Yr'!AG34)*100</f>
        <v>5.8471009432177796</v>
      </c>
      <c r="U39" s="21">
        <f>IF(((('Investment Income-2Yr'!AG34+'All Other E&amp;G-2Yr'!AG34)/'Total E&amp;G-2Yr'!AG34)*100)&gt;=0.005,(('Investment Income-2Yr'!AG34+'All Other E&amp;G-2Yr'!AG34)/'Total E&amp;G-2Yr'!AG34)*100,"*")</f>
        <v>5.1898083583829901</v>
      </c>
      <c r="V39" s="10"/>
      <c r="W39" s="165">
        <f t="shared" si="1"/>
        <v>100.00000000000001</v>
      </c>
      <c r="X39" s="166">
        <f t="shared" si="2"/>
        <v>99.999999999999972</v>
      </c>
      <c r="Y39" s="94">
        <f t="shared" si="3"/>
        <v>36.924938184059343</v>
      </c>
      <c r="Z39" s="95">
        <f t="shared" si="12"/>
        <v>49.851037725040868</v>
      </c>
      <c r="AA39" s="94">
        <f t="shared" si="4"/>
        <v>28.358299855367616</v>
      </c>
      <c r="AB39" s="95">
        <f t="shared" si="5"/>
        <v>21.719663026254072</v>
      </c>
      <c r="AC39" s="176">
        <f>+AA39+Y39+U39+P39</f>
        <v>100.00000000000001</v>
      </c>
      <c r="AD39" s="177">
        <f>+AB39+Z39+H39+C39</f>
        <v>100</v>
      </c>
    </row>
    <row r="40" spans="1:30">
      <c r="A40" s="64" t="s">
        <v>49</v>
      </c>
      <c r="B40" s="64"/>
      <c r="C40" s="148">
        <f>('Tuition-2Yr'!AL35/'Total E&amp;G-2Yr'!AL35)*100</f>
        <v>31.399595415363706</v>
      </c>
      <c r="D40" s="70">
        <f>('State Appropriations-2Yr'!AL35)/('Total E&amp;G-2Yr'!AL35)*100</f>
        <v>47.487949415435899</v>
      </c>
      <c r="E40" s="148">
        <f>IF((('Local Appropriations-2Yr'!AL35/'Total E&amp;G-2Yr'!AL35)*100)=0,(('Local Appropriations-2Yr'!AL35/'Total E&amp;G-2Yr'!AL35)*100),IF((('Local Appropriations-2Yr'!AL35/'Total E&amp;G-2Yr'!AL35)*100)&gt;=0.005,('Local Appropriations-2Yr'!AL35/'Total E&amp;G-2Yr'!AL35)*100,"*"))</f>
        <v>0</v>
      </c>
      <c r="F40" s="70">
        <f>('Fed Contracts Grnts-2Yr'!AL35)/('Total E&amp;G-2Yr'!AL35)*100</f>
        <v>13.966888045229474</v>
      </c>
      <c r="G40" s="148">
        <f>('Other Contracts Grnts-2Yr'!AL35/'Total E&amp;G-2Yr'!AL35)*100</f>
        <v>2.2168028954215977</v>
      </c>
      <c r="H40" s="148">
        <f>('All Other E&amp;G-2Yr'!AL35+'Investment Income-2Yr'!AL35)/('Total E&amp;G-2Yr'!AL35)*100</f>
        <v>4.9287642285493023</v>
      </c>
      <c r="I40" s="70">
        <f t="shared" si="19"/>
        <v>-5.7082501706656004</v>
      </c>
      <c r="J40" s="77">
        <f t="shared" si="20"/>
        <v>7.2669291140189429</v>
      </c>
      <c r="K40" s="70">
        <f t="shared" si="21"/>
        <v>0</v>
      </c>
      <c r="L40" s="77">
        <f t="shared" si="22"/>
        <v>-4.2226396796515857</v>
      </c>
      <c r="M40" s="70">
        <f t="shared" si="23"/>
        <v>-9.9741874978231504E-2</v>
      </c>
      <c r="N40" s="77">
        <f t="shared" si="24"/>
        <v>2.7637026112764445</v>
      </c>
      <c r="O40" s="20"/>
      <c r="P40" s="21">
        <f>('Tuition-2Yr'!AG35/'Total E&amp;G-2Yr'!AG35)*100</f>
        <v>37.107845586029306</v>
      </c>
      <c r="Q40" s="22">
        <f>('State Appropriations-2Yr'!AG35/'Total E&amp;G-2Yr'!AG35)*100</f>
        <v>40.221020301416956</v>
      </c>
      <c r="R40" s="23" t="str">
        <f>IF((('Local Appropriations-2Yr'!AG35/'Total E&amp;G-2Yr'!AG35)*100)&gt;=0.005,('Local Appropriations-2Yr'!AG35/'Total E&amp;G-2Yr'!AG35)*100,"*")</f>
        <v>*</v>
      </c>
      <c r="S40" s="21">
        <f>('Fed Contracts Grnts-2Yr'!AG35/'Total E&amp;G-2Yr'!AG35)*100</f>
        <v>18.18952772488106</v>
      </c>
      <c r="T40" s="23">
        <f>('Other Contracts Grnts-2Yr'!AG35/'Total E&amp;G-2Yr'!AG35)*100</f>
        <v>2.3165447703998292</v>
      </c>
      <c r="U40" s="21">
        <f>IF(((('Investment Income-2Yr'!AG35+'All Other E&amp;G-2Yr'!AG35)/'Total E&amp;G-2Yr'!AG35)*100)&gt;=0.005,(('Investment Income-2Yr'!AG35+'All Other E&amp;G-2Yr'!AG35)/'Total E&amp;G-2Yr'!AG35)*100,"*")</f>
        <v>2.1650616172728578</v>
      </c>
      <c r="V40" s="10"/>
      <c r="W40" s="165">
        <f t="shared" si="1"/>
        <v>100</v>
      </c>
      <c r="X40" s="166">
        <f t="shared" si="2"/>
        <v>99.999999999999972</v>
      </c>
      <c r="Y40" s="94">
        <f t="shared" si="3"/>
        <v>40.221020301416956</v>
      </c>
      <c r="Z40" s="95">
        <f t="shared" si="12"/>
        <v>47.487949415435899</v>
      </c>
      <c r="AA40" s="94">
        <f t="shared" si="4"/>
        <v>20.50607249528089</v>
      </c>
      <c r="AB40" s="95">
        <f t="shared" si="5"/>
        <v>16.183690940651072</v>
      </c>
      <c r="AC40" s="176">
        <f>+AA40+Y40+U40+P40</f>
        <v>100</v>
      </c>
      <c r="AD40" s="177">
        <f>+AB40+Z40+H40+C40</f>
        <v>99.999999999999972</v>
      </c>
    </row>
    <row r="41" spans="1:30">
      <c r="A41" s="64" t="s">
        <v>50</v>
      </c>
      <c r="B41" s="64"/>
      <c r="C41" s="148">
        <f>('Tuition-2Yr'!AL36/'Total E&amp;G-2Yr'!AL36)*100</f>
        <v>26.62312376018604</v>
      </c>
      <c r="D41" s="70">
        <f>('State Appropriations-2Yr'!AL36)/('Total E&amp;G-2Yr'!AL36)*100</f>
        <v>33.225380531379599</v>
      </c>
      <c r="E41" s="148">
        <f>IF((('Local Appropriations-2Yr'!AL36/'Total E&amp;G-2Yr'!AL36)*100)=0,(('Local Appropriations-2Yr'!AL36/'Total E&amp;G-2Yr'!AL36)*100),IF((('Local Appropriations-2Yr'!AL36/'Total E&amp;G-2Yr'!AL36)*100)&gt;=0.005,('Local Appropriations-2Yr'!AL36/'Total E&amp;G-2Yr'!AL36)*100,"*"))</f>
        <v>0</v>
      </c>
      <c r="F41" s="70">
        <f>('Fed Contracts Grnts-2Yr'!AL36)/('Total E&amp;G-2Yr'!AL36)*100</f>
        <v>13.808869838670782</v>
      </c>
      <c r="G41" s="148">
        <f>('Other Contracts Grnts-2Yr'!AL36/'Total E&amp;G-2Yr'!AL36)*100</f>
        <v>21.441547533777982</v>
      </c>
      <c r="H41" s="148">
        <f>('All Other E&amp;G-2Yr'!AL36+'Investment Income-2Yr'!AL36)/('Total E&amp;G-2Yr'!AL36)*100</f>
        <v>4.9010783359855985</v>
      </c>
      <c r="I41" s="70">
        <f t="shared" si="19"/>
        <v>-5.0889163807792066</v>
      </c>
      <c r="J41" s="77">
        <f t="shared" si="20"/>
        <v>3.8778390140210703</v>
      </c>
      <c r="K41" s="70">
        <f t="shared" si="21"/>
        <v>0</v>
      </c>
      <c r="L41" s="77">
        <f t="shared" si="22"/>
        <v>-2.4727012419169387</v>
      </c>
      <c r="M41" s="70">
        <f t="shared" si="23"/>
        <v>2.3999456702603901</v>
      </c>
      <c r="N41" s="77">
        <f t="shared" si="24"/>
        <v>1.2838329384146978</v>
      </c>
      <c r="O41" s="20"/>
      <c r="P41" s="21">
        <f>('Tuition-2Yr'!AG36/'Total E&amp;G-2Yr'!AG36)*100</f>
        <v>31.712040140965247</v>
      </c>
      <c r="Q41" s="22">
        <f>('State Appropriations-2Yr'!AG36/'Total E&amp;G-2Yr'!AG36)*100</f>
        <v>29.347541517358529</v>
      </c>
      <c r="R41" s="23" t="str">
        <f>IF((('Local Appropriations-2Yr'!AG36/'Total E&amp;G-2Yr'!AG36)*100)&gt;=0.005,('Local Appropriations-2Yr'!AG36/'Total E&amp;G-2Yr'!AG36)*100,"*")</f>
        <v>*</v>
      </c>
      <c r="S41" s="21">
        <f>('Fed Contracts Grnts-2Yr'!AG36/'Total E&amp;G-2Yr'!AG36)*100</f>
        <v>16.281571080587721</v>
      </c>
      <c r="T41" s="23">
        <f>('Other Contracts Grnts-2Yr'!AG36/'Total E&amp;G-2Yr'!AG36)*100</f>
        <v>19.041601863517592</v>
      </c>
      <c r="U41" s="21">
        <f>IF(((('Investment Income-2Yr'!AG36+'All Other E&amp;G-2Yr'!AG36)/'Total E&amp;G-2Yr'!AG36)*100)&gt;=0.005,(('Investment Income-2Yr'!AG36+'All Other E&amp;G-2Yr'!AG36)/'Total E&amp;G-2Yr'!AG36)*100,"*")</f>
        <v>3.6172453975709007</v>
      </c>
      <c r="V41" s="10"/>
      <c r="W41" s="165">
        <f t="shared" si="1"/>
        <v>99.999999999999986</v>
      </c>
      <c r="X41" s="166">
        <f t="shared" si="2"/>
        <v>100</v>
      </c>
      <c r="Y41" s="94">
        <f t="shared" si="3"/>
        <v>29.347541517358529</v>
      </c>
      <c r="Z41" s="95">
        <f t="shared" si="12"/>
        <v>33.225380531379599</v>
      </c>
      <c r="AA41" s="94">
        <f t="shared" si="4"/>
        <v>35.323172944105309</v>
      </c>
      <c r="AB41" s="95">
        <f t="shared" si="5"/>
        <v>35.250417372448766</v>
      </c>
      <c r="AC41" s="176">
        <f>+AA41+Y41+U41+P41</f>
        <v>99.999999999999972</v>
      </c>
      <c r="AD41" s="177">
        <f>+AB41+Z41+H41+C41</f>
        <v>100</v>
      </c>
    </row>
    <row r="42" spans="1:30">
      <c r="A42" s="65" t="s">
        <v>51</v>
      </c>
      <c r="B42" s="64"/>
      <c r="C42" s="148">
        <f>('Tuition-2Yr'!AL37/'Total E&amp;G-2Yr'!AL37)*100</f>
        <v>18.086530805872751</v>
      </c>
      <c r="D42" s="70">
        <f>('State Appropriations-2Yr'!AL37)/('Total E&amp;G-2Yr'!AL37)*100</f>
        <v>40.558561085524445</v>
      </c>
      <c r="E42" s="148">
        <f>IF((('Local Appropriations-2Yr'!AL37/'Total E&amp;G-2Yr'!AL37)*100)=0,(('Local Appropriations-2Yr'!AL37/'Total E&amp;G-2Yr'!AL37)*100),IF((('Local Appropriations-2Yr'!AL37/'Total E&amp;G-2Yr'!AL37)*100)&gt;=0.005,('Local Appropriations-2Yr'!AL37/'Total E&amp;G-2Yr'!AL37)*100,"*"))</f>
        <v>17.951496764581616</v>
      </c>
      <c r="F42" s="70">
        <f>('Fed Contracts Grnts-2Yr'!AL37)/('Total E&amp;G-2Yr'!AL37)*100</f>
        <v>11.995216690826259</v>
      </c>
      <c r="G42" s="148">
        <f>('Other Contracts Grnts-2Yr'!AL37/'Total E&amp;G-2Yr'!AL37)*100</f>
        <v>8.4222635018210656</v>
      </c>
      <c r="H42" s="148">
        <f>('All Other E&amp;G-2Yr'!AL37+'Investment Income-2Yr'!AL37)/('Total E&amp;G-2Yr'!AL37)*100</f>
        <v>2.98593115137386</v>
      </c>
      <c r="I42" s="72">
        <f t="shared" si="19"/>
        <v>3.3211084788093519</v>
      </c>
      <c r="J42" s="78">
        <f t="shared" si="20"/>
        <v>0.5051407597678903</v>
      </c>
      <c r="K42" s="72">
        <f t="shared" si="21"/>
        <v>1.6235744887167414</v>
      </c>
      <c r="L42" s="78">
        <f t="shared" si="22"/>
        <v>1.4018264990948861</v>
      </c>
      <c r="M42" s="72">
        <f t="shared" si="23"/>
        <v>-4.3825326093429506</v>
      </c>
      <c r="N42" s="78">
        <f t="shared" si="24"/>
        <v>-2.4691176170459181</v>
      </c>
      <c r="O42" s="20"/>
      <c r="P42" s="21">
        <f>('Tuition-2Yr'!AG37/'Total E&amp;G-2Yr'!AG37)*100</f>
        <v>14.7654223270634</v>
      </c>
      <c r="Q42" s="22">
        <f>('State Appropriations-2Yr'!AG37/'Total E&amp;G-2Yr'!AG37)*100</f>
        <v>40.053420325756555</v>
      </c>
      <c r="R42" s="23">
        <f>IF((('Local Appropriations-2Yr'!AG37/'Total E&amp;G-2Yr'!AG37)*100)&gt;=0.005,('Local Appropriations-2Yr'!AG37/'Total E&amp;G-2Yr'!AG37)*100,"*")</f>
        <v>16.327922275864875</v>
      </c>
      <c r="S42" s="21">
        <f>('Fed Contracts Grnts-2Yr'!AG37/'Total E&amp;G-2Yr'!AG37)*100</f>
        <v>10.593390191731373</v>
      </c>
      <c r="T42" s="23">
        <f>('Other Contracts Grnts-2Yr'!AG37/'Total E&amp;G-2Yr'!AG37)*100</f>
        <v>12.804796111164016</v>
      </c>
      <c r="U42" s="21">
        <f>IF(((('Investment Income-2Yr'!AG37+'All Other E&amp;G-2Yr'!AG37)/'Total E&amp;G-2Yr'!AG37)*100)&gt;=0.005,(('Investment Income-2Yr'!AG37+'All Other E&amp;G-2Yr'!AG37)/'Total E&amp;G-2Yr'!AG37)*100,"*")</f>
        <v>5.4550487684197781</v>
      </c>
      <c r="V42" s="10"/>
      <c r="W42" s="165">
        <f t="shared" si="1"/>
        <v>100</v>
      </c>
      <c r="X42" s="166">
        <f t="shared" si="2"/>
        <v>100</v>
      </c>
      <c r="Y42" s="94">
        <f t="shared" si="3"/>
        <v>56.381342601621427</v>
      </c>
      <c r="Z42" s="95">
        <f t="shared" si="12"/>
        <v>58.510057850106065</v>
      </c>
      <c r="AA42" s="94">
        <f t="shared" si="4"/>
        <v>23.39818630289539</v>
      </c>
      <c r="AB42" s="95">
        <f t="shared" si="5"/>
        <v>20.417480192647325</v>
      </c>
      <c r="AC42" s="176">
        <f>+AA42+Y42+U42+P42</f>
        <v>99.999999999999986</v>
      </c>
      <c r="AD42" s="177">
        <f>+AB42+Z42+H42+C42</f>
        <v>100</v>
      </c>
    </row>
    <row r="43" spans="1:30">
      <c r="A43" s="63" t="s">
        <v>52</v>
      </c>
      <c r="B43" s="159"/>
      <c r="C43" s="140">
        <f>('Tuition-2Yr'!AL38/'Total E&amp;G-2Yr'!AL38)*100</f>
        <v>29.10841172678294</v>
      </c>
      <c r="D43" s="138">
        <f>('State Appropriations-2Yr'!AL38)/('Total E&amp;G-2Yr'!AL38)*100</f>
        <v>16.668550289621319</v>
      </c>
      <c r="E43" s="140">
        <f>IF((('Local Appropriations-2Yr'!AL38/'Total E&amp;G-2Yr'!AL38)*100)=0,(('Local Appropriations-2Yr'!AL38/'Total E&amp;G-2Yr'!AL38)*100),IF((('Local Appropriations-2Yr'!AL38/'Total E&amp;G-2Yr'!AL38)*100)&gt;=0.005,('Local Appropriations-2Yr'!AL38/'Total E&amp;G-2Yr'!AL38)*100,"*"))</f>
        <v>23.569603584580847</v>
      </c>
      <c r="F43" s="138">
        <f>('Fed Contracts Grnts-2Yr'!AL38)/('Total E&amp;G-2Yr'!AL38)*100</f>
        <v>16.668550289621319</v>
      </c>
      <c r="G43" s="140">
        <f>('Other Contracts Grnts-2Yr'!AL38/'Total E&amp;G-2Yr'!AL38)*100</f>
        <v>8.8494312243493933</v>
      </c>
      <c r="H43" s="140">
        <f>('All Other E&amp;G-2Yr'!AL38+'Investment Income-2Yr'!AL38)/('Total E&amp;G-2Yr'!AL38)*100</f>
        <v>5.1354528850442067</v>
      </c>
      <c r="I43" s="69">
        <f t="shared" si="19"/>
        <v>-1.9186360938362128</v>
      </c>
      <c r="J43" s="76">
        <f t="shared" si="20"/>
        <v>-5.2750973671137871</v>
      </c>
      <c r="K43" s="69">
        <f t="shared" si="21"/>
        <v>6.1160601696380219</v>
      </c>
      <c r="L43" s="76">
        <f t="shared" si="22"/>
        <v>-3.3425246012716876</v>
      </c>
      <c r="M43" s="69">
        <f t="shared" si="23"/>
        <v>3.0797150953993926</v>
      </c>
      <c r="N43" s="76">
        <f t="shared" si="24"/>
        <v>1.3404827971842774</v>
      </c>
      <c r="O43" s="20"/>
      <c r="P43" s="21">
        <f>('Tuition-2Yr'!AG38/'Total E&amp;G-2Yr'!AG38)*100</f>
        <v>31.027047820619153</v>
      </c>
      <c r="Q43" s="22">
        <f>('State Appropriations-2Yr'!AG38/'Total E&amp;G-2Yr'!AG38)*100</f>
        <v>21.943647656735106</v>
      </c>
      <c r="R43" s="23">
        <f>IF((('Local Appropriations-2Yr'!AG38/'Total E&amp;G-2Yr'!AG38)*100)&gt;=0.005,('Local Appropriations-2Yr'!AG38/'Total E&amp;G-2Yr'!AG38)*100,"*")</f>
        <v>17.453543414942825</v>
      </c>
      <c r="S43" s="21">
        <f>('Fed Contracts Grnts-2Yr'!AG38/'Total E&amp;G-2Yr'!AG38)*100</f>
        <v>20.011074890893006</v>
      </c>
      <c r="T43" s="23">
        <f>('Other Contracts Grnts-2Yr'!AG38/'Total E&amp;G-2Yr'!AG38)*100</f>
        <v>5.7697161289500007</v>
      </c>
      <c r="U43" s="21">
        <f>IF(((('Investment Income-2Yr'!AG38+'All Other E&amp;G-2Yr'!AG38)/'Total E&amp;G-2Yr'!AG38)*100)&gt;=0.005,(('Investment Income-2Yr'!AG38+'All Other E&amp;G-2Yr'!AG38)/'Total E&amp;G-2Yr'!AG38)*100,"*")</f>
        <v>3.7949700878599293</v>
      </c>
      <c r="V43" s="10"/>
      <c r="W43" s="165">
        <f t="shared" si="1"/>
        <v>100</v>
      </c>
      <c r="X43" s="166">
        <f t="shared" si="2"/>
        <v>100.00000000000001</v>
      </c>
      <c r="Y43" s="94">
        <f t="shared" si="3"/>
        <v>39.397191071677931</v>
      </c>
      <c r="Z43" s="95">
        <f t="shared" si="12"/>
        <v>40.238153874202169</v>
      </c>
      <c r="AA43" s="94">
        <f t="shared" si="4"/>
        <v>25.780791019843008</v>
      </c>
      <c r="AB43" s="95">
        <f t="shared" si="5"/>
        <v>25.51798151397071</v>
      </c>
      <c r="AC43" s="176">
        <f>+AA43+Y43+U43+P43</f>
        <v>100</v>
      </c>
      <c r="AD43" s="177">
        <f>+AB43+Z43+H43+C43</f>
        <v>100.00000000000003</v>
      </c>
    </row>
    <row r="44" spans="1:30">
      <c r="A44" s="63"/>
      <c r="B44" s="63"/>
      <c r="C44" s="137"/>
      <c r="D44" s="69"/>
      <c r="E44" s="137"/>
      <c r="F44" s="69"/>
      <c r="G44" s="137"/>
      <c r="H44" s="137"/>
      <c r="I44" s="69"/>
      <c r="J44" s="76"/>
      <c r="K44" s="69"/>
      <c r="L44" s="76"/>
      <c r="M44" s="69"/>
      <c r="N44" s="76"/>
      <c r="O44" s="20"/>
      <c r="P44" s="21"/>
      <c r="Q44" s="22"/>
      <c r="R44" s="23"/>
      <c r="S44" s="21"/>
      <c r="T44" s="23"/>
      <c r="U44" s="21"/>
      <c r="V44" s="10"/>
      <c r="W44" s="165"/>
      <c r="X44" s="166"/>
      <c r="Y44" s="94"/>
      <c r="Z44" s="95"/>
      <c r="AA44" s="94"/>
      <c r="AB44" s="95"/>
      <c r="AC44" s="176"/>
      <c r="AD44" s="177"/>
    </row>
    <row r="45" spans="1:30">
      <c r="A45" s="64" t="s">
        <v>53</v>
      </c>
      <c r="B45" s="64"/>
      <c r="C45" s="148">
        <f>('Tuition-2Yr'!AL40/'Total E&amp;G-2Yr'!AL40)*100</f>
        <v>21.024777608399155</v>
      </c>
      <c r="D45" s="70">
        <f>('State Appropriations-2Yr'!AL40)/('Total E&amp;G-2Yr'!AL40)*100</f>
        <v>12.15998063273832</v>
      </c>
      <c r="E45" s="148">
        <f>IF((('Local Appropriations-2Yr'!AL40/'Total E&amp;G-2Yr'!AL40)*100)=0,(('Local Appropriations-2Yr'!AL40/'Total E&amp;G-2Yr'!AL40)*100),IF((('Local Appropriations-2Yr'!AL40/'Total E&amp;G-2Yr'!AL40)*100)&gt;=0.005,('Local Appropriations-2Yr'!AL40/'Total E&amp;G-2Yr'!AL40)*100,"*"))</f>
        <v>31.129815421847081</v>
      </c>
      <c r="F45" s="70">
        <f>('Fed Contracts Grnts-2Yr'!AL40)/('Total E&amp;G-2Yr'!AL40)*100</f>
        <v>12.15998063273832</v>
      </c>
      <c r="G45" s="148">
        <f>('Other Contracts Grnts-2Yr'!AL40/'Total E&amp;G-2Yr'!AL40)*100</f>
        <v>18.764117491868706</v>
      </c>
      <c r="H45" s="148">
        <f>('All Other E&amp;G-2Yr'!AL40+'Investment Income-2Yr'!AL40)/('Total E&amp;G-2Yr'!AL40)*100</f>
        <v>4.7613282124084098</v>
      </c>
      <c r="I45" s="70">
        <f t="shared" ref="I45:I57" si="25">IF((C45-P45)=0,(C45-P45),IF((C45-P45)&gt;=0.005,(C45-P45),IF((C45-P45&lt;=-0.005),(C45-P45),"*")))</f>
        <v>-5.6417643717326804</v>
      </c>
      <c r="J45" s="77">
        <f t="shared" ref="J45:J57" si="26">IF((D45-Q45)=0,(D45-Q45),IF((D45-Q45)&gt;=0.005,(D45-Q45),IF((D45-Q45&lt;=-0.005),(D45-Q45),"*")))</f>
        <v>-1.4350680616055058</v>
      </c>
      <c r="K45" s="70">
        <f t="shared" ref="K45:K57" si="27">IF((E45-R45)=0,(E45-R45),IF((E45-R45)&gt;=0.005,(E45-R45),IF((E45-R45&lt;=-0.005),(E45-R45),"*")))</f>
        <v>1.770803298272785</v>
      </c>
      <c r="L45" s="77">
        <f t="shared" ref="L45:L57" si="28">IF((F45-S45)=0,(F45-S45),IF((F45-S45)&gt;=0.005,(F45-S45),IF((F45-S45&lt;=-0.005),(F45-S45),"*")))</f>
        <v>-3.0696852628431017</v>
      </c>
      <c r="M45" s="70">
        <f t="shared" ref="M45:M57" si="29">IF((G45-T45)=0,(G45-T45),IF((G45-T45)&gt;=0.005,(G45-T45),IF((G45-T45&lt;=-0.005),(G45-T45),"*")))</f>
        <v>6.560593293012051</v>
      </c>
      <c r="N45" s="77">
        <f t="shared" ref="N45:N57" si="30">IF((H45-U45)=0,(H45-U45),IF((H45-U45)&gt;=0.005,(H45-U45),IF((H45-U45&lt;=-0.005),(H45-U45),"*")))</f>
        <v>1.8151211048964453</v>
      </c>
      <c r="O45" s="20"/>
      <c r="P45" s="21">
        <f>('Tuition-2Yr'!AG40/'Total E&amp;G-2Yr'!AG40)*100</f>
        <v>26.666541980131836</v>
      </c>
      <c r="Q45" s="22">
        <f>('State Appropriations-2Yr'!AG40/'Total E&amp;G-2Yr'!AG40)*100</f>
        <v>13.595048694343825</v>
      </c>
      <c r="R45" s="23">
        <f>IF((('Local Appropriations-2Yr'!AG40/'Total E&amp;G-2Yr'!AG40)*100)&gt;=0.005,('Local Appropriations-2Yr'!AG40/'Total E&amp;G-2Yr'!AG40)*100,"*")</f>
        <v>29.359012123574296</v>
      </c>
      <c r="S45" s="21">
        <f>('Fed Contracts Grnts-2Yr'!AG40/'Total E&amp;G-2Yr'!AG40)*100</f>
        <v>15.229665895581421</v>
      </c>
      <c r="T45" s="23">
        <f>('Other Contracts Grnts-2Yr'!AG40/'Total E&amp;G-2Yr'!AG40)*100</f>
        <v>12.203524198856655</v>
      </c>
      <c r="U45" s="21">
        <f>IF(((('Investment Income-2Yr'!AG40+'All Other E&amp;G-2Yr'!AG40)/'Total E&amp;G-2Yr'!AG40)*100)&gt;=0.005,(('Investment Income-2Yr'!AG40+'All Other E&amp;G-2Yr'!AG40)/'Total E&amp;G-2Yr'!AG40)*100,"*")</f>
        <v>2.9462071075119645</v>
      </c>
      <c r="V45" s="10"/>
      <c r="W45" s="165">
        <f t="shared" si="1"/>
        <v>100</v>
      </c>
      <c r="X45" s="166">
        <f t="shared" si="2"/>
        <v>100</v>
      </c>
      <c r="Y45" s="94">
        <f t="shared" si="3"/>
        <v>42.954060817918119</v>
      </c>
      <c r="Z45" s="95">
        <f t="shared" si="12"/>
        <v>43.289796054585402</v>
      </c>
      <c r="AA45" s="94">
        <f t="shared" si="4"/>
        <v>27.433190094438075</v>
      </c>
      <c r="AB45" s="95">
        <f t="shared" si="5"/>
        <v>30.924098124607028</v>
      </c>
      <c r="AC45" s="176">
        <f>+AA45+Y45+U45+P45</f>
        <v>100</v>
      </c>
      <c r="AD45" s="177">
        <f>+AB45+Z45+H45+C45</f>
        <v>100</v>
      </c>
    </row>
    <row r="46" spans="1:30">
      <c r="A46" s="64" t="s">
        <v>54</v>
      </c>
      <c r="B46" s="64"/>
      <c r="C46" s="148">
        <f>('Tuition-2Yr'!AL41/'Total E&amp;G-2Yr'!AL41)*100</f>
        <v>38.28441909553441</v>
      </c>
      <c r="D46" s="70">
        <f>('State Appropriations-2Yr'!AL41)/('Total E&amp;G-2Yr'!AL41)*100</f>
        <v>22.145987187802422</v>
      </c>
      <c r="E46" s="148">
        <f>IF((('Local Appropriations-2Yr'!AL41/'Total E&amp;G-2Yr'!AL41)*100)=0,(('Local Appropriations-2Yr'!AL41/'Total E&amp;G-2Yr'!AL41)*100),IF((('Local Appropriations-2Yr'!AL41/'Total E&amp;G-2Yr'!AL41)*100)&gt;=0.005,('Local Appropriations-2Yr'!AL41/'Total E&amp;G-2Yr'!AL41)*100,"*"))</f>
        <v>0</v>
      </c>
      <c r="F46" s="70">
        <f>('Fed Contracts Grnts-2Yr'!AL41)/('Total E&amp;G-2Yr'!AL41)*100</f>
        <v>22.145987187802422</v>
      </c>
      <c r="G46" s="148">
        <f>('Other Contracts Grnts-2Yr'!AL41/'Total E&amp;G-2Yr'!AL41)*100</f>
        <v>10.283772571078886</v>
      </c>
      <c r="H46" s="148">
        <f>('All Other E&amp;G-2Yr'!AL41+'Investment Income-2Yr'!AL41)/('Total E&amp;G-2Yr'!AL41)*100</f>
        <v>7.1398339577818604</v>
      </c>
      <c r="I46" s="70">
        <f t="shared" si="25"/>
        <v>5.9420315841137779</v>
      </c>
      <c r="J46" s="77">
        <f t="shared" si="26"/>
        <v>-11.316001222416059</v>
      </c>
      <c r="K46" s="70">
        <f t="shared" si="27"/>
        <v>0</v>
      </c>
      <c r="L46" s="77">
        <f t="shared" si="28"/>
        <v>-1.4214913401914409</v>
      </c>
      <c r="M46" s="70">
        <f t="shared" si="29"/>
        <v>1.8395255255615215</v>
      </c>
      <c r="N46" s="77">
        <f t="shared" si="30"/>
        <v>4.9559354529322146</v>
      </c>
      <c r="O46" s="20"/>
      <c r="P46" s="21">
        <f>('Tuition-2Yr'!AG41/'Total E&amp;G-2Yr'!AG41)*100</f>
        <v>32.342387511420633</v>
      </c>
      <c r="Q46" s="22">
        <f>('State Appropriations-2Yr'!AG41/'Total E&amp;G-2Yr'!AG41)*100</f>
        <v>33.461988410218481</v>
      </c>
      <c r="R46" s="23" t="str">
        <f>IF((('Local Appropriations-2Yr'!AG41/'Total E&amp;G-2Yr'!AG41)*100)&gt;=0.005,('Local Appropriations-2Yr'!AG41/'Total E&amp;G-2Yr'!AG41)*100,"*")</f>
        <v>*</v>
      </c>
      <c r="S46" s="21">
        <f>('Fed Contracts Grnts-2Yr'!AG41/'Total E&amp;G-2Yr'!AG41)*100</f>
        <v>23.567478527993863</v>
      </c>
      <c r="T46" s="23">
        <f>('Other Contracts Grnts-2Yr'!AG41/'Total E&amp;G-2Yr'!AG41)*100</f>
        <v>8.4442470455173648</v>
      </c>
      <c r="U46" s="21">
        <f>IF(((('Investment Income-2Yr'!AG41+'All Other E&amp;G-2Yr'!AG41)/'Total E&amp;G-2Yr'!AG41)*100)&gt;=0.005,(('Investment Income-2Yr'!AG41+'All Other E&amp;G-2Yr'!AG41)/'Total E&amp;G-2Yr'!AG41)*100,"*")</f>
        <v>2.1838985048496453</v>
      </c>
      <c r="V46" s="10"/>
      <c r="W46" s="165">
        <f t="shared" si="1"/>
        <v>100</v>
      </c>
      <c r="X46" s="166">
        <f t="shared" si="2"/>
        <v>100</v>
      </c>
      <c r="Y46" s="94">
        <f t="shared" si="3"/>
        <v>33.461988410218481</v>
      </c>
      <c r="Z46" s="95">
        <f t="shared" si="12"/>
        <v>22.145987187802422</v>
      </c>
      <c r="AA46" s="94">
        <f t="shared" si="4"/>
        <v>32.011725573511228</v>
      </c>
      <c r="AB46" s="95">
        <f t="shared" si="5"/>
        <v>32.42975975888131</v>
      </c>
      <c r="AC46" s="176">
        <f>+AA46+Y46+U46+P46</f>
        <v>100</v>
      </c>
      <c r="AD46" s="177">
        <f>+AB46+Z46+H46+C46</f>
        <v>100</v>
      </c>
    </row>
    <row r="47" spans="1:30">
      <c r="A47" s="64" t="s">
        <v>55</v>
      </c>
      <c r="B47" s="64"/>
      <c r="C47" s="148">
        <f>('Tuition-2Yr'!AL42/'Total E&amp;G-2Yr'!AL42)*100</f>
        <v>31.261212071276706</v>
      </c>
      <c r="D47" s="70">
        <f>('State Appropriations-2Yr'!AL42)/('Total E&amp;G-2Yr'!AL42)*100</f>
        <v>16.759598940627807</v>
      </c>
      <c r="E47" s="148">
        <f>IF((('Local Appropriations-2Yr'!AL42/'Total E&amp;G-2Yr'!AL42)*100)=0,(('Local Appropriations-2Yr'!AL42/'Total E&amp;G-2Yr'!AL42)*100),IF((('Local Appropriations-2Yr'!AL42/'Total E&amp;G-2Yr'!AL42)*100)&gt;=0.005,('Local Appropriations-2Yr'!AL42/'Total E&amp;G-2Yr'!AL42)*100,"*"))</f>
        <v>17.804829844926736</v>
      </c>
      <c r="F47" s="70">
        <f>('Fed Contracts Grnts-2Yr'!AL42)/('Total E&amp;G-2Yr'!AL42)*100</f>
        <v>16.759598940627807</v>
      </c>
      <c r="G47" s="148">
        <f>('Other Contracts Grnts-2Yr'!AL42/'Total E&amp;G-2Yr'!AL42)*100</f>
        <v>5.5682973576337815</v>
      </c>
      <c r="H47" s="148">
        <f>('All Other E&amp;G-2Yr'!AL42+'Investment Income-2Yr'!AL42)/('Total E&amp;G-2Yr'!AL42)*100</f>
        <v>11.846462844907155</v>
      </c>
      <c r="I47" s="70">
        <f t="shared" si="25"/>
        <v>2.6364867837261556</v>
      </c>
      <c r="J47" s="77">
        <f t="shared" si="26"/>
        <v>-8.7247564171558025</v>
      </c>
      <c r="K47" s="70">
        <f t="shared" si="27"/>
        <v>4.8128592403464943</v>
      </c>
      <c r="L47" s="77">
        <f t="shared" si="28"/>
        <v>-1.5917231345050666</v>
      </c>
      <c r="M47" s="121">
        <f t="shared" si="29"/>
        <v>-0.462176794102791</v>
      </c>
      <c r="N47" s="77">
        <f t="shared" si="30"/>
        <v>3.3293103216909916</v>
      </c>
      <c r="O47" s="20"/>
      <c r="P47" s="21">
        <f>('Tuition-2Yr'!AG42/'Total E&amp;G-2Yr'!AG42)*100</f>
        <v>28.62472528755055</v>
      </c>
      <c r="Q47" s="22">
        <f>('State Appropriations-2Yr'!AG42/'Total E&amp;G-2Yr'!AG42)*100</f>
        <v>25.48435535778361</v>
      </c>
      <c r="R47" s="23">
        <f>IF((('Local Appropriations-2Yr'!AG42/'Total E&amp;G-2Yr'!AG42)*100)&gt;=0.005,('Local Appropriations-2Yr'!AG42/'Total E&amp;G-2Yr'!AG42)*100,"*")</f>
        <v>12.991970604580242</v>
      </c>
      <c r="S47" s="21">
        <f>('Fed Contracts Grnts-2Yr'!AG42/'Total E&amp;G-2Yr'!AG42)*100</f>
        <v>18.351322075132874</v>
      </c>
      <c r="T47" s="23">
        <f>('Other Contracts Grnts-2Yr'!AG42/'Total E&amp;G-2Yr'!AG42)*100</f>
        <v>6.0304741517365725</v>
      </c>
      <c r="U47" s="21">
        <f>IF(((('Investment Income-2Yr'!AG42+'All Other E&amp;G-2Yr'!AG42)/'Total E&amp;G-2Yr'!AG42)*100)&gt;=0.005,(('Investment Income-2Yr'!AG42+'All Other E&amp;G-2Yr'!AG42)/'Total E&amp;G-2Yr'!AG42)*100,"*")</f>
        <v>8.5171525232161631</v>
      </c>
      <c r="V47" s="10"/>
      <c r="W47" s="165">
        <f t="shared" si="1"/>
        <v>100.00000000000001</v>
      </c>
      <c r="X47" s="166">
        <f t="shared" si="2"/>
        <v>100</v>
      </c>
      <c r="Y47" s="94">
        <f t="shared" si="3"/>
        <v>38.476325962363852</v>
      </c>
      <c r="Z47" s="95">
        <f t="shared" si="12"/>
        <v>34.56442878555454</v>
      </c>
      <c r="AA47" s="94">
        <f t="shared" si="4"/>
        <v>24.381796226869447</v>
      </c>
      <c r="AB47" s="95">
        <f t="shared" si="5"/>
        <v>22.327896298261589</v>
      </c>
      <c r="AC47" s="176">
        <f>+AA47+Y47+U47+P47</f>
        <v>100.00000000000001</v>
      </c>
      <c r="AD47" s="177">
        <f>+AB47+Z47+H47+C47</f>
        <v>99.999999999999986</v>
      </c>
    </row>
    <row r="48" spans="1:30">
      <c r="A48" s="64" t="s">
        <v>56</v>
      </c>
      <c r="B48" s="64"/>
      <c r="C48" s="148">
        <f>('Tuition-2Yr'!AL43/'Total E&amp;G-2Yr'!AL43)*100</f>
        <v>24.692244956456676</v>
      </c>
      <c r="D48" s="70">
        <f>('State Appropriations-2Yr'!AL43)/('Total E&amp;G-2Yr'!AL43)*100</f>
        <v>15.416315759667951</v>
      </c>
      <c r="E48" s="148">
        <f>IF((('Local Appropriations-2Yr'!AL43/'Total E&amp;G-2Yr'!AL43)*100)=0,(('Local Appropriations-2Yr'!AL43/'Total E&amp;G-2Yr'!AL43)*100),IF((('Local Appropriations-2Yr'!AL43/'Total E&amp;G-2Yr'!AL43)*100)&gt;=0.005,('Local Appropriations-2Yr'!AL43/'Total E&amp;G-2Yr'!AL43)*100,"*"))</f>
        <v>34.983338812822304</v>
      </c>
      <c r="F48" s="70">
        <f>('Fed Contracts Grnts-2Yr'!AL43)/('Total E&amp;G-2Yr'!AL43)*100</f>
        <v>15.416315759667951</v>
      </c>
      <c r="G48" s="148">
        <f>('Other Contracts Grnts-2Yr'!AL43/'Total E&amp;G-2Yr'!AL43)*100</f>
        <v>3.6308463009683085</v>
      </c>
      <c r="H48" s="148">
        <f>('All Other E&amp;G-2Yr'!AL43+'Investment Income-2Yr'!AL43)/('Total E&amp;G-2Yr'!AL43)*100</f>
        <v>5.8609384104168054</v>
      </c>
      <c r="I48" s="70">
        <f t="shared" si="25"/>
        <v>1.8036788614641459</v>
      </c>
      <c r="J48" s="77">
        <f t="shared" si="26"/>
        <v>-2.5494595253794952</v>
      </c>
      <c r="K48" s="70">
        <f t="shared" si="27"/>
        <v>0.87409887423530108</v>
      </c>
      <c r="L48" s="77">
        <f t="shared" si="28"/>
        <v>-0.80359582133697494</v>
      </c>
      <c r="M48" s="70">
        <f t="shared" si="29"/>
        <v>1.5344191214384715</v>
      </c>
      <c r="N48" s="77">
        <f t="shared" si="30"/>
        <v>-0.85914151042145726</v>
      </c>
      <c r="O48" s="20"/>
      <c r="P48" s="21">
        <f>('Tuition-2Yr'!AG43/'Total E&amp;G-2Yr'!AG43)*100</f>
        <v>22.88856609499253</v>
      </c>
      <c r="Q48" s="22">
        <f>('State Appropriations-2Yr'!AG43/'Total E&amp;G-2Yr'!AG43)*100</f>
        <v>17.965775285047446</v>
      </c>
      <c r="R48" s="23">
        <f>IF((('Local Appropriations-2Yr'!AG43/'Total E&amp;G-2Yr'!AG43)*100)&gt;=0.005,('Local Appropriations-2Yr'!AG43/'Total E&amp;G-2Yr'!AG43)*100,"*")</f>
        <v>34.109239938587002</v>
      </c>
      <c r="S48" s="21">
        <f>('Fed Contracts Grnts-2Yr'!AG43/'Total E&amp;G-2Yr'!AG43)*100</f>
        <v>16.219911581004926</v>
      </c>
      <c r="T48" s="23">
        <f>('Other Contracts Grnts-2Yr'!AG43/'Total E&amp;G-2Yr'!AG43)*100</f>
        <v>2.096427179529837</v>
      </c>
      <c r="U48" s="21">
        <f>IF(((('Investment Income-2Yr'!AG43+'All Other E&amp;G-2Yr'!AG43)/'Total E&amp;G-2Yr'!AG43)*100)&gt;=0.005,(('Investment Income-2Yr'!AG43+'All Other E&amp;G-2Yr'!AG43)/'Total E&amp;G-2Yr'!AG43)*100,"*")</f>
        <v>6.7200799208382627</v>
      </c>
      <c r="V48" s="10"/>
      <c r="W48" s="165">
        <f t="shared" si="1"/>
        <v>100</v>
      </c>
      <c r="X48" s="166">
        <f t="shared" si="2"/>
        <v>100</v>
      </c>
      <c r="Y48" s="94">
        <f t="shared" si="3"/>
        <v>52.075015223634452</v>
      </c>
      <c r="Z48" s="95">
        <f t="shared" si="12"/>
        <v>50.399654572490256</v>
      </c>
      <c r="AA48" s="94">
        <f t="shared" si="4"/>
        <v>18.316338760534762</v>
      </c>
      <c r="AB48" s="95">
        <f t="shared" si="5"/>
        <v>19.047162060636261</v>
      </c>
      <c r="AC48" s="176">
        <f>+AA48+Y48+U48+P48</f>
        <v>100</v>
      </c>
      <c r="AD48" s="177">
        <f>+AB48+Z48+H48+C48</f>
        <v>100</v>
      </c>
    </row>
    <row r="49" spans="1:30">
      <c r="A49" s="63" t="s">
        <v>57</v>
      </c>
      <c r="B49" s="63"/>
      <c r="C49" s="137">
        <f>('Tuition-2Yr'!AL44/'Total E&amp;G-2Yr'!AL44)*100</f>
        <v>30.235363856479587</v>
      </c>
      <c r="D49" s="69">
        <f>('State Appropriations-2Yr'!AL44)/('Total E&amp;G-2Yr'!AL44)*100</f>
        <v>15.734987965424812</v>
      </c>
      <c r="E49" s="137">
        <f>IF((('Local Appropriations-2Yr'!AL44/'Total E&amp;G-2Yr'!AL44)*100)=0,(('Local Appropriations-2Yr'!AL44/'Total E&amp;G-2Yr'!AL44)*100),IF((('Local Appropriations-2Yr'!AL44/'Total E&amp;G-2Yr'!AL44)*100)&gt;=0.005,('Local Appropriations-2Yr'!AL44/'Total E&amp;G-2Yr'!AL44)*100,"*"))</f>
        <v>29.966925252637811</v>
      </c>
      <c r="F49" s="69">
        <f>('Fed Contracts Grnts-2Yr'!AL44)/('Total E&amp;G-2Yr'!AL44)*100</f>
        <v>15.734987965424812</v>
      </c>
      <c r="G49" s="137">
        <f>('Other Contracts Grnts-2Yr'!AL44/'Total E&amp;G-2Yr'!AL44)*100</f>
        <v>2.9158553991235943</v>
      </c>
      <c r="H49" s="137">
        <f>('All Other E&amp;G-2Yr'!AL44+'Investment Income-2Yr'!AL44)/('Total E&amp;G-2Yr'!AL44)*100</f>
        <v>5.411879560909381</v>
      </c>
      <c r="I49" s="69">
        <f t="shared" si="25"/>
        <v>-1.3070837550478522</v>
      </c>
      <c r="J49" s="76">
        <f t="shared" si="26"/>
        <v>-1.5063976721952397</v>
      </c>
      <c r="K49" s="69">
        <f t="shared" si="27"/>
        <v>5.3318354024149528</v>
      </c>
      <c r="L49" s="76">
        <f t="shared" si="28"/>
        <v>-4.6300802079635073</v>
      </c>
      <c r="M49" s="69">
        <f t="shared" si="29"/>
        <v>0.13526891068703595</v>
      </c>
      <c r="N49" s="76">
        <f t="shared" si="30"/>
        <v>1.9764573221046198</v>
      </c>
      <c r="O49" s="20"/>
      <c r="P49" s="21">
        <f>('Tuition-2Yr'!AG44/'Total E&amp;G-2Yr'!AG44)*100</f>
        <v>31.542447611527439</v>
      </c>
      <c r="Q49" s="22">
        <f>('State Appropriations-2Yr'!AG44/'Total E&amp;G-2Yr'!AG44)*100</f>
        <v>17.241385637620052</v>
      </c>
      <c r="R49" s="23">
        <f>IF((('Local Appropriations-2Yr'!AG44/'Total E&amp;G-2Yr'!AG44)*100)&gt;=0.005,('Local Appropriations-2Yr'!AG44/'Total E&amp;G-2Yr'!AG44)*100,"*")</f>
        <v>24.635089850222858</v>
      </c>
      <c r="S49" s="21">
        <f>('Fed Contracts Grnts-2Yr'!AG44/'Total E&amp;G-2Yr'!AG44)*100</f>
        <v>20.36506817338832</v>
      </c>
      <c r="T49" s="23">
        <f>('Other Contracts Grnts-2Yr'!AG44/'Total E&amp;G-2Yr'!AG44)*100</f>
        <v>2.7805864884365583</v>
      </c>
      <c r="U49" s="21">
        <f>IF(((('Investment Income-2Yr'!AG44+'All Other E&amp;G-2Yr'!AG44)/'Total E&amp;G-2Yr'!AG44)*100)&gt;=0.005,(('Investment Income-2Yr'!AG44+'All Other E&amp;G-2Yr'!AG44)/'Total E&amp;G-2Yr'!AG44)*100,"*")</f>
        <v>3.4354222388047613</v>
      </c>
      <c r="V49" s="10"/>
      <c r="W49" s="165">
        <f t="shared" si="1"/>
        <v>99.999999999999986</v>
      </c>
      <c r="X49" s="166">
        <f t="shared" si="2"/>
        <v>100</v>
      </c>
      <c r="Y49" s="94">
        <f t="shared" si="3"/>
        <v>41.87647548784291</v>
      </c>
      <c r="Z49" s="95">
        <f t="shared" si="12"/>
        <v>45.701913218062622</v>
      </c>
      <c r="AA49" s="94">
        <f t="shared" si="4"/>
        <v>23.145654661824878</v>
      </c>
      <c r="AB49" s="95">
        <f t="shared" si="5"/>
        <v>18.650843364548408</v>
      </c>
      <c r="AC49" s="176">
        <f>+AA49+Y49+U49+P49</f>
        <v>99.999999999999986</v>
      </c>
      <c r="AD49" s="177">
        <f>+AB49+Z49+H49+C49</f>
        <v>100</v>
      </c>
    </row>
    <row r="50" spans="1:30">
      <c r="A50" s="63" t="s">
        <v>58</v>
      </c>
      <c r="B50" s="63"/>
      <c r="C50" s="137">
        <f>('Tuition-2Yr'!AL45/'Total E&amp;G-2Yr'!AL45)*100</f>
        <v>43.469818643835467</v>
      </c>
      <c r="D50" s="69">
        <f>('State Appropriations-2Yr'!AL45)/('Total E&amp;G-2Yr'!AL45)*100</f>
        <v>23.264926656051429</v>
      </c>
      <c r="E50" s="137">
        <f>IF((('Local Appropriations-2Yr'!AL45/'Total E&amp;G-2Yr'!AL45)*100)=0,(('Local Appropriations-2Yr'!AL45/'Total E&amp;G-2Yr'!AL45)*100),IF((('Local Appropriations-2Yr'!AL45/'Total E&amp;G-2Yr'!AL45)*100)&gt;=0.005,('Local Appropriations-2Yr'!AL45/'Total E&amp;G-2Yr'!AL45)*100,"*"))</f>
        <v>0</v>
      </c>
      <c r="F50" s="69">
        <f>('Fed Contracts Grnts-2Yr'!AL45)/('Total E&amp;G-2Yr'!AL45)*100</f>
        <v>23.264926656051429</v>
      </c>
      <c r="G50" s="137">
        <f>('Other Contracts Grnts-2Yr'!AL45/'Total E&amp;G-2Yr'!AL45)*100</f>
        <v>7.0992089305389934</v>
      </c>
      <c r="H50" s="137">
        <f>('All Other E&amp;G-2Yr'!AL45+'Investment Income-2Yr'!AL45)/('Total E&amp;G-2Yr'!AL45)*100</f>
        <v>2.9011191135226833</v>
      </c>
      <c r="I50" s="69">
        <f t="shared" si="25"/>
        <v>2.901540332461785</v>
      </c>
      <c r="J50" s="76">
        <f t="shared" si="26"/>
        <v>-7.3201902991692371</v>
      </c>
      <c r="K50" s="69">
        <f t="shared" si="27"/>
        <v>0</v>
      </c>
      <c r="L50" s="76">
        <f t="shared" si="28"/>
        <v>1.8417764086921977</v>
      </c>
      <c r="M50" s="69">
        <f t="shared" si="29"/>
        <v>1.2212736139380382</v>
      </c>
      <c r="N50" s="76">
        <f t="shared" si="30"/>
        <v>1.3555999440772091</v>
      </c>
      <c r="O50" s="20"/>
      <c r="P50" s="21">
        <f>('Tuition-2Yr'!AG45/'Total E&amp;G-2Yr'!AG45)*100</f>
        <v>40.568278311373682</v>
      </c>
      <c r="Q50" s="22">
        <f>('State Appropriations-2Yr'!AG45/'Total E&amp;G-2Yr'!AG45)*100</f>
        <v>30.585116955220666</v>
      </c>
      <c r="R50" s="23" t="str">
        <f>IF((('Local Appropriations-2Yr'!AG45/'Total E&amp;G-2Yr'!AG45)*100)&gt;=0.005,('Local Appropriations-2Yr'!AG45/'Total E&amp;G-2Yr'!AG45)*100,"*")</f>
        <v>*</v>
      </c>
      <c r="S50" s="21">
        <f>('Fed Contracts Grnts-2Yr'!AG45/'Total E&amp;G-2Yr'!AG45)*100</f>
        <v>21.423150247359231</v>
      </c>
      <c r="T50" s="23">
        <f>('Other Contracts Grnts-2Yr'!AG45/'Total E&amp;G-2Yr'!AG45)*100</f>
        <v>5.8779353166009551</v>
      </c>
      <c r="U50" s="21">
        <f>IF(((('Investment Income-2Yr'!AG45+'All Other E&amp;G-2Yr'!AG45)/'Total E&amp;G-2Yr'!AG45)*100)&gt;=0.005,(('Investment Income-2Yr'!AG45+'All Other E&amp;G-2Yr'!AG45)/'Total E&amp;G-2Yr'!AG45)*100,"*")</f>
        <v>1.5455191694454742</v>
      </c>
      <c r="V50" s="10"/>
      <c r="W50" s="165">
        <f t="shared" si="1"/>
        <v>100</v>
      </c>
      <c r="X50" s="166">
        <f t="shared" si="2"/>
        <v>100</v>
      </c>
      <c r="Y50" s="94">
        <f t="shared" si="3"/>
        <v>30.585116955220666</v>
      </c>
      <c r="Z50" s="95">
        <f t="shared" si="12"/>
        <v>23.264926656051429</v>
      </c>
      <c r="AA50" s="94">
        <f t="shared" si="4"/>
        <v>27.301085563960186</v>
      </c>
      <c r="AB50" s="95">
        <f t="shared" si="5"/>
        <v>30.364135586590422</v>
      </c>
      <c r="AC50" s="176">
        <f>+AA50+Y50+U50+P50</f>
        <v>100.00000000000001</v>
      </c>
      <c r="AD50" s="177">
        <f>+AB50+Z50+H50+C50</f>
        <v>100</v>
      </c>
    </row>
    <row r="51" spans="1:30">
      <c r="A51" s="63" t="s">
        <v>59</v>
      </c>
      <c r="B51" s="63"/>
      <c r="C51" s="137">
        <f>('Tuition-2Yr'!AL46/'Total E&amp;G-2Yr'!AL46)*100</f>
        <v>28.437106833300913</v>
      </c>
      <c r="D51" s="69">
        <f>('State Appropriations-2Yr'!AL46)/('Total E&amp;G-2Yr'!AL46)*100</f>
        <v>21.698078447433634</v>
      </c>
      <c r="E51" s="137">
        <f>IF((('Local Appropriations-2Yr'!AL46/'Total E&amp;G-2Yr'!AL46)*100)=0,(('Local Appropriations-2Yr'!AL46/'Total E&amp;G-2Yr'!AL46)*100),IF((('Local Appropriations-2Yr'!AL46/'Total E&amp;G-2Yr'!AL46)*100)&gt;=0.005,('Local Appropriations-2Yr'!AL46/'Total E&amp;G-2Yr'!AL46)*100,"*"))</f>
        <v>19.301539065180776</v>
      </c>
      <c r="F51" s="69">
        <f>('Fed Contracts Grnts-2Yr'!AL46)/('Total E&amp;G-2Yr'!AL46)*100</f>
        <v>21.698078447433634</v>
      </c>
      <c r="G51" s="137">
        <f>('Other Contracts Grnts-2Yr'!AL46/'Total E&amp;G-2Yr'!AL46)*100</f>
        <v>5.0089735755929574</v>
      </c>
      <c r="H51" s="137">
        <f>('All Other E&amp;G-2Yr'!AL46+'Investment Income-2Yr'!AL46)/('Total E&amp;G-2Yr'!AL46)*100</f>
        <v>3.8562236310580831</v>
      </c>
      <c r="I51" s="69">
        <f t="shared" si="25"/>
        <v>-1.0146805531881249</v>
      </c>
      <c r="J51" s="76">
        <f t="shared" si="26"/>
        <v>4.3293855915193653</v>
      </c>
      <c r="K51" s="69">
        <f t="shared" si="27"/>
        <v>2.9320025663923559</v>
      </c>
      <c r="L51" s="76">
        <f t="shared" si="28"/>
        <v>-6.3062644264881094</v>
      </c>
      <c r="M51" s="69">
        <f t="shared" si="29"/>
        <v>1.3197325721462096</v>
      </c>
      <c r="N51" s="76">
        <f t="shared" si="30"/>
        <v>-1.2601757503816851</v>
      </c>
      <c r="O51" s="20"/>
      <c r="P51" s="21">
        <f>('Tuition-2Yr'!AG46/'Total E&amp;G-2Yr'!AG46)*100</f>
        <v>29.451787386489038</v>
      </c>
      <c r="Q51" s="22">
        <f>('State Appropriations-2Yr'!AG46/'Total E&amp;G-2Yr'!AG46)*100</f>
        <v>17.368692855914269</v>
      </c>
      <c r="R51" s="23">
        <f>IF((('Local Appropriations-2Yr'!AG46/'Total E&amp;G-2Yr'!AG46)*100)&gt;=0.005,('Local Appropriations-2Yr'!AG46/'Total E&amp;G-2Yr'!AG46)*100,"*")</f>
        <v>16.36953649878842</v>
      </c>
      <c r="S51" s="21">
        <f>('Fed Contracts Grnts-2Yr'!AG46/'Total E&amp;G-2Yr'!AG46)*100</f>
        <v>28.004342873921743</v>
      </c>
      <c r="T51" s="23">
        <f>('Other Contracts Grnts-2Yr'!AG46/'Total E&amp;G-2Yr'!AG46)*100</f>
        <v>3.6892410034467478</v>
      </c>
      <c r="U51" s="21">
        <f>IF(((('Investment Income-2Yr'!AG46+'All Other E&amp;G-2Yr'!AG46)/'Total E&amp;G-2Yr'!AG46)*100)&gt;=0.005,(('Investment Income-2Yr'!AG46+'All Other E&amp;G-2Yr'!AG46)/'Total E&amp;G-2Yr'!AG46)*100,"*")</f>
        <v>5.1163993814397681</v>
      </c>
      <c r="V51" s="10"/>
      <c r="W51" s="165">
        <f t="shared" si="1"/>
        <v>99.999999999999986</v>
      </c>
      <c r="X51" s="166">
        <f t="shared" si="2"/>
        <v>100</v>
      </c>
      <c r="Y51" s="94">
        <f t="shared" si="3"/>
        <v>33.738229354702689</v>
      </c>
      <c r="Z51" s="95">
        <f t="shared" si="12"/>
        <v>40.999617512614407</v>
      </c>
      <c r="AA51" s="94">
        <f t="shared" si="4"/>
        <v>31.693583877368489</v>
      </c>
      <c r="AB51" s="95">
        <f t="shared" si="5"/>
        <v>26.707052023026591</v>
      </c>
      <c r="AC51" s="176">
        <f>+AA51+Y51+U51+P51</f>
        <v>99.999999999999972</v>
      </c>
      <c r="AD51" s="177">
        <f>+AB51+Z51+H51+C51</f>
        <v>100</v>
      </c>
    </row>
    <row r="52" spans="1:30">
      <c r="A52" s="63" t="s">
        <v>60</v>
      </c>
      <c r="B52" s="63"/>
      <c r="C52" s="137">
        <f>('Tuition-2Yr'!AL47/'Total E&amp;G-2Yr'!AL47)*100</f>
        <v>18.110619440831137</v>
      </c>
      <c r="D52" s="69">
        <f>('State Appropriations-2Yr'!AL47)/('Total E&amp;G-2Yr'!AL47)*100</f>
        <v>15.551720840362798</v>
      </c>
      <c r="E52" s="137">
        <f>IF((('Local Appropriations-2Yr'!AL47/'Total E&amp;G-2Yr'!AL47)*100)=0,(('Local Appropriations-2Yr'!AL47/'Total E&amp;G-2Yr'!AL47)*100),IF((('Local Appropriations-2Yr'!AL47/'Total E&amp;G-2Yr'!AL47)*100)&gt;=0.005,('Local Appropriations-2Yr'!AL47/'Total E&amp;G-2Yr'!AL47)*100,"*"))</f>
        <v>44.072367131985871</v>
      </c>
      <c r="F52" s="69">
        <f>('Fed Contracts Grnts-2Yr'!AL47)/('Total E&amp;G-2Yr'!AL47)*100</f>
        <v>15.551720840362798</v>
      </c>
      <c r="G52" s="137">
        <f>('Other Contracts Grnts-2Yr'!AL47/'Total E&amp;G-2Yr'!AL47)*100</f>
        <v>2.4598279181975045</v>
      </c>
      <c r="H52" s="137">
        <f>('All Other E&amp;G-2Yr'!AL47+'Investment Income-2Yr'!AL47)/('Total E&amp;G-2Yr'!AL47)*100</f>
        <v>4.2537438282598972</v>
      </c>
      <c r="I52" s="69">
        <f t="shared" si="25"/>
        <v>-2.9074040029485602</v>
      </c>
      <c r="J52" s="76">
        <f t="shared" si="26"/>
        <v>-9.4420252726149876</v>
      </c>
      <c r="K52" s="69">
        <f t="shared" si="27"/>
        <v>13.672238656710515</v>
      </c>
      <c r="L52" s="76">
        <f t="shared" si="28"/>
        <v>-1.820294921043935</v>
      </c>
      <c r="M52" s="69">
        <f t="shared" si="29"/>
        <v>-0.12129118585394627</v>
      </c>
      <c r="N52" s="76">
        <f t="shared" si="30"/>
        <v>0.61877672575091669</v>
      </c>
      <c r="O52" s="20"/>
      <c r="P52" s="21">
        <f>('Tuition-2Yr'!AG47/'Total E&amp;G-2Yr'!AG47)*100</f>
        <v>21.018023443779697</v>
      </c>
      <c r="Q52" s="22">
        <f>('State Appropriations-2Yr'!AG47/'Total E&amp;G-2Yr'!AG47)*100</f>
        <v>24.993746112977785</v>
      </c>
      <c r="R52" s="23">
        <f>IF((('Local Appropriations-2Yr'!AG47/'Total E&amp;G-2Yr'!AG47)*100)&gt;=0.005,('Local Appropriations-2Yr'!AG47/'Total E&amp;G-2Yr'!AG47)*100,"*")</f>
        <v>30.400128475275356</v>
      </c>
      <c r="S52" s="21">
        <f>('Fed Contracts Grnts-2Yr'!AG47/'Total E&amp;G-2Yr'!AG47)*100</f>
        <v>17.372015761406733</v>
      </c>
      <c r="T52" s="23">
        <f>('Other Contracts Grnts-2Yr'!AG47/'Total E&amp;G-2Yr'!AG47)*100</f>
        <v>2.5811191040514507</v>
      </c>
      <c r="U52" s="21">
        <f>IF(((('Investment Income-2Yr'!AG47+'All Other E&amp;G-2Yr'!AG47)/'Total E&amp;G-2Yr'!AG47)*100)&gt;=0.005,(('Investment Income-2Yr'!AG47+'All Other E&amp;G-2Yr'!AG47)/'Total E&amp;G-2Yr'!AG47)*100,"*")</f>
        <v>3.6349671025089805</v>
      </c>
      <c r="V52" s="10"/>
      <c r="W52" s="165">
        <f t="shared" si="1"/>
        <v>100</v>
      </c>
      <c r="X52" s="166">
        <f t="shared" si="2"/>
        <v>100</v>
      </c>
      <c r="Y52" s="94">
        <f t="shared" si="3"/>
        <v>55.393874588253141</v>
      </c>
      <c r="Z52" s="95">
        <f t="shared" si="12"/>
        <v>59.624087972348669</v>
      </c>
      <c r="AA52" s="94">
        <f t="shared" si="4"/>
        <v>19.953134865458182</v>
      </c>
      <c r="AB52" s="95">
        <f t="shared" si="5"/>
        <v>18.011548758560302</v>
      </c>
      <c r="AC52" s="176">
        <f>+AA52+Y52+U52+P52</f>
        <v>100</v>
      </c>
      <c r="AD52" s="177">
        <f>+AB52+Z52+H52+C52</f>
        <v>100</v>
      </c>
    </row>
    <row r="53" spans="1:30">
      <c r="A53" s="64" t="s">
        <v>61</v>
      </c>
      <c r="B53" s="64"/>
      <c r="C53" s="148">
        <f>('Tuition-2Yr'!AL48/'Total E&amp;G-2Yr'!AL48)*100</f>
        <v>30.376776678230616</v>
      </c>
      <c r="D53" s="70">
        <f>('State Appropriations-2Yr'!AL48)/('Total E&amp;G-2Yr'!AL48)*100</f>
        <v>24.355410877814929</v>
      </c>
      <c r="E53" s="148">
        <f>IF((('Local Appropriations-2Yr'!AL48/'Total E&amp;G-2Yr'!AL48)*100)=0,(('Local Appropriations-2Yr'!AL48/'Total E&amp;G-2Yr'!AL48)*100),IF((('Local Appropriations-2Yr'!AL48/'Total E&amp;G-2Yr'!AL48)*100)&gt;=0.005,('Local Appropriations-2Yr'!AL48/'Total E&amp;G-2Yr'!AL48)*100,"*"))</f>
        <v>0</v>
      </c>
      <c r="F53" s="70">
        <f>('Fed Contracts Grnts-2Yr'!AL48)/('Total E&amp;G-2Yr'!AL48)*100</f>
        <v>24.355410877814929</v>
      </c>
      <c r="G53" s="148">
        <f>('Other Contracts Grnts-2Yr'!AL48/'Total E&amp;G-2Yr'!AL48)*100</f>
        <v>9.3201262517068102</v>
      </c>
      <c r="H53" s="148">
        <f>('All Other E&amp;G-2Yr'!AL48+'Investment Income-2Yr'!AL48)/('Total E&amp;G-2Yr'!AL48)*100</f>
        <v>11.592275314432712</v>
      </c>
      <c r="I53" s="70">
        <f t="shared" si="25"/>
        <v>6.8070192327865655</v>
      </c>
      <c r="J53" s="77">
        <f t="shared" si="26"/>
        <v>-6.3234328404159186</v>
      </c>
      <c r="K53" s="70">
        <f t="shared" si="27"/>
        <v>0</v>
      </c>
      <c r="L53" s="77">
        <f t="shared" si="28"/>
        <v>-1.6492015949276144</v>
      </c>
      <c r="M53" s="70">
        <f t="shared" si="29"/>
        <v>-1.6419628434288125</v>
      </c>
      <c r="N53" s="77">
        <f t="shared" si="30"/>
        <v>2.8075780459857818</v>
      </c>
      <c r="O53" s="20"/>
      <c r="P53" s="21">
        <f>('Tuition-2Yr'!AG48/'Total E&amp;G-2Yr'!AG48)*100</f>
        <v>23.569757445444051</v>
      </c>
      <c r="Q53" s="22">
        <f>('State Appropriations-2Yr'!AG48/'Total E&amp;G-2Yr'!AG48)*100</f>
        <v>30.678843718230848</v>
      </c>
      <c r="R53" s="23" t="str">
        <f>IF((('Local Appropriations-2Yr'!AG48/'Total E&amp;G-2Yr'!AG48)*100)&gt;=0.005,('Local Appropriations-2Yr'!AG48/'Total E&amp;G-2Yr'!AG48)*100,"*")</f>
        <v>*</v>
      </c>
      <c r="S53" s="21">
        <f>('Fed Contracts Grnts-2Yr'!AG48/'Total E&amp;G-2Yr'!AG48)*100</f>
        <v>26.004612472742544</v>
      </c>
      <c r="T53" s="23">
        <f>('Other Contracts Grnts-2Yr'!AG48/'Total E&amp;G-2Yr'!AG48)*100</f>
        <v>10.962089095135623</v>
      </c>
      <c r="U53" s="21">
        <f>IF(((('Investment Income-2Yr'!AG48+'All Other E&amp;G-2Yr'!AG48)/'Total E&amp;G-2Yr'!AG48)*100)&gt;=0.005,(('Investment Income-2Yr'!AG48+'All Other E&amp;G-2Yr'!AG48)/'Total E&amp;G-2Yr'!AG48)*100,"*")</f>
        <v>8.78469726844693</v>
      </c>
      <c r="V53" s="10"/>
      <c r="W53" s="165">
        <f t="shared" si="1"/>
        <v>100</v>
      </c>
      <c r="X53" s="166">
        <f t="shared" si="2"/>
        <v>100</v>
      </c>
      <c r="Y53" s="94">
        <f t="shared" si="3"/>
        <v>30.678843718230848</v>
      </c>
      <c r="Z53" s="95">
        <f t="shared" si="12"/>
        <v>24.355410877814929</v>
      </c>
      <c r="AA53" s="94">
        <f t="shared" si="4"/>
        <v>36.966701567878168</v>
      </c>
      <c r="AB53" s="95">
        <f t="shared" si="5"/>
        <v>33.675537129521743</v>
      </c>
      <c r="AC53" s="176">
        <f>+AA53+Y53+U53+P53</f>
        <v>100</v>
      </c>
      <c r="AD53" s="177">
        <f>+AB53+Z53+H53+C53</f>
        <v>100</v>
      </c>
    </row>
    <row r="54" spans="1:30">
      <c r="A54" s="64" t="s">
        <v>62</v>
      </c>
      <c r="B54" s="64"/>
      <c r="C54" s="148">
        <f>('Tuition-2Yr'!AL49/'Total E&amp;G-2Yr'!AL49)*100</f>
        <v>43.18359545658781</v>
      </c>
      <c r="D54" s="70">
        <f>('State Appropriations-2Yr'!AL49)/('Total E&amp;G-2Yr'!AL49)*100</f>
        <v>19.515951060651375</v>
      </c>
      <c r="E54" s="148">
        <f>IF((('Local Appropriations-2Yr'!AL49/'Total E&amp;G-2Yr'!AL49)*100)=0,(('Local Appropriations-2Yr'!AL49/'Total E&amp;G-2Yr'!AL49)*100),IF((('Local Appropriations-2Yr'!AL49/'Total E&amp;G-2Yr'!AL49)*100)&gt;=0.005,('Local Appropriations-2Yr'!AL49/'Total E&amp;G-2Yr'!AL49)*100,"*"))</f>
        <v>11.150715395246072</v>
      </c>
      <c r="F54" s="70">
        <f>('Fed Contracts Grnts-2Yr'!AL49)/('Total E&amp;G-2Yr'!AL49)*100</f>
        <v>19.515951060651375</v>
      </c>
      <c r="G54" s="148">
        <f>('Other Contracts Grnts-2Yr'!AL49/'Total E&amp;G-2Yr'!AL49)*100</f>
        <v>2.9937488135963082</v>
      </c>
      <c r="H54" s="148">
        <f>('All Other E&amp;G-2Yr'!AL49+'Investment Income-2Yr'!AL49)/('Total E&amp;G-2Yr'!AL49)*100</f>
        <v>3.6400382132670654</v>
      </c>
      <c r="I54" s="70">
        <f t="shared" si="25"/>
        <v>4.5725519687301812</v>
      </c>
      <c r="J54" s="77">
        <f t="shared" si="26"/>
        <v>-6.5833610008327952</v>
      </c>
      <c r="K54" s="70">
        <f t="shared" si="27"/>
        <v>1.3598931488992019</v>
      </c>
      <c r="L54" s="77">
        <f t="shared" si="28"/>
        <v>-0.66548817813172434</v>
      </c>
      <c r="M54" s="70">
        <f t="shared" si="29"/>
        <v>0.3471686002927501</v>
      </c>
      <c r="N54" s="77">
        <f t="shared" si="30"/>
        <v>0.96923546104239966</v>
      </c>
      <c r="O54" s="20"/>
      <c r="P54" s="21">
        <f>('Tuition-2Yr'!AG49/'Total E&amp;G-2Yr'!AG49)*100</f>
        <v>38.611043487857629</v>
      </c>
      <c r="Q54" s="22">
        <f>('State Appropriations-2Yr'!AG49/'Total E&amp;G-2Yr'!AG49)*100</f>
        <v>26.09931206148417</v>
      </c>
      <c r="R54" s="23">
        <f>IF((('Local Appropriations-2Yr'!AG49/'Total E&amp;G-2Yr'!AG49)*100)&gt;=0.005,('Local Appropriations-2Yr'!AG49/'Total E&amp;G-2Yr'!AG49)*100,"*")</f>
        <v>9.7908222463468704</v>
      </c>
      <c r="S54" s="21">
        <f>('Fed Contracts Grnts-2Yr'!AG49/'Total E&amp;G-2Yr'!AG49)*100</f>
        <v>20.181439238783099</v>
      </c>
      <c r="T54" s="23">
        <f>('Other Contracts Grnts-2Yr'!AG49/'Total E&amp;G-2Yr'!AG49)*100</f>
        <v>2.6465802133035581</v>
      </c>
      <c r="U54" s="21">
        <f>IF(((('Investment Income-2Yr'!AG49+'All Other E&amp;G-2Yr'!AG49)/'Total E&amp;G-2Yr'!AG49)*100)&gt;=0.005,(('Investment Income-2Yr'!AG49+'All Other E&amp;G-2Yr'!AG49)/'Total E&amp;G-2Yr'!AG49)*100,"*")</f>
        <v>2.6708027522246658</v>
      </c>
      <c r="V54" s="10"/>
      <c r="W54" s="165">
        <f t="shared" si="1"/>
        <v>100</v>
      </c>
      <c r="X54" s="166">
        <f t="shared" si="2"/>
        <v>100</v>
      </c>
      <c r="Y54" s="94">
        <f t="shared" si="3"/>
        <v>35.89013430783104</v>
      </c>
      <c r="Z54" s="95">
        <f t="shared" si="12"/>
        <v>30.666666455897449</v>
      </c>
      <c r="AA54" s="94">
        <f t="shared" si="4"/>
        <v>22.828019452086657</v>
      </c>
      <c r="AB54" s="95">
        <f t="shared" si="5"/>
        <v>22.509699874247683</v>
      </c>
      <c r="AC54" s="176">
        <f>+AA54+Y54+U54+P54</f>
        <v>100</v>
      </c>
      <c r="AD54" s="177">
        <f>+AB54+Z54+H54+C54</f>
        <v>100</v>
      </c>
    </row>
    <row r="55" spans="1:30">
      <c r="A55" s="64" t="s">
        <v>63</v>
      </c>
      <c r="B55" s="64"/>
      <c r="C55" s="148">
        <f>('Tuition-2Yr'!AL50/'Total E&amp;G-2Yr'!AL50)*100</f>
        <v>30.670701995186111</v>
      </c>
      <c r="D55" s="70">
        <f>('State Appropriations-2Yr'!AL50)/('Total E&amp;G-2Yr'!AL50)*100</f>
        <v>26.835560698384452</v>
      </c>
      <c r="E55" s="148">
        <f>IF((('Local Appropriations-2Yr'!AL50/'Total E&amp;G-2Yr'!AL50)*100)=0,(('Local Appropriations-2Yr'!AL50/'Total E&amp;G-2Yr'!AL50)*100),IF((('Local Appropriations-2Yr'!AL50/'Total E&amp;G-2Yr'!AL50)*100)&gt;=0.005,('Local Appropriations-2Yr'!AL50/'Total E&amp;G-2Yr'!AL50)*100,"*"))</f>
        <v>0</v>
      </c>
      <c r="F55" s="70">
        <f>('Fed Contracts Grnts-2Yr'!AL50)/('Total E&amp;G-2Yr'!AL50)*100</f>
        <v>26.835560698384452</v>
      </c>
      <c r="G55" s="148">
        <f>('Other Contracts Grnts-2Yr'!AL50/'Total E&amp;G-2Yr'!AL50)*100</f>
        <v>10.442451700509189</v>
      </c>
      <c r="H55" s="148">
        <f>('All Other E&amp;G-2Yr'!AL50+'Investment Income-2Yr'!AL50)/('Total E&amp;G-2Yr'!AL50)*100</f>
        <v>5.215724907535785</v>
      </c>
      <c r="I55" s="70">
        <f t="shared" si="25"/>
        <v>-5.9696124123592078</v>
      </c>
      <c r="J55" s="77">
        <f t="shared" si="26"/>
        <v>11.628886700708589</v>
      </c>
      <c r="K55" s="70">
        <f t="shared" si="27"/>
        <v>0</v>
      </c>
      <c r="L55" s="77">
        <f t="shared" si="28"/>
        <v>-13.82725747690392</v>
      </c>
      <c r="M55" s="70">
        <f t="shared" si="29"/>
        <v>-1.544897836996391</v>
      </c>
      <c r="N55" s="77">
        <f t="shared" si="30"/>
        <v>5.215724907535785</v>
      </c>
      <c r="O55" s="20"/>
      <c r="P55" s="21">
        <f>('Tuition-2Yr'!AG50/'Total E&amp;G-2Yr'!AG50)*100</f>
        <v>36.640314407545318</v>
      </c>
      <c r="Q55" s="22">
        <f>('State Appropriations-2Yr'!AG50/'Total E&amp;G-2Yr'!AG50)*100</f>
        <v>15.206673997675862</v>
      </c>
      <c r="R55" s="23" t="str">
        <f>IF((('Local Appropriations-2Yr'!AG50/'Total E&amp;G-2Yr'!AG50)*100)&gt;=0.005,('Local Appropriations-2Yr'!AG50/'Total E&amp;G-2Yr'!AG50)*100,"*")</f>
        <v>*</v>
      </c>
      <c r="S55" s="21">
        <f>('Fed Contracts Grnts-2Yr'!AG50/'Total E&amp;G-2Yr'!AG50)*100</f>
        <v>40.662818175288372</v>
      </c>
      <c r="T55" s="23">
        <f>('Other Contracts Grnts-2Yr'!AG50/'Total E&amp;G-2Yr'!AG50)*100</f>
        <v>11.98734953750558</v>
      </c>
      <c r="U55" s="21" t="str">
        <f>IF(((('Investment Income-2Yr'!AG50+'All Other E&amp;G-2Yr'!AG50)/'Total E&amp;G-2Yr'!AG50)*100)&gt;=0.005,(('Investment Income-2Yr'!AG50+'All Other E&amp;G-2Yr'!AG50)/'Total E&amp;G-2Yr'!AG50)*100,"*")</f>
        <v>*</v>
      </c>
      <c r="V55" s="10"/>
      <c r="W55" s="165">
        <f t="shared" si="1"/>
        <v>104.49715611801513</v>
      </c>
      <c r="X55" s="166">
        <f t="shared" si="2"/>
        <v>100</v>
      </c>
      <c r="Y55" s="94">
        <f t="shared" si="3"/>
        <v>15.206673997675862</v>
      </c>
      <c r="Z55" s="95">
        <f t="shared" si="12"/>
        <v>26.835560698384452</v>
      </c>
      <c r="AA55" s="94">
        <f t="shared" si="4"/>
        <v>52.650167712793952</v>
      </c>
      <c r="AB55" s="95">
        <f t="shared" si="5"/>
        <v>37.278012398893637</v>
      </c>
      <c r="AC55" s="176">
        <f>+AA55+Y55+U55+P55</f>
        <v>104.49715611801513</v>
      </c>
      <c r="AD55" s="177">
        <f>+AB55+Z55+H55+C55</f>
        <v>99.999999999999986</v>
      </c>
    </row>
    <row r="56" spans="1:30">
      <c r="A56" s="64" t="s">
        <v>64</v>
      </c>
      <c r="B56" s="64"/>
      <c r="C56" s="148">
        <f>('Tuition-2Yr'!AL51/'Total E&amp;G-2Yr'!AL51)*100</f>
        <v>20.384427979583439</v>
      </c>
      <c r="D56" s="70">
        <f>('State Appropriations-2Yr'!AL51)/('Total E&amp;G-2Yr'!AL51)*100</f>
        <v>14.755783499270681</v>
      </c>
      <c r="E56" s="148">
        <f>IF((('Local Appropriations-2Yr'!AL51/'Total E&amp;G-2Yr'!AL51)*100)=0,(('Local Appropriations-2Yr'!AL51/'Total E&amp;G-2Yr'!AL51)*100),IF((('Local Appropriations-2Yr'!AL51/'Total E&amp;G-2Yr'!AL51)*100)&gt;=0.005,('Local Appropriations-2Yr'!AL51/'Total E&amp;G-2Yr'!AL51)*100,"*"))</f>
        <v>38.196175140394402</v>
      </c>
      <c r="F56" s="70">
        <f>('Fed Contracts Grnts-2Yr'!AL51)/('Total E&amp;G-2Yr'!AL51)*100</f>
        <v>14.755783499270681</v>
      </c>
      <c r="G56" s="148">
        <f>('Other Contracts Grnts-2Yr'!AL51/'Total E&amp;G-2Yr'!AL51)*100</f>
        <v>8.3534354992797315</v>
      </c>
      <c r="H56" s="148">
        <f>('All Other E&amp;G-2Yr'!AL51+'Investment Income-2Yr'!AL51)/('Total E&amp;G-2Yr'!AL51)*100</f>
        <v>3.554394382201056</v>
      </c>
      <c r="I56" s="70">
        <f t="shared" si="25"/>
        <v>-3.6531968227906901</v>
      </c>
      <c r="J56" s="77">
        <f t="shared" si="26"/>
        <v>-12.611677742629652</v>
      </c>
      <c r="K56" s="70">
        <f t="shared" si="27"/>
        <v>15.961544789046552</v>
      </c>
      <c r="L56" s="77">
        <f t="shared" si="28"/>
        <v>-1.7050448275809984</v>
      </c>
      <c r="M56" s="70">
        <f t="shared" si="29"/>
        <v>3.8619601942571107</v>
      </c>
      <c r="N56" s="78">
        <f t="shared" si="30"/>
        <v>-1.8535855903023588</v>
      </c>
      <c r="O56" s="20"/>
      <c r="P56" s="21">
        <f>('Tuition-2Yr'!AG51/'Total E&amp;G-2Yr'!AG51)*100</f>
        <v>24.037624802374129</v>
      </c>
      <c r="Q56" s="22">
        <f>('State Appropriations-2Yr'!AG51/'Total E&amp;G-2Yr'!AG51)*100</f>
        <v>27.367461241900333</v>
      </c>
      <c r="R56" s="23">
        <f>IF((('Local Appropriations-2Yr'!AG51/'Total E&amp;G-2Yr'!AG51)*100)&gt;=0.005,('Local Appropriations-2Yr'!AG51/'Total E&amp;G-2Yr'!AG51)*100,"*")</f>
        <v>22.23463035134785</v>
      </c>
      <c r="S56" s="21">
        <f>('Fed Contracts Grnts-2Yr'!AG51/'Total E&amp;G-2Yr'!AG51)*100</f>
        <v>16.460828326851679</v>
      </c>
      <c r="T56" s="23">
        <f>('Other Contracts Grnts-2Yr'!AG51/'Total E&amp;G-2Yr'!AG51)*100</f>
        <v>4.4914753050226208</v>
      </c>
      <c r="U56" s="21">
        <f>IF(((('Investment Income-2Yr'!AG51+'All Other E&amp;G-2Yr'!AG51)/'Total E&amp;G-2Yr'!AG51)*100)&gt;=0.005,(('Investment Income-2Yr'!AG51+'All Other E&amp;G-2Yr'!AG51)/'Total E&amp;G-2Yr'!AG51)*100,"*")</f>
        <v>5.4079799725034148</v>
      </c>
      <c r="V56" s="10"/>
      <c r="W56" s="165">
        <f t="shared" si="1"/>
        <v>100.00000000000003</v>
      </c>
      <c r="X56" s="166">
        <f t="shared" si="2"/>
        <v>99.999999999999972</v>
      </c>
      <c r="Y56" s="94">
        <f t="shared" si="3"/>
        <v>49.602091593248183</v>
      </c>
      <c r="Z56" s="95">
        <f t="shared" si="12"/>
        <v>52.951958639665079</v>
      </c>
      <c r="AA56" s="94">
        <f t="shared" si="4"/>
        <v>20.952303631874301</v>
      </c>
      <c r="AB56" s="95">
        <f t="shared" si="5"/>
        <v>23.109218998550411</v>
      </c>
      <c r="AC56" s="176">
        <f>+AA56+Y56+U56+P56</f>
        <v>100.00000000000001</v>
      </c>
      <c r="AD56" s="177">
        <f>+AB56+Z56+H56+C56</f>
        <v>99.999999999999986</v>
      </c>
    </row>
    <row r="57" spans="1:30">
      <c r="A57" s="66" t="s">
        <v>65</v>
      </c>
      <c r="B57" s="159"/>
      <c r="C57" s="140">
        <f>('Tuition-2Yr'!AL52/'Total E&amp;G-2Yr'!AL52)*100</f>
        <v>34.726720577970141</v>
      </c>
      <c r="D57" s="138">
        <f>('State Appropriations-2Yr'!AL52)/('Total E&amp;G-2Yr'!AL52)*100</f>
        <v>19.184173392054188</v>
      </c>
      <c r="E57" s="140">
        <f>IF((('Local Appropriations-2Yr'!AL52/'Total E&amp;G-2Yr'!AL52)*100)=0,(('Local Appropriations-2Yr'!AL52/'Total E&amp;G-2Yr'!AL52)*100),IF((('Local Appropriations-2Yr'!AL52/'Total E&amp;G-2Yr'!AL52)*100)&gt;=0.005,('Local Appropriations-2Yr'!AL52/'Total E&amp;G-2Yr'!AL52)*100,"*"))</f>
        <v>13.910370635227354</v>
      </c>
      <c r="F57" s="138">
        <f>('Fed Contracts Grnts-2Yr'!AL52)/('Total E&amp;G-2Yr'!AL52)*100</f>
        <v>19.184173392054188</v>
      </c>
      <c r="G57" s="140">
        <f>('Other Contracts Grnts-2Yr'!AL52/'Total E&amp;G-2Yr'!AL52)*100</f>
        <v>7.4184103686874279</v>
      </c>
      <c r="H57" s="140">
        <f>('All Other E&amp;G-2Yr'!AL52+'Investment Income-2Yr'!AL52)/('Total E&amp;G-2Yr'!AL52)*100</f>
        <v>5.5761516340067079</v>
      </c>
      <c r="I57" s="73">
        <f t="shared" si="25"/>
        <v>-2.1703083661468128</v>
      </c>
      <c r="J57" s="79">
        <f t="shared" si="26"/>
        <v>-2.1876904965915998</v>
      </c>
      <c r="K57" s="73">
        <f t="shared" si="27"/>
        <v>2.7986395040912839</v>
      </c>
      <c r="L57" s="79">
        <f t="shared" si="28"/>
        <v>-1.0521308794079474</v>
      </c>
      <c r="M57" s="125">
        <f t="shared" si="29"/>
        <v>0.20516309231263641</v>
      </c>
      <c r="N57" s="76">
        <f t="shared" si="30"/>
        <v>2.4063271457424364</v>
      </c>
      <c r="O57" s="20"/>
      <c r="P57" s="21">
        <f>('Tuition-2Yr'!AG52/'Total E&amp;G-2Yr'!AG52)*100</f>
        <v>36.897028944116954</v>
      </c>
      <c r="Q57" s="22">
        <f>('State Appropriations-2Yr'!AG52/'Total E&amp;G-2Yr'!AG52)*100</f>
        <v>21.371863888645787</v>
      </c>
      <c r="R57" s="23">
        <f>IF((('Local Appropriations-2Yr'!AG52/'Total E&amp;G-2Yr'!AG52)*100)&gt;=0.005,('Local Appropriations-2Yr'!AG52/'Total E&amp;G-2Yr'!AG52)*100,"*")</f>
        <v>11.11173113113607</v>
      </c>
      <c r="S57" s="21">
        <f>('Fed Contracts Grnts-2Yr'!AG52/'Total E&amp;G-2Yr'!AG52)*100</f>
        <v>20.236304271462135</v>
      </c>
      <c r="T57" s="23">
        <f>('Other Contracts Grnts-2Yr'!AG52/'Total E&amp;G-2Yr'!AG52)*100</f>
        <v>7.2132472763747915</v>
      </c>
      <c r="U57" s="21">
        <f>IF(((('Investment Income-2Yr'!AG52+'All Other E&amp;G-2Yr'!AG52)/'Total E&amp;G-2Yr'!AG52)*100)&gt;=0.005,(('Investment Income-2Yr'!AG52+'All Other E&amp;G-2Yr'!AG52)/'Total E&amp;G-2Yr'!AG52)*100,"*")</f>
        <v>3.1698244882642714</v>
      </c>
      <c r="V57" s="10"/>
      <c r="W57" s="165">
        <f t="shared" si="1"/>
        <v>100</v>
      </c>
      <c r="X57" s="166">
        <f t="shared" si="2"/>
        <v>100.00000000000001</v>
      </c>
      <c r="Y57" s="94">
        <f t="shared" si="3"/>
        <v>32.483595019781859</v>
      </c>
      <c r="Z57" s="95">
        <f t="shared" si="12"/>
        <v>33.094544027281543</v>
      </c>
      <c r="AA57" s="94">
        <f t="shared" si="4"/>
        <v>27.449551547836926</v>
      </c>
      <c r="AB57" s="95">
        <f t="shared" si="5"/>
        <v>26.602583760741616</v>
      </c>
      <c r="AC57" s="176">
        <f>+AA57+Y57+U57+P57</f>
        <v>100</v>
      </c>
      <c r="AD57" s="177">
        <f>+AB57+Z57+H57+C57</f>
        <v>100.00000000000001</v>
      </c>
    </row>
    <row r="58" spans="1:30">
      <c r="A58" s="63"/>
      <c r="B58" s="63"/>
      <c r="C58" s="137"/>
      <c r="D58" s="69"/>
      <c r="E58" s="137"/>
      <c r="F58" s="69"/>
      <c r="G58" s="137"/>
      <c r="H58" s="137"/>
      <c r="I58" s="69"/>
      <c r="J58" s="76"/>
      <c r="K58" s="69"/>
      <c r="L58" s="76"/>
      <c r="M58" s="69"/>
      <c r="N58" s="76"/>
      <c r="O58" s="20"/>
      <c r="P58" s="21"/>
      <c r="Q58" s="22"/>
      <c r="R58" s="23"/>
      <c r="S58" s="21"/>
      <c r="T58" s="23"/>
      <c r="U58" s="21"/>
      <c r="V58" s="10"/>
      <c r="W58" s="165"/>
      <c r="X58" s="166"/>
      <c r="Y58" s="94"/>
      <c r="Z58" s="95"/>
      <c r="AA58" s="94"/>
      <c r="AB58" s="95"/>
      <c r="AC58" s="176"/>
      <c r="AD58" s="177"/>
    </row>
    <row r="59" spans="1:30">
      <c r="A59" s="64" t="s">
        <v>66</v>
      </c>
      <c r="B59" s="64"/>
      <c r="C59" s="148">
        <f>('Tuition-2Yr'!AL54/'Total E&amp;G-2Yr'!AL54)*100</f>
        <v>42.557612040544619</v>
      </c>
      <c r="D59" s="70">
        <f>('State Appropriations-2Yr'!AL54)/('Total E&amp;G-2Yr'!AL54)*100</f>
        <v>25.410690718500245</v>
      </c>
      <c r="E59" s="148">
        <f>IF((('Local Appropriations-2Yr'!AL54/'Total E&amp;G-2Yr'!AL54)*100)=0,(('Local Appropriations-2Yr'!AL54/'Total E&amp;G-2Yr'!AL54)*100),IF((('Local Appropriations-2Yr'!AL54/'Total E&amp;G-2Yr'!AL54)*100)&gt;=0.005,('Local Appropriations-2Yr'!AL54/'Total E&amp;G-2Yr'!AL54)*100,"*"))</f>
        <v>0</v>
      </c>
      <c r="F59" s="70">
        <f>('Fed Contracts Grnts-2Yr'!AL54)/('Total E&amp;G-2Yr'!AL54)*100</f>
        <v>25.410690718500245</v>
      </c>
      <c r="G59" s="148">
        <f>('Other Contracts Grnts-2Yr'!AL54/'Total E&amp;G-2Yr'!AL54)*100</f>
        <v>4.3258544735286009</v>
      </c>
      <c r="H59" s="148">
        <f>('All Other E&amp;G-2Yr'!AL54+'Investment Income-2Yr'!AL54)/('Total E&amp;G-2Yr'!AL54)*100</f>
        <v>2.2951520489262847</v>
      </c>
      <c r="I59" s="70">
        <f t="shared" ref="I59:I67" si="31">IF((C59-P59)=0,(C59-P59),IF((C59-P59)&gt;=0.005,(C59-P59),IF((C59-P59&lt;=-0.005),(C59-P59),"*")))</f>
        <v>10.416829305707047</v>
      </c>
      <c r="J59" s="77">
        <f t="shared" ref="J59:J67" si="32">IF((D59-Q59)=0,(D59-Q59),IF((D59-Q59)&gt;=0.005,(D59-Q59),IF((D59-Q59&lt;=-0.005),(D59-Q59),"*")))</f>
        <v>-17.973779498072648</v>
      </c>
      <c r="K59" s="70">
        <f t="shared" ref="K59:K67" si="33">IF((E59-R59)=0,(E59-R59),IF((E59-R59)&gt;=0.005,(E59-R59),IF((E59-R59&lt;=-0.005),(E59-R59),"*")))</f>
        <v>0</v>
      </c>
      <c r="L59" s="77">
        <f t="shared" ref="L59:L67" si="34">IF((F59-S59)=0,(F59-S59),IF((F59-S59)&gt;=0.005,(F59-S59),IF((F59-S59&lt;=-0.005),(F59-S59),"*")))</f>
        <v>7.9769752671851144</v>
      </c>
      <c r="M59" s="70">
        <f t="shared" ref="M59:M67" si="35">IF((G59-T59)=0,(G59-T59),IF((G59-T59)&gt;=0.005,(G59-T59),IF((G59-T59&lt;=-0.005),(G59-T59),"*")))</f>
        <v>1.9185246157586042</v>
      </c>
      <c r="N59" s="77">
        <f t="shared" ref="N59:N67" si="36">IF((H59-U59)=0,(H59-U59),IF((H59-U59)&gt;=0.005,(H59-U59),IF((H59-U59&lt;=-0.005),(H59-U59),"*")))</f>
        <v>-2.3385496905781094</v>
      </c>
      <c r="O59" s="20"/>
      <c r="P59" s="21">
        <f>('Tuition-2Yr'!AG54/'Total E&amp;G-2Yr'!AG54)*100</f>
        <v>32.140782734837572</v>
      </c>
      <c r="Q59" s="22">
        <f>('State Appropriations-2Yr'!AG54/'Total E&amp;G-2Yr'!AG54)*100</f>
        <v>43.384470216572893</v>
      </c>
      <c r="R59" s="23" t="str">
        <f>IF((('Local Appropriations-2Yr'!AG54/'Total E&amp;G-2Yr'!AG54)*100)&gt;=0.005,('Local Appropriations-2Yr'!AG54/'Total E&amp;G-2Yr'!AG54)*100,"*")</f>
        <v>*</v>
      </c>
      <c r="S59" s="21">
        <f>('Fed Contracts Grnts-2Yr'!AG54/'Total E&amp;G-2Yr'!AG54)*100</f>
        <v>17.43371545131513</v>
      </c>
      <c r="T59" s="23">
        <f>('Other Contracts Grnts-2Yr'!AG54/'Total E&amp;G-2Yr'!AG54)*100</f>
        <v>2.4073298577699966</v>
      </c>
      <c r="U59" s="21">
        <f>IF(((('Investment Income-2Yr'!AG54+'All Other E&amp;G-2Yr'!AG54)/'Total E&amp;G-2Yr'!AG54)*100)&gt;=0.005,(('Investment Income-2Yr'!AG54+'All Other E&amp;G-2Yr'!AG54)/'Total E&amp;G-2Yr'!AG54)*100,"*")</f>
        <v>4.633701739504394</v>
      </c>
      <c r="V59" s="10"/>
      <c r="W59" s="165">
        <f t="shared" si="1"/>
        <v>99.999999999999972</v>
      </c>
      <c r="X59" s="166">
        <f t="shared" si="2"/>
        <v>99.999999999999986</v>
      </c>
      <c r="Y59" s="94">
        <f t="shared" si="3"/>
        <v>43.384470216572893</v>
      </c>
      <c r="Z59" s="95">
        <f t="shared" si="12"/>
        <v>25.410690718500245</v>
      </c>
      <c r="AA59" s="94">
        <f t="shared" si="4"/>
        <v>19.841045309085128</v>
      </c>
      <c r="AB59" s="95">
        <f t="shared" si="5"/>
        <v>29.736545192028846</v>
      </c>
      <c r="AC59" s="176">
        <f>+AA59+Y59+U59+P59</f>
        <v>99.999999999999986</v>
      </c>
      <c r="AD59" s="177">
        <f>+AB59+Z59+H59+C59</f>
        <v>100</v>
      </c>
    </row>
    <row r="60" spans="1:30">
      <c r="A60" s="64" t="s">
        <v>67</v>
      </c>
      <c r="B60" s="64"/>
      <c r="C60" s="148">
        <f>('Tuition-2Yr'!AL55/'Total E&amp;G-2Yr'!AL55)*100</f>
        <v>32.543379666369525</v>
      </c>
      <c r="D60" s="70">
        <f>('State Appropriations-2Yr'!AL55)/('Total E&amp;G-2Yr'!AL55)*100</f>
        <v>26.91993011688399</v>
      </c>
      <c r="E60" s="148">
        <f>IF((('Local Appropriations-2Yr'!AL55/'Total E&amp;G-2Yr'!AL55)*100)=0,(('Local Appropriations-2Yr'!AL55/'Total E&amp;G-2Yr'!AL55)*100),IF((('Local Appropriations-2Yr'!AL55/'Total E&amp;G-2Yr'!AL55)*100)&gt;=0.005,('Local Appropriations-2Yr'!AL55/'Total E&amp;G-2Yr'!AL55)*100,"*"))</f>
        <v>0</v>
      </c>
      <c r="F60" s="70">
        <f>('Fed Contracts Grnts-2Yr'!AL55)/('Total E&amp;G-2Yr'!AL55)*100</f>
        <v>26.91993011688399</v>
      </c>
      <c r="G60" s="148">
        <f>('Other Contracts Grnts-2Yr'!AL55/'Total E&amp;G-2Yr'!AL55)*100</f>
        <v>8.1141579538804063</v>
      </c>
      <c r="H60" s="148">
        <f>('All Other E&amp;G-2Yr'!AL55+'Investment Income-2Yr'!AL55)/('Total E&amp;G-2Yr'!AL55)*100</f>
        <v>5.5026021459820962</v>
      </c>
      <c r="I60" s="70">
        <f t="shared" si="31"/>
        <v>2.6991872910467656</v>
      </c>
      <c r="J60" s="77">
        <f t="shared" si="32"/>
        <v>-4.8065541391343665</v>
      </c>
      <c r="K60" s="70">
        <f t="shared" si="33"/>
        <v>0</v>
      </c>
      <c r="L60" s="77">
        <f t="shared" si="34"/>
        <v>-2.0877843254514694</v>
      </c>
      <c r="M60" s="70">
        <f t="shared" si="35"/>
        <v>1.2163338087752136</v>
      </c>
      <c r="N60" s="77">
        <f t="shared" si="36"/>
        <v>2.9788173647638434</v>
      </c>
      <c r="O60" s="20"/>
      <c r="P60" s="21">
        <f>('Tuition-2Yr'!AG55/'Total E&amp;G-2Yr'!AG55)*100</f>
        <v>29.844192375322759</v>
      </c>
      <c r="Q60" s="22">
        <f>('State Appropriations-2Yr'!AG55/'Total E&amp;G-2Yr'!AG55)*100</f>
        <v>31.726484256018356</v>
      </c>
      <c r="R60" s="23" t="str">
        <f>IF((('Local Appropriations-2Yr'!AG55/'Total E&amp;G-2Yr'!AG55)*100)&gt;=0.005,('Local Appropriations-2Yr'!AG55/'Total E&amp;G-2Yr'!AG55)*100,"*")</f>
        <v>*</v>
      </c>
      <c r="S60" s="21">
        <f>('Fed Contracts Grnts-2Yr'!AG55/'Total E&amp;G-2Yr'!AG55)*100</f>
        <v>29.007714442335459</v>
      </c>
      <c r="T60" s="23">
        <f>('Other Contracts Grnts-2Yr'!AG55/'Total E&amp;G-2Yr'!AG55)*100</f>
        <v>6.8978241451051927</v>
      </c>
      <c r="U60" s="21">
        <f>IF(((('Investment Income-2Yr'!AG55+'All Other E&amp;G-2Yr'!AG55)/'Total E&amp;G-2Yr'!AG55)*100)&gt;=0.005,(('Investment Income-2Yr'!AG55+'All Other E&amp;G-2Yr'!AG55)/'Total E&amp;G-2Yr'!AG55)*100,"*")</f>
        <v>2.5237847812182528</v>
      </c>
      <c r="V60" s="10"/>
      <c r="W60" s="165">
        <f t="shared" si="1"/>
        <v>100.00000000000001</v>
      </c>
      <c r="X60" s="166">
        <f t="shared" si="2"/>
        <v>100.00000000000001</v>
      </c>
      <c r="Y60" s="94">
        <f t="shared" si="3"/>
        <v>31.726484256018356</v>
      </c>
      <c r="Z60" s="95">
        <f t="shared" si="12"/>
        <v>26.91993011688399</v>
      </c>
      <c r="AA60" s="94">
        <f t="shared" si="4"/>
        <v>35.905538587440653</v>
      </c>
      <c r="AB60" s="95">
        <f t="shared" si="5"/>
        <v>35.034088070764398</v>
      </c>
      <c r="AC60" s="176">
        <f>+AA60+Y60+U60+P60</f>
        <v>100.00000000000003</v>
      </c>
      <c r="AD60" s="177">
        <f>+AB60+Z60+H60+C60</f>
        <v>100</v>
      </c>
    </row>
    <row r="61" spans="1:30">
      <c r="A61" s="64" t="s">
        <v>68</v>
      </c>
      <c r="B61" s="64"/>
      <c r="C61" s="148">
        <f>('Tuition-2Yr'!AL56/'Total E&amp;G-2Yr'!AL56)*100</f>
        <v>42.80430492643702</v>
      </c>
      <c r="D61" s="70">
        <f>('State Appropriations-2Yr'!AL56)/('Total E&amp;G-2Yr'!AL56)*100</f>
        <v>22.08217568580119</v>
      </c>
      <c r="E61" s="148">
        <f>IF((('Local Appropriations-2Yr'!AL56/'Total E&amp;G-2Yr'!AL56)*100)=0,(('Local Appropriations-2Yr'!AL56/'Total E&amp;G-2Yr'!AL56)*100),IF((('Local Appropriations-2Yr'!AL56/'Total E&amp;G-2Yr'!AL56)*100)&gt;=0.005,('Local Appropriations-2Yr'!AL56/'Total E&amp;G-2Yr'!AL56)*100,"*"))</f>
        <v>0</v>
      </c>
      <c r="F61" s="70">
        <f>('Fed Contracts Grnts-2Yr'!AL56)/('Total E&amp;G-2Yr'!AL56)*100</f>
        <v>22.08217568580119</v>
      </c>
      <c r="G61" s="148">
        <f>('Other Contracts Grnts-2Yr'!AL56/'Total E&amp;G-2Yr'!AL56)*100</f>
        <v>10.419438170617539</v>
      </c>
      <c r="H61" s="148">
        <f>('All Other E&amp;G-2Yr'!AL56+'Investment Income-2Yr'!AL56)/('Total E&amp;G-2Yr'!AL56)*100</f>
        <v>2.611905531343047</v>
      </c>
      <c r="I61" s="70">
        <f t="shared" si="31"/>
        <v>5.6311535776755761</v>
      </c>
      <c r="J61" s="77">
        <f t="shared" si="32"/>
        <v>-10.94321676364234</v>
      </c>
      <c r="K61" s="70">
        <f t="shared" si="33"/>
        <v>0</v>
      </c>
      <c r="L61" s="77">
        <f t="shared" si="34"/>
        <v>1.0587832809084006</v>
      </c>
      <c r="M61" s="70">
        <f t="shared" si="35"/>
        <v>3.5178679480167823</v>
      </c>
      <c r="N61" s="77">
        <f t="shared" si="36"/>
        <v>0.73541195704157403</v>
      </c>
      <c r="O61" s="20"/>
      <c r="P61" s="21">
        <f>('Tuition-2Yr'!AG56/'Total E&amp;G-2Yr'!AG56)*100</f>
        <v>37.173151348761444</v>
      </c>
      <c r="Q61" s="22">
        <f>('State Appropriations-2Yr'!AG56/'Total E&amp;G-2Yr'!AG56)*100</f>
        <v>33.02539244944353</v>
      </c>
      <c r="R61" s="23" t="str">
        <f>IF((('Local Appropriations-2Yr'!AG56/'Total E&amp;G-2Yr'!AG56)*100)&gt;=0.005,('Local Appropriations-2Yr'!AG56/'Total E&amp;G-2Yr'!AG56)*100,"*")</f>
        <v>*</v>
      </c>
      <c r="S61" s="21">
        <f>('Fed Contracts Grnts-2Yr'!AG56/'Total E&amp;G-2Yr'!AG56)*100</f>
        <v>21.023392404892789</v>
      </c>
      <c r="T61" s="23">
        <f>('Other Contracts Grnts-2Yr'!AG56/'Total E&amp;G-2Yr'!AG56)*100</f>
        <v>6.9015702226007569</v>
      </c>
      <c r="U61" s="21">
        <f>IF(((('Investment Income-2Yr'!AG56+'All Other E&amp;G-2Yr'!AG56)/'Total E&amp;G-2Yr'!AG56)*100)&gt;=0.005,(('Investment Income-2Yr'!AG56+'All Other E&amp;G-2Yr'!AG56)/'Total E&amp;G-2Yr'!AG56)*100,"*")</f>
        <v>1.876493574301473</v>
      </c>
      <c r="V61" s="10"/>
      <c r="W61" s="165">
        <f t="shared" si="1"/>
        <v>100</v>
      </c>
      <c r="X61" s="166">
        <f t="shared" si="2"/>
        <v>99.999999999999986</v>
      </c>
      <c r="Y61" s="94">
        <f t="shared" si="3"/>
        <v>33.02539244944353</v>
      </c>
      <c r="Z61" s="95">
        <f t="shared" si="12"/>
        <v>22.08217568580119</v>
      </c>
      <c r="AA61" s="94">
        <f t="shared" si="4"/>
        <v>27.924962627493546</v>
      </c>
      <c r="AB61" s="95">
        <f t="shared" si="5"/>
        <v>32.501613856418729</v>
      </c>
      <c r="AC61" s="176">
        <f>+AA61+Y61+U61+P61</f>
        <v>99.999999999999986</v>
      </c>
      <c r="AD61" s="177">
        <f>+AB61+Z61+H61+C61</f>
        <v>99.999999999999986</v>
      </c>
    </row>
    <row r="62" spans="1:30">
      <c r="A62" s="64" t="s">
        <v>69</v>
      </c>
      <c r="B62" s="64"/>
      <c r="C62" s="148">
        <f>('Tuition-2Yr'!AL57/'Total E&amp;G-2Yr'!AL57)*100</f>
        <v>54.075277578089562</v>
      </c>
      <c r="D62" s="70">
        <f>('State Appropriations-2Yr'!AL57)/('Total E&amp;G-2Yr'!AL57)*100</f>
        <v>19.03314655104538</v>
      </c>
      <c r="E62" s="148">
        <f>IF((('Local Appropriations-2Yr'!AL57/'Total E&amp;G-2Yr'!AL57)*100)=0,(('Local Appropriations-2Yr'!AL57/'Total E&amp;G-2Yr'!AL57)*100),IF((('Local Appropriations-2Yr'!AL57/'Total E&amp;G-2Yr'!AL57)*100)&gt;=0.005,('Local Appropriations-2Yr'!AL57/'Total E&amp;G-2Yr'!AL57)*100,"*"))</f>
        <v>0</v>
      </c>
      <c r="F62" s="70">
        <f>('Fed Contracts Grnts-2Yr'!AL57)/('Total E&amp;G-2Yr'!AL57)*100</f>
        <v>19.03314655104538</v>
      </c>
      <c r="G62" s="148">
        <f>('Other Contracts Grnts-2Yr'!AL57/'Total E&amp;G-2Yr'!AL57)*100</f>
        <v>5.2320101469681077</v>
      </c>
      <c r="H62" s="148">
        <f>('All Other E&amp;G-2Yr'!AL57+'Investment Income-2Yr'!AL57)/('Total E&amp;G-2Yr'!AL57)*100</f>
        <v>2.6264191728515724</v>
      </c>
      <c r="I62" s="70">
        <f t="shared" si="31"/>
        <v>3.999791842150735</v>
      </c>
      <c r="J62" s="77">
        <f t="shared" si="32"/>
        <v>-7.1826561879806263</v>
      </c>
      <c r="K62" s="70">
        <f t="shared" si="33"/>
        <v>0</v>
      </c>
      <c r="L62" s="77">
        <f t="shared" si="34"/>
        <v>-1.1283677628722515</v>
      </c>
      <c r="M62" s="70">
        <f t="shared" si="35"/>
        <v>2.3086832308053449</v>
      </c>
      <c r="N62" s="77">
        <f t="shared" si="36"/>
        <v>2.0025488778968201</v>
      </c>
      <c r="O62" s="20"/>
      <c r="P62" s="21">
        <f>('Tuition-2Yr'!AG57/'Total E&amp;G-2Yr'!AG57)*100</f>
        <v>50.075485735938827</v>
      </c>
      <c r="Q62" s="22">
        <f>('State Appropriations-2Yr'!AG57/'Total E&amp;G-2Yr'!AG57)*100</f>
        <v>26.215802739026007</v>
      </c>
      <c r="R62" s="23" t="str">
        <f>IF((('Local Appropriations-2Yr'!AG57/'Total E&amp;G-2Yr'!AG57)*100)&gt;=0.005,('Local Appropriations-2Yr'!AG57/'Total E&amp;G-2Yr'!AG57)*100,"*")</f>
        <v>*</v>
      </c>
      <c r="S62" s="21">
        <f>('Fed Contracts Grnts-2Yr'!AG57/'Total E&amp;G-2Yr'!AG57)*100</f>
        <v>20.161514313917632</v>
      </c>
      <c r="T62" s="23">
        <f>('Other Contracts Grnts-2Yr'!AG57/'Total E&amp;G-2Yr'!AG57)*100</f>
        <v>2.9233269161627629</v>
      </c>
      <c r="U62" s="21">
        <f>IF(((('Investment Income-2Yr'!AG57+'All Other E&amp;G-2Yr'!AG57)/'Total E&amp;G-2Yr'!AG57)*100)&gt;=0.005,(('Investment Income-2Yr'!AG57+'All Other E&amp;G-2Yr'!AG57)/'Total E&amp;G-2Yr'!AG57)*100,"*")</f>
        <v>0.62387029495475244</v>
      </c>
      <c r="V62" s="10"/>
      <c r="W62" s="165">
        <f t="shared" si="1"/>
        <v>99.999999999999986</v>
      </c>
      <c r="X62" s="166">
        <f t="shared" si="2"/>
        <v>100</v>
      </c>
      <c r="Y62" s="94">
        <f t="shared" si="3"/>
        <v>26.215802739026007</v>
      </c>
      <c r="Z62" s="95">
        <f t="shared" si="12"/>
        <v>19.03314655104538</v>
      </c>
      <c r="AA62" s="94">
        <f t="shared" si="4"/>
        <v>23.084841230080393</v>
      </c>
      <c r="AB62" s="95">
        <f t="shared" si="5"/>
        <v>24.265156698013488</v>
      </c>
      <c r="AC62" s="176">
        <f>+AA62+Y62+U62+P62</f>
        <v>99.999999999999986</v>
      </c>
      <c r="AD62" s="177">
        <f>+AB62+Z62+H62+C62</f>
        <v>100</v>
      </c>
    </row>
    <row r="63" spans="1:30">
      <c r="A63" s="63" t="s">
        <v>70</v>
      </c>
      <c r="B63" s="63"/>
      <c r="C63" s="137">
        <f>('Tuition-2Yr'!AL58/'Total E&amp;G-2Yr'!AL58)*100</f>
        <v>36.875962507736517</v>
      </c>
      <c r="D63" s="69">
        <f>('State Appropriations-2Yr'!AL58)/('Total E&amp;G-2Yr'!AL58)*100</f>
        <v>18.818357463924595</v>
      </c>
      <c r="E63" s="137">
        <f>IF((('Local Appropriations-2Yr'!AL58/'Total E&amp;G-2Yr'!AL58)*100)=0,(('Local Appropriations-2Yr'!AL58/'Total E&amp;G-2Yr'!AL58)*100),IF((('Local Appropriations-2Yr'!AL58/'Total E&amp;G-2Yr'!AL58)*100)&gt;=0.005,('Local Appropriations-2Yr'!AL58/'Total E&amp;G-2Yr'!AL58)*100,"*"))</f>
        <v>13.31237991133955</v>
      </c>
      <c r="F63" s="69">
        <f>('Fed Contracts Grnts-2Yr'!AL58)/('Total E&amp;G-2Yr'!AL58)*100</f>
        <v>18.818357463924595</v>
      </c>
      <c r="G63" s="137">
        <f>('Other Contracts Grnts-2Yr'!AL58/'Total E&amp;G-2Yr'!AL58)*100</f>
        <v>7.4141560544283056</v>
      </c>
      <c r="H63" s="137">
        <f>('All Other E&amp;G-2Yr'!AL58+'Investment Income-2Yr'!AL58)/('Total E&amp;G-2Yr'!AL58)*100</f>
        <v>4.7607865986464315</v>
      </c>
      <c r="I63" s="69">
        <f t="shared" si="31"/>
        <v>-7.9852324972251765</v>
      </c>
      <c r="J63" s="76">
        <f t="shared" si="32"/>
        <v>9.5114142464978535</v>
      </c>
      <c r="K63" s="69">
        <f t="shared" si="33"/>
        <v>-0.58337727973669118</v>
      </c>
      <c r="L63" s="76">
        <f t="shared" si="34"/>
        <v>-4.5312868142025522</v>
      </c>
      <c r="M63" s="69">
        <f t="shared" si="35"/>
        <v>1.3501058289039838</v>
      </c>
      <c r="N63" s="76">
        <f t="shared" si="36"/>
        <v>2.2383765157625577</v>
      </c>
      <c r="O63" s="20"/>
      <c r="P63" s="21">
        <f>('Tuition-2Yr'!AG58/'Total E&amp;G-2Yr'!AG58)*100</f>
        <v>44.861195004961694</v>
      </c>
      <c r="Q63" s="22">
        <f>('State Appropriations-2Yr'!AG58/'Total E&amp;G-2Yr'!AG58)*100</f>
        <v>9.3069432174267419</v>
      </c>
      <c r="R63" s="23">
        <f>IF((('Local Appropriations-2Yr'!AG58/'Total E&amp;G-2Yr'!AG58)*100)&gt;=0.005,('Local Appropriations-2Yr'!AG58/'Total E&amp;G-2Yr'!AG58)*100,"*")</f>
        <v>13.895757191076241</v>
      </c>
      <c r="S63" s="21">
        <f>('Fed Contracts Grnts-2Yr'!AG58/'Total E&amp;G-2Yr'!AG58)*100</f>
        <v>23.349644278127148</v>
      </c>
      <c r="T63" s="23">
        <f>('Other Contracts Grnts-2Yr'!AG58/'Total E&amp;G-2Yr'!AG58)*100</f>
        <v>6.0640502255243218</v>
      </c>
      <c r="U63" s="21">
        <f>IF(((('Investment Income-2Yr'!AG58+'All Other E&amp;G-2Yr'!AG58)/'Total E&amp;G-2Yr'!AG58)*100)&gt;=0.005,(('Investment Income-2Yr'!AG58+'All Other E&amp;G-2Yr'!AG58)/'Total E&amp;G-2Yr'!AG58)*100,"*")</f>
        <v>2.5224100828838738</v>
      </c>
      <c r="V63" s="10"/>
      <c r="W63" s="165">
        <f t="shared" si="1"/>
        <v>100.00000000000003</v>
      </c>
      <c r="X63" s="166">
        <f t="shared" si="2"/>
        <v>100</v>
      </c>
      <c r="Y63" s="94">
        <f t="shared" si="3"/>
        <v>23.202700408502984</v>
      </c>
      <c r="Z63" s="95">
        <f t="shared" si="12"/>
        <v>32.130737375264147</v>
      </c>
      <c r="AA63" s="94">
        <f t="shared" si="4"/>
        <v>29.41369450365147</v>
      </c>
      <c r="AB63" s="95">
        <f t="shared" si="5"/>
        <v>26.232513518352903</v>
      </c>
      <c r="AC63" s="176">
        <f>+AA63+Y63+U63+P63</f>
        <v>100.00000000000003</v>
      </c>
      <c r="AD63" s="177">
        <f>+AB63+Z63+H63+C63</f>
        <v>100</v>
      </c>
    </row>
    <row r="64" spans="1:30">
      <c r="A64" s="63" t="s">
        <v>71</v>
      </c>
      <c r="B64" s="63"/>
      <c r="C64" s="137">
        <f>('Tuition-2Yr'!AL59/'Total E&amp;G-2Yr'!AL59)*100</f>
        <v>28.848326363208908</v>
      </c>
      <c r="D64" s="69">
        <f>('State Appropriations-2Yr'!AL59)/('Total E&amp;G-2Yr'!AL59)*100</f>
        <v>17.241068436306183</v>
      </c>
      <c r="E64" s="137">
        <f>IF((('Local Appropriations-2Yr'!AL59/'Total E&amp;G-2Yr'!AL59)*100)=0,(('Local Appropriations-2Yr'!AL59/'Total E&amp;G-2Yr'!AL59)*100),IF((('Local Appropriations-2Yr'!AL59/'Total E&amp;G-2Yr'!AL59)*100)&gt;=0.005,('Local Appropriations-2Yr'!AL59/'Total E&amp;G-2Yr'!AL59)*100,"*"))</f>
        <v>21.32732988358396</v>
      </c>
      <c r="F64" s="69">
        <f>('Fed Contracts Grnts-2Yr'!AL59)/('Total E&amp;G-2Yr'!AL59)*100</f>
        <v>17.241068436306183</v>
      </c>
      <c r="G64" s="137">
        <f>('Other Contracts Grnts-2Yr'!AL59/'Total E&amp;G-2Yr'!AL59)*100</f>
        <v>8.0847619174871141</v>
      </c>
      <c r="H64" s="137">
        <f>('All Other E&amp;G-2Yr'!AL59+'Investment Income-2Yr'!AL59)/('Total E&amp;G-2Yr'!AL59)*100</f>
        <v>7.2574449631076527</v>
      </c>
      <c r="I64" s="69">
        <f t="shared" si="31"/>
        <v>-3.7501164652870749</v>
      </c>
      <c r="J64" s="76">
        <f t="shared" si="32"/>
        <v>-2.3351219461983739</v>
      </c>
      <c r="K64" s="69">
        <f t="shared" si="33"/>
        <v>4.5646093031216779</v>
      </c>
      <c r="L64" s="76">
        <f t="shared" si="34"/>
        <v>-1.3239371999192393</v>
      </c>
      <c r="M64" s="69">
        <f t="shared" si="35"/>
        <v>-1.6966741575345399</v>
      </c>
      <c r="N64" s="76">
        <f t="shared" si="36"/>
        <v>4.5412404658175411</v>
      </c>
      <c r="O64" s="20"/>
      <c r="P64" s="21">
        <f>('Tuition-2Yr'!AG59/'Total E&amp;G-2Yr'!AG59)*100</f>
        <v>32.598442828495983</v>
      </c>
      <c r="Q64" s="22">
        <f>('State Appropriations-2Yr'!AG59/'Total E&amp;G-2Yr'!AG59)*100</f>
        <v>19.576190382504556</v>
      </c>
      <c r="R64" s="23">
        <f>IF((('Local Appropriations-2Yr'!AG59/'Total E&amp;G-2Yr'!AG59)*100)&gt;=0.005,('Local Appropriations-2Yr'!AG59/'Total E&amp;G-2Yr'!AG59)*100,"*")</f>
        <v>16.762720580462283</v>
      </c>
      <c r="S64" s="21">
        <f>('Fed Contracts Grnts-2Yr'!AG59/'Total E&amp;G-2Yr'!AG59)*100</f>
        <v>18.565005636225422</v>
      </c>
      <c r="T64" s="23">
        <f>('Other Contracts Grnts-2Yr'!AG59/'Total E&amp;G-2Yr'!AG59)*100</f>
        <v>9.781436075021654</v>
      </c>
      <c r="U64" s="21">
        <f>IF(((('Investment Income-2Yr'!AG59+'All Other E&amp;G-2Yr'!AG59)/'Total E&amp;G-2Yr'!AG59)*100)&gt;=0.005,(('Investment Income-2Yr'!AG59+'All Other E&amp;G-2Yr'!AG59)/'Total E&amp;G-2Yr'!AG59)*100,"*")</f>
        <v>2.7162044972901112</v>
      </c>
      <c r="V64" s="10"/>
      <c r="W64" s="165">
        <f t="shared" si="1"/>
        <v>100.00000000000001</v>
      </c>
      <c r="X64" s="166">
        <f t="shared" si="2"/>
        <v>100</v>
      </c>
      <c r="Y64" s="94">
        <f t="shared" si="3"/>
        <v>36.338910962966835</v>
      </c>
      <c r="Z64" s="95">
        <f t="shared" si="12"/>
        <v>38.568398319890143</v>
      </c>
      <c r="AA64" s="94">
        <f t="shared" si="4"/>
        <v>28.346441711247074</v>
      </c>
      <c r="AB64" s="95">
        <f t="shared" si="5"/>
        <v>25.325830353793297</v>
      </c>
      <c r="AC64" s="176">
        <f>+AA64+Y64+U64+P64</f>
        <v>100</v>
      </c>
      <c r="AD64" s="177">
        <f>+AB64+Z64+H64+C64</f>
        <v>100.00000000000001</v>
      </c>
    </row>
    <row r="65" spans="1:30">
      <c r="A65" s="63" t="s">
        <v>72</v>
      </c>
      <c r="B65" s="63"/>
      <c r="C65" s="137">
        <f>('Tuition-2Yr'!AL60/'Total E&amp;G-2Yr'!AL60)*100</f>
        <v>39.931164302420491</v>
      </c>
      <c r="D65" s="69">
        <f>('State Appropriations-2Yr'!AL60)/('Total E&amp;G-2Yr'!AL60)*100</f>
        <v>20.305808111643763</v>
      </c>
      <c r="E65" s="137">
        <f>IF((('Local Appropriations-2Yr'!AL60/'Total E&amp;G-2Yr'!AL60)*100)=0,(('Local Appropriations-2Yr'!AL60/'Total E&amp;G-2Yr'!AL60)*100),IF((('Local Appropriations-2Yr'!AL60/'Total E&amp;G-2Yr'!AL60)*100)&gt;=0.005,('Local Appropriations-2Yr'!AL60/'Total E&amp;G-2Yr'!AL60)*100,"*"))</f>
        <v>10.06045075991922</v>
      </c>
      <c r="F65" s="69">
        <f>('Fed Contracts Grnts-2Yr'!AL60)/('Total E&amp;G-2Yr'!AL60)*100</f>
        <v>20.305808111643763</v>
      </c>
      <c r="G65" s="137">
        <f>('Other Contracts Grnts-2Yr'!AL60/'Total E&amp;G-2Yr'!AL60)*100</f>
        <v>4.2978818681965443</v>
      </c>
      <c r="H65" s="137">
        <f>('All Other E&amp;G-2Yr'!AL60+'Investment Income-2Yr'!AL60)/('Total E&amp;G-2Yr'!AL60)*100</f>
        <v>5.0988868461762085</v>
      </c>
      <c r="I65" s="69">
        <f t="shared" si="31"/>
        <v>-0.96062820726241682</v>
      </c>
      <c r="J65" s="76">
        <f t="shared" si="32"/>
        <v>1.2908834409922072</v>
      </c>
      <c r="K65" s="69">
        <f t="shared" si="33"/>
        <v>1.1460274983535861</v>
      </c>
      <c r="L65" s="76">
        <f t="shared" si="34"/>
        <v>-0.66200924713416143</v>
      </c>
      <c r="M65" s="69">
        <f t="shared" si="35"/>
        <v>-1.2040620109033284E-2</v>
      </c>
      <c r="N65" s="76">
        <f t="shared" si="36"/>
        <v>-0.8022328648401853</v>
      </c>
      <c r="O65" s="20"/>
      <c r="P65" s="21">
        <f>('Tuition-2Yr'!AG60/'Total E&amp;G-2Yr'!AG60)*100</f>
        <v>40.891792509682908</v>
      </c>
      <c r="Q65" s="22">
        <f>('State Appropriations-2Yr'!AG60/'Total E&amp;G-2Yr'!AG60)*100</f>
        <v>19.014924670651556</v>
      </c>
      <c r="R65" s="23">
        <f>IF((('Local Appropriations-2Yr'!AG60/'Total E&amp;G-2Yr'!AG60)*100)&gt;=0.005,('Local Appropriations-2Yr'!AG60/'Total E&amp;G-2Yr'!AG60)*100,"*")</f>
        <v>8.9144232615656342</v>
      </c>
      <c r="S65" s="21">
        <f>('Fed Contracts Grnts-2Yr'!AG60/'Total E&amp;G-2Yr'!AG60)*100</f>
        <v>20.967817358777925</v>
      </c>
      <c r="T65" s="23">
        <f>('Other Contracts Grnts-2Yr'!AG60/'Total E&amp;G-2Yr'!AG60)*100</f>
        <v>4.3099224883055776</v>
      </c>
      <c r="U65" s="21">
        <f>IF(((('Investment Income-2Yr'!AG60+'All Other E&amp;G-2Yr'!AG60)/'Total E&amp;G-2Yr'!AG60)*100)&gt;=0.005,(('Investment Income-2Yr'!AG60+'All Other E&amp;G-2Yr'!AG60)/'Total E&amp;G-2Yr'!AG60)*100,"*")</f>
        <v>5.9011197110163938</v>
      </c>
      <c r="V65" s="10"/>
      <c r="W65" s="165">
        <f t="shared" si="1"/>
        <v>99.999999999999986</v>
      </c>
      <c r="X65" s="166">
        <f t="shared" si="2"/>
        <v>99.999999999999986</v>
      </c>
      <c r="Y65" s="94">
        <f t="shared" si="3"/>
        <v>27.92934793221719</v>
      </c>
      <c r="Z65" s="95">
        <f t="shared" si="12"/>
        <v>30.366258871562984</v>
      </c>
      <c r="AA65" s="94">
        <f t="shared" si="4"/>
        <v>25.277739847083502</v>
      </c>
      <c r="AB65" s="95">
        <f t="shared" si="5"/>
        <v>24.603689979840308</v>
      </c>
      <c r="AC65" s="176">
        <f>+AA65+Y65+U65+P65</f>
        <v>100</v>
      </c>
      <c r="AD65" s="177">
        <f>+AB65+Z65+H65+C65</f>
        <v>99.999999999999986</v>
      </c>
    </row>
    <row r="66" spans="1:30">
      <c r="A66" s="63" t="s">
        <v>73</v>
      </c>
      <c r="B66" s="63"/>
      <c r="C66" s="137">
        <f>('Tuition-2Yr'!AL61/'Total E&amp;G-2Yr'!AL61)*100</f>
        <v>39.292759076528604</v>
      </c>
      <c r="D66" s="69">
        <f>('State Appropriations-2Yr'!AL61)/('Total E&amp;G-2Yr'!AL61)*100</f>
        <v>23.88533900731845</v>
      </c>
      <c r="E66" s="137">
        <f>IF((('Local Appropriations-2Yr'!AL61/'Total E&amp;G-2Yr'!AL61)*100)=0,(('Local Appropriations-2Yr'!AL61/'Total E&amp;G-2Yr'!AL61)*100),IF((('Local Appropriations-2Yr'!AL61/'Total E&amp;G-2Yr'!AL61)*100)&gt;=0.005,('Local Appropriations-2Yr'!AL61/'Total E&amp;G-2Yr'!AL61)*100,"*"))</f>
        <v>0</v>
      </c>
      <c r="F66" s="69">
        <f>('Fed Contracts Grnts-2Yr'!AL61)/('Total E&amp;G-2Yr'!AL61)*100</f>
        <v>23.88533900731845</v>
      </c>
      <c r="G66" s="137">
        <f>('Other Contracts Grnts-2Yr'!AL61/'Total E&amp;G-2Yr'!AL61)*100</f>
        <v>9.8326197254031751</v>
      </c>
      <c r="H66" s="137">
        <f>('All Other E&amp;G-2Yr'!AL61+'Investment Income-2Yr'!AL61)/('Total E&amp;G-2Yr'!AL61)*100</f>
        <v>3.1039431834313302</v>
      </c>
      <c r="I66" s="69">
        <f t="shared" si="31"/>
        <v>1.3242254110486087</v>
      </c>
      <c r="J66" s="76">
        <f t="shared" si="32"/>
        <v>-9.5626570342189723</v>
      </c>
      <c r="K66" s="69">
        <f t="shared" si="33"/>
        <v>0</v>
      </c>
      <c r="L66" s="76">
        <f t="shared" si="34"/>
        <v>0.50191680777902903</v>
      </c>
      <c r="M66" s="69">
        <f t="shared" si="35"/>
        <v>7.8958598123382941</v>
      </c>
      <c r="N66" s="76">
        <f t="shared" si="36"/>
        <v>-0.15934499694696092</v>
      </c>
      <c r="O66" s="20"/>
      <c r="P66" s="21">
        <f>('Tuition-2Yr'!AG61/'Total E&amp;G-2Yr'!AG61)*100</f>
        <v>37.968533665479995</v>
      </c>
      <c r="Q66" s="22">
        <f>('State Appropriations-2Yr'!AG61/'Total E&amp;G-2Yr'!AG61)*100</f>
        <v>33.447996041537422</v>
      </c>
      <c r="R66" s="23" t="str">
        <f>IF((('Local Appropriations-2Yr'!AG61/'Total E&amp;G-2Yr'!AG61)*100)&gt;=0.005,('Local Appropriations-2Yr'!AG61/'Total E&amp;G-2Yr'!AG61)*100,"*")</f>
        <v>*</v>
      </c>
      <c r="S66" s="21">
        <f>('Fed Contracts Grnts-2Yr'!AG61/'Total E&amp;G-2Yr'!AG61)*100</f>
        <v>23.383422199539421</v>
      </c>
      <c r="T66" s="23">
        <f>('Other Contracts Grnts-2Yr'!AG61/'Total E&amp;G-2Yr'!AG61)*100</f>
        <v>1.9367599130648809</v>
      </c>
      <c r="U66" s="21">
        <f>IF(((('Investment Income-2Yr'!AG61+'All Other E&amp;G-2Yr'!AG61)/'Total E&amp;G-2Yr'!AG61)*100)&gt;=0.005,(('Investment Income-2Yr'!AG61+'All Other E&amp;G-2Yr'!AG61)/'Total E&amp;G-2Yr'!AG61)*100,"*")</f>
        <v>3.2632881803782912</v>
      </c>
      <c r="V66" s="10"/>
      <c r="W66" s="165">
        <f t="shared" si="1"/>
        <v>100.00000000000001</v>
      </c>
      <c r="X66" s="166">
        <f t="shared" si="2"/>
        <v>100</v>
      </c>
      <c r="Y66" s="94">
        <f t="shared" si="3"/>
        <v>33.447996041537422</v>
      </c>
      <c r="Z66" s="95">
        <f t="shared" si="12"/>
        <v>23.88533900731845</v>
      </c>
      <c r="AA66" s="94">
        <f t="shared" si="4"/>
        <v>25.3201821126043</v>
      </c>
      <c r="AB66" s="95">
        <f t="shared" si="5"/>
        <v>33.717958732721627</v>
      </c>
      <c r="AC66" s="176">
        <f>+AA66+Y66+U66+P66</f>
        <v>100</v>
      </c>
      <c r="AD66" s="177">
        <f>+AB66+Z66+H66+C66</f>
        <v>100.00000000000001</v>
      </c>
    </row>
    <row r="67" spans="1:30">
      <c r="A67" s="62" t="s">
        <v>74</v>
      </c>
      <c r="B67" s="63"/>
      <c r="C67" s="137">
        <f>('Tuition-2Yr'!AL62/'Total E&amp;G-2Yr'!AL62)*100</f>
        <v>49.778304223682454</v>
      </c>
      <c r="D67" s="69">
        <f>('State Appropriations-2Yr'!AL62)/('Total E&amp;G-2Yr'!AL62)*100</f>
        <v>22.944514782520422</v>
      </c>
      <c r="E67" s="137">
        <f>IF((('Local Appropriations-2Yr'!AL62/'Total E&amp;G-2Yr'!AL62)*100)=0,(('Local Appropriations-2Yr'!AL62/'Total E&amp;G-2Yr'!AL62)*100),IF((('Local Appropriations-2Yr'!AL62/'Total E&amp;G-2Yr'!AL62)*100)&gt;=0.005,('Local Appropriations-2Yr'!AL62/'Total E&amp;G-2Yr'!AL62)*100,"*"))</f>
        <v>0</v>
      </c>
      <c r="F67" s="69">
        <f>('Fed Contracts Grnts-2Yr'!AL62)/('Total E&amp;G-2Yr'!AL62)*100</f>
        <v>22.944514782520422</v>
      </c>
      <c r="G67" s="137">
        <f>('Other Contracts Grnts-2Yr'!AL62/'Total E&amp;G-2Yr'!AL62)*100</f>
        <v>3.9571871683774051</v>
      </c>
      <c r="H67" s="137">
        <f>('All Other E&amp;G-2Yr'!AL62+'Investment Income-2Yr'!AL62)/('Total E&amp;G-2Yr'!AL62)*100</f>
        <v>0.37547904289929979</v>
      </c>
      <c r="I67" s="71">
        <f t="shared" si="31"/>
        <v>-6.3626069414899007</v>
      </c>
      <c r="J67" s="75">
        <f t="shared" si="32"/>
        <v>7.7765517799182575</v>
      </c>
      <c r="K67" s="71">
        <f t="shared" si="33"/>
        <v>0</v>
      </c>
      <c r="L67" s="75">
        <f t="shared" si="34"/>
        <v>3.5112389398819559</v>
      </c>
      <c r="M67" s="71">
        <f t="shared" si="35"/>
        <v>-0.8557480690425936</v>
      </c>
      <c r="N67" s="75">
        <f t="shared" si="36"/>
        <v>-4.0694357092677018</v>
      </c>
      <c r="O67" s="20"/>
      <c r="P67" s="21">
        <f>('Tuition-2Yr'!AG62/'Total E&amp;G-2Yr'!AG62)*100</f>
        <v>56.140911165172355</v>
      </c>
      <c r="Q67" s="22">
        <f>('State Appropriations-2Yr'!AG62/'Total E&amp;G-2Yr'!AG62)*100</f>
        <v>15.167963002602164</v>
      </c>
      <c r="R67" s="23" t="str">
        <f>IF((('Local Appropriations-2Yr'!AG62/'Total E&amp;G-2Yr'!AG62)*100)&gt;=0.005,('Local Appropriations-2Yr'!AG62/'Total E&amp;G-2Yr'!AG62)*100,"*")</f>
        <v>*</v>
      </c>
      <c r="S67" s="21">
        <f>('Fed Contracts Grnts-2Yr'!AG62/'Total E&amp;G-2Yr'!AG62)*100</f>
        <v>19.433275842638466</v>
      </c>
      <c r="T67" s="23">
        <f>('Other Contracts Grnts-2Yr'!AG62/'Total E&amp;G-2Yr'!AG62)*100</f>
        <v>4.8129352374199987</v>
      </c>
      <c r="U67" s="21">
        <f>IF(((('Investment Income-2Yr'!AG62+'All Other E&amp;G-2Yr'!AG62)/'Total E&amp;G-2Yr'!AG62)*100)&gt;=0.005,(('Investment Income-2Yr'!AG62+'All Other E&amp;G-2Yr'!AG62)/'Total E&amp;G-2Yr'!AG62)*100,"*")</f>
        <v>4.4449147521670014</v>
      </c>
      <c r="V67" s="10"/>
      <c r="W67" s="165">
        <f t="shared" si="1"/>
        <v>99.999999999999972</v>
      </c>
      <c r="X67" s="166">
        <f t="shared" si="2"/>
        <v>100.00000000000001</v>
      </c>
      <c r="Y67" s="94">
        <f t="shared" si="3"/>
        <v>15.167963002602164</v>
      </c>
      <c r="Z67" s="95">
        <f t="shared" si="12"/>
        <v>22.944514782520422</v>
      </c>
      <c r="AA67" s="94">
        <f t="shared" si="4"/>
        <v>24.246211080058465</v>
      </c>
      <c r="AB67" s="95">
        <f t="shared" si="5"/>
        <v>26.901701950897827</v>
      </c>
      <c r="AC67" s="176">
        <f>+AA67+Y67+U67+P67</f>
        <v>99.999999999999986</v>
      </c>
      <c r="AD67" s="177">
        <f>+AB67+Z67+H67+C67</f>
        <v>100</v>
      </c>
    </row>
    <row r="68" spans="1:30">
      <c r="A68" s="46" t="s">
        <v>75</v>
      </c>
      <c r="B68" s="151"/>
      <c r="C68" s="154" t="s">
        <v>87</v>
      </c>
      <c r="D68" s="152" t="s">
        <v>87</v>
      </c>
      <c r="E68" s="154" t="s">
        <v>87</v>
      </c>
      <c r="F68" s="152" t="s">
        <v>87</v>
      </c>
      <c r="G68" s="154" t="s">
        <v>87</v>
      </c>
      <c r="H68" s="154" t="s">
        <v>87</v>
      </c>
      <c r="I68" s="71" t="s">
        <v>87</v>
      </c>
      <c r="J68" s="75" t="s">
        <v>87</v>
      </c>
      <c r="K68" s="71" t="s">
        <v>87</v>
      </c>
      <c r="L68" s="75" t="s">
        <v>87</v>
      </c>
      <c r="M68" s="71" t="s">
        <v>87</v>
      </c>
      <c r="N68" s="75" t="s">
        <v>87</v>
      </c>
      <c r="O68" s="20"/>
      <c r="P68" s="21" t="s">
        <v>87</v>
      </c>
      <c r="Q68" s="21" t="s">
        <v>87</v>
      </c>
      <c r="R68" s="21" t="s">
        <v>87</v>
      </c>
      <c r="S68" s="21" t="s">
        <v>87</v>
      </c>
      <c r="T68" s="21" t="s">
        <v>87</v>
      </c>
      <c r="U68" s="21" t="s">
        <v>87</v>
      </c>
      <c r="V68" s="10"/>
      <c r="W68" s="167">
        <f t="shared" si="1"/>
        <v>0</v>
      </c>
      <c r="X68" s="168">
        <f t="shared" si="2"/>
        <v>0</v>
      </c>
      <c r="Y68" s="96">
        <f t="shared" si="3"/>
        <v>0</v>
      </c>
      <c r="Z68" s="97">
        <f t="shared" si="12"/>
        <v>0</v>
      </c>
      <c r="AA68" s="96">
        <f t="shared" si="4"/>
        <v>0</v>
      </c>
      <c r="AB68" s="97">
        <f t="shared" si="5"/>
        <v>0</v>
      </c>
      <c r="AC68" s="178">
        <f>+AA68+Y68+U68+P68</f>
        <v>0</v>
      </c>
      <c r="AD68" s="179">
        <f>+AB68+Z68+H68+C68</f>
        <v>0</v>
      </c>
    </row>
    <row r="69" spans="1:30">
      <c r="A69" s="1"/>
      <c r="B69" s="1"/>
      <c r="C69" s="34"/>
      <c r="D69" s="34"/>
      <c r="E69" s="34"/>
      <c r="F69" s="34"/>
      <c r="G69" s="34"/>
      <c r="H69" s="34"/>
      <c r="I69" s="34"/>
      <c r="J69" s="34"/>
      <c r="K69" s="34"/>
      <c r="L69" s="34"/>
      <c r="M69" s="34"/>
      <c r="N69" s="34"/>
      <c r="O69" s="20"/>
      <c r="P69" s="10"/>
      <c r="Q69" s="10"/>
      <c r="R69" s="10"/>
      <c r="S69" s="10"/>
      <c r="T69" s="10"/>
      <c r="U69" s="10"/>
      <c r="V69" s="10"/>
      <c r="W69" s="160"/>
      <c r="X69" s="160"/>
      <c r="Y69" s="1"/>
      <c r="Z69" s="1"/>
      <c r="AA69" s="1"/>
      <c r="AB69" s="1"/>
      <c r="AC69" s="1"/>
      <c r="AD69" s="1"/>
    </row>
    <row r="70" spans="1:30" ht="15.75" customHeight="1">
      <c r="B70" s="32"/>
      <c r="C70" s="13"/>
      <c r="D70" s="1"/>
      <c r="F70" s="1"/>
      <c r="G70" s="1"/>
      <c r="H70" s="1"/>
      <c r="K70" s="14"/>
      <c r="L70" s="1"/>
      <c r="M70" s="1"/>
      <c r="N70" s="1"/>
      <c r="O70" s="20"/>
      <c r="P70" s="80" t="s">
        <v>88</v>
      </c>
      <c r="Q70" s="1"/>
      <c r="R70" s="1"/>
      <c r="S70" s="1"/>
      <c r="T70" s="1"/>
      <c r="U70" s="1"/>
      <c r="V70" s="1"/>
      <c r="W70" s="160"/>
      <c r="X70" s="160"/>
      <c r="Y70" s="1"/>
      <c r="Z70" s="1"/>
      <c r="AA70" s="1"/>
      <c r="AB70" s="1"/>
      <c r="AC70" s="1"/>
    </row>
    <row r="71" spans="1:30" ht="28.5" customHeight="1">
      <c r="A71" s="213" t="s">
        <v>89</v>
      </c>
      <c r="B71" s="213"/>
      <c r="C71" s="213"/>
      <c r="D71" s="213"/>
      <c r="E71" s="213"/>
      <c r="F71" s="213"/>
      <c r="G71" s="213"/>
      <c r="H71" s="213"/>
      <c r="I71" s="90"/>
      <c r="J71" s="200"/>
      <c r="K71" s="212"/>
      <c r="L71" s="212"/>
      <c r="M71" s="212"/>
      <c r="N71" s="212"/>
      <c r="O71" s="20"/>
      <c r="P71" s="1"/>
      <c r="Q71" s="1"/>
      <c r="R71" s="1"/>
      <c r="S71" s="1"/>
      <c r="T71" s="1"/>
      <c r="U71" s="1"/>
      <c r="V71" s="1"/>
      <c r="W71" s="160"/>
      <c r="X71" s="160"/>
      <c r="Y71" s="1"/>
      <c r="Z71" s="1"/>
      <c r="AA71" s="1"/>
      <c r="AB71" s="1"/>
      <c r="AC71" s="1"/>
    </row>
    <row r="72" spans="1:30">
      <c r="B72" s="32"/>
      <c r="C72" s="13"/>
      <c r="D72" s="1"/>
      <c r="F72" s="1"/>
      <c r="G72" s="1"/>
      <c r="H72" s="1"/>
      <c r="J72" s="38"/>
      <c r="K72" s="92"/>
      <c r="L72" s="91"/>
      <c r="M72" s="91"/>
      <c r="N72" s="91"/>
      <c r="O72" s="20"/>
      <c r="P72" s="1"/>
      <c r="Q72" s="1"/>
      <c r="R72" s="1"/>
      <c r="S72" s="1"/>
      <c r="T72" s="1"/>
      <c r="U72" s="1"/>
      <c r="V72" s="1"/>
      <c r="W72" s="1"/>
      <c r="X72" s="1"/>
      <c r="Y72" s="1"/>
      <c r="Z72" s="1"/>
      <c r="AA72" s="1"/>
      <c r="AB72" s="1"/>
      <c r="AC72" s="1"/>
      <c r="AD72" s="1"/>
    </row>
    <row r="73" spans="1:30" ht="120.75" customHeight="1">
      <c r="A73" s="206" t="s">
        <v>90</v>
      </c>
      <c r="B73" s="207"/>
      <c r="C73" s="207"/>
      <c r="D73" s="207"/>
      <c r="E73" s="207"/>
      <c r="F73" s="207"/>
      <c r="G73" s="207"/>
      <c r="H73" s="207"/>
      <c r="K73" s="14"/>
      <c r="L73" s="1"/>
      <c r="M73" s="1"/>
      <c r="N73" s="1"/>
      <c r="O73" s="20"/>
      <c r="P73" s="1"/>
      <c r="Q73" s="1"/>
      <c r="R73" s="1"/>
      <c r="S73" s="1"/>
      <c r="T73" s="1"/>
      <c r="U73" s="1"/>
      <c r="V73" s="1"/>
      <c r="W73" s="1"/>
      <c r="X73" s="1"/>
      <c r="Y73" s="1"/>
      <c r="Z73" s="1"/>
      <c r="AA73" s="1"/>
      <c r="AB73" s="1"/>
      <c r="AC73" s="1"/>
      <c r="AD73" s="1"/>
    </row>
    <row r="74" spans="1:30" ht="15.75" customHeight="1">
      <c r="A74" s="209" t="s">
        <v>91</v>
      </c>
      <c r="B74" s="207"/>
      <c r="C74" s="207"/>
      <c r="D74" s="207"/>
      <c r="E74" s="207"/>
      <c r="F74" s="207"/>
      <c r="G74" s="207"/>
      <c r="H74" s="207"/>
      <c r="K74" s="14"/>
      <c r="L74" s="1"/>
      <c r="M74" s="1"/>
      <c r="N74" s="1"/>
      <c r="O74" s="1"/>
      <c r="P74" s="1"/>
      <c r="Q74" s="1"/>
      <c r="R74" s="1"/>
      <c r="S74" s="1"/>
      <c r="T74" s="1"/>
      <c r="U74" s="1"/>
      <c r="V74" s="1"/>
      <c r="W74" s="1"/>
      <c r="X74" s="1"/>
      <c r="Y74" s="1"/>
      <c r="Z74" s="1"/>
      <c r="AA74" s="1"/>
      <c r="AB74" s="1"/>
      <c r="AC74" s="1"/>
      <c r="AD74" s="1"/>
    </row>
    <row r="75" spans="1:30" ht="39.75" customHeight="1">
      <c r="A75" s="206" t="s">
        <v>78</v>
      </c>
      <c r="B75" s="207"/>
      <c r="C75" s="207"/>
      <c r="D75" s="207"/>
      <c r="E75" s="207"/>
      <c r="F75" s="207"/>
      <c r="G75" s="207"/>
      <c r="H75" s="207"/>
      <c r="K75" s="1"/>
      <c r="L75" s="1"/>
      <c r="M75" s="197"/>
      <c r="N75" s="197"/>
      <c r="O75" s="197"/>
      <c r="P75" s="1"/>
      <c r="Q75" s="1"/>
      <c r="R75" s="1"/>
      <c r="S75" s="1"/>
      <c r="T75" s="1"/>
      <c r="U75" s="1"/>
      <c r="V75" s="1"/>
      <c r="W75" s="1"/>
      <c r="X75" s="1"/>
      <c r="Y75" s="1"/>
      <c r="Z75" s="1"/>
      <c r="AA75" s="1"/>
      <c r="AB75" s="1"/>
      <c r="AC75" s="1"/>
      <c r="AD75" s="1"/>
    </row>
    <row r="76" spans="1:30" ht="12.75" customHeight="1">
      <c r="A76" s="200" t="s">
        <v>79</v>
      </c>
      <c r="B76" s="201"/>
      <c r="C76" s="201"/>
      <c r="D76" s="201"/>
      <c r="E76" s="201"/>
      <c r="F76" s="201"/>
      <c r="G76" s="201"/>
      <c r="H76" s="201"/>
      <c r="I76" s="201"/>
      <c r="J76" s="201"/>
      <c r="K76" s="201"/>
      <c r="L76" s="201"/>
      <c r="M76" s="201"/>
      <c r="N76" s="201"/>
      <c r="O76" s="198"/>
      <c r="P76" s="30"/>
      <c r="Q76" s="30"/>
      <c r="R76" s="30"/>
      <c r="S76" s="30"/>
      <c r="T76" s="30"/>
      <c r="U76" s="30"/>
      <c r="V76" s="30"/>
    </row>
    <row r="77" spans="1:30">
      <c r="A77" s="29"/>
      <c r="B77" s="29"/>
      <c r="N77" s="155" t="s">
        <v>80</v>
      </c>
      <c r="O77" s="30"/>
      <c r="P77" s="30"/>
      <c r="Q77" s="30"/>
      <c r="R77" s="30"/>
      <c r="S77" s="30"/>
      <c r="T77" s="30"/>
      <c r="U77" s="30"/>
      <c r="V77" s="30"/>
    </row>
  </sheetData>
  <mergeCells count="9">
    <mergeCell ref="A76:N76"/>
    <mergeCell ref="Q7:R7"/>
    <mergeCell ref="A73:H73"/>
    <mergeCell ref="A74:H74"/>
    <mergeCell ref="A75:H75"/>
    <mergeCell ref="J71:N71"/>
    <mergeCell ref="A71:H71"/>
    <mergeCell ref="C7:C8"/>
    <mergeCell ref="I7:I8"/>
  </mergeCells>
  <phoneticPr fontId="8" type="noConversion"/>
  <printOptions horizontalCentered="1"/>
  <pageMargins left="1" right="1" top="0.75" bottom="0.55000000000000004" header="0.5" footer="0.4"/>
  <pageSetup scale="60" orientation="portrait" verticalDpi="300" r:id="rId1"/>
  <headerFooter alignWithMargins="0">
    <oddFooter>&amp;L&amp;"Arial,Regular"SREB Fact Book&amp;R&amp;"Arial,Regular"&amp;D</oddFooter>
  </headerFooter>
  <colBreaks count="1" manualBreakCount="1">
    <brk id="23" max="3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1">
    <tabColor indexed="58"/>
  </sheetPr>
  <dimension ref="A1:HF92"/>
  <sheetViews>
    <sheetView showZeros="0" zoomScaleNormal="100" workbookViewId="0">
      <pane xSplit="1" ySplit="3" topLeftCell="AA4" activePane="bottomRight" state="frozen"/>
      <selection pane="bottomRight" activeCell="AK4" sqref="AK4:AL63"/>
      <selection pane="bottomLeft" activeCell="O44" sqref="O44"/>
      <selection pane="topRight" activeCell="O44" sqref="O44"/>
    </sheetView>
  </sheetViews>
  <sheetFormatPr defaultColWidth="9.7109375" defaultRowHeight="12.75"/>
  <cols>
    <col min="1" max="1" width="19.5703125" style="1" bestFit="1" customWidth="1"/>
    <col min="2" max="21" width="13.85546875" style="1" customWidth="1"/>
    <col min="22" max="25" width="13.85546875" style="10" customWidth="1"/>
    <col min="26" max="26" width="11.85546875" style="1" bestFit="1" customWidth="1"/>
    <col min="27" max="28" width="12" style="1" customWidth="1"/>
    <col min="29" max="32" width="11.7109375" style="1" bestFit="1" customWidth="1"/>
    <col min="33" max="33" width="11.7109375" style="1" customWidth="1"/>
    <col min="34" max="34" width="11.7109375" style="1" bestFit="1" customWidth="1"/>
    <col min="35" max="35" width="14.42578125" style="1" bestFit="1" customWidth="1"/>
    <col min="36" max="36" width="9.7109375" style="1"/>
    <col min="37" max="37" width="15.42578125" style="1" bestFit="1" customWidth="1"/>
    <col min="38" max="38" width="15.42578125" style="1" customWidth="1"/>
    <col min="39" max="39" width="13.42578125" style="1" bestFit="1" customWidth="1"/>
    <col min="40" max="178" width="9.7109375" style="1"/>
    <col min="179" max="179" width="11.7109375" style="1" customWidth="1"/>
    <col min="180" max="203" width="9.7109375" style="1"/>
    <col min="204" max="204" width="5.7109375" style="1" customWidth="1"/>
    <col min="205" max="205" width="6.7109375" style="1" customWidth="1"/>
    <col min="206" max="207" width="8.7109375" style="1" customWidth="1"/>
    <col min="208" max="209" width="6.7109375" style="1" customWidth="1"/>
    <col min="210" max="211" width="8.7109375" style="1" customWidth="1"/>
    <col min="212" max="213" width="6.7109375" style="1" customWidth="1"/>
    <col min="214" max="214" width="1.7109375" style="1" customWidth="1"/>
    <col min="215" max="16384" width="9.7109375" style="1"/>
  </cols>
  <sheetData>
    <row r="1" spans="1:38">
      <c r="A1" s="11" t="s">
        <v>92</v>
      </c>
      <c r="B1" s="11"/>
      <c r="C1" s="11"/>
      <c r="D1" s="11"/>
      <c r="E1" s="11"/>
      <c r="F1" s="11"/>
      <c r="G1" s="11"/>
      <c r="H1" s="11"/>
      <c r="I1" s="11"/>
      <c r="J1" s="11"/>
      <c r="K1" s="11"/>
      <c r="Z1" s="10"/>
      <c r="AA1" s="10"/>
      <c r="AB1" s="10"/>
      <c r="AC1" s="10"/>
      <c r="AD1" s="10"/>
      <c r="AI1" s="1">
        <f>AI2*0.01</f>
        <v>902480487.68000019</v>
      </c>
      <c r="AK1" s="1">
        <f>AK2*0.01</f>
        <v>1034023520.86</v>
      </c>
    </row>
    <row r="2" spans="1:38">
      <c r="A2" s="50" t="s">
        <v>93</v>
      </c>
      <c r="B2" s="11"/>
      <c r="C2" s="11"/>
      <c r="D2" s="11"/>
      <c r="E2" s="11"/>
      <c r="F2" s="11"/>
      <c r="G2" s="11"/>
      <c r="H2" s="11"/>
      <c r="I2" s="11"/>
      <c r="J2" s="11"/>
      <c r="K2" s="11"/>
      <c r="Z2" s="10"/>
      <c r="AA2" s="10"/>
      <c r="AB2" s="10"/>
      <c r="AC2" s="10"/>
      <c r="AD2" s="10"/>
      <c r="AI2" s="1">
        <f>AI5*1000</f>
        <v>90248048768.000015</v>
      </c>
      <c r="AK2" s="1">
        <f>AK5*1000</f>
        <v>103402352086</v>
      </c>
    </row>
    <row r="3" spans="1:38">
      <c r="B3" s="40">
        <v>1984</v>
      </c>
      <c r="C3" s="40">
        <v>1985</v>
      </c>
      <c r="D3" s="40">
        <v>1986</v>
      </c>
      <c r="E3" s="40">
        <v>1987</v>
      </c>
      <c r="F3" s="40">
        <v>1988</v>
      </c>
      <c r="G3" s="40">
        <v>1989</v>
      </c>
      <c r="H3" s="28">
        <v>1990</v>
      </c>
      <c r="I3" s="28">
        <v>1991</v>
      </c>
      <c r="J3" s="28">
        <v>1992</v>
      </c>
      <c r="K3" s="28">
        <v>1993</v>
      </c>
      <c r="L3" s="28">
        <v>1994</v>
      </c>
      <c r="M3" s="28">
        <v>1995</v>
      </c>
      <c r="N3" s="28">
        <v>1996</v>
      </c>
      <c r="O3" s="28">
        <v>1997</v>
      </c>
      <c r="P3" s="28">
        <v>1998</v>
      </c>
      <c r="Q3" s="28">
        <v>1999</v>
      </c>
      <c r="R3" s="28">
        <v>2000</v>
      </c>
      <c r="S3" s="43">
        <v>2001</v>
      </c>
      <c r="T3" s="28">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53">
        <f>+'Tuition-4Yr'!B4+'State Appropriations-4Yr'!B4+'Local Appropriations-4Yr'!B4+'Fed Contracts Grnts-4Yr'!B4+'Other Contract Grnts-4Yr'!B4+'Investment Income-4Yr'!B4+'All Other E&amp;G-4Yr'!B4</f>
        <v>36491253</v>
      </c>
      <c r="C4" s="53">
        <f>+'Tuition-4Yr'!C4+'State Appropriations-4Yr'!C4+'Local Appropriations-4Yr'!C4+'Fed Contracts Grnts-4Yr'!C4+'Other Contract Grnts-4Yr'!C4+'Investment Income-4Yr'!C4+'All Other E&amp;G-4Yr'!C4</f>
        <v>40526566</v>
      </c>
      <c r="D4" s="53">
        <f>+'Tuition-4Yr'!D4+'State Appropriations-4Yr'!D4+'Local Appropriations-4Yr'!D4+'Fed Contracts Grnts-4Yr'!D4+'Other Contract Grnts-4Yr'!D4+'Investment Income-4Yr'!D4+'All Other E&amp;G-4Yr'!D4</f>
        <v>44270393</v>
      </c>
      <c r="E4" s="53">
        <f>+'Tuition-4Yr'!E4+'State Appropriations-4Yr'!E4+'Local Appropriations-4Yr'!E4+'Fed Contracts Grnts-4Yr'!E4+'Other Contract Grnts-4Yr'!E4+'Investment Income-4Yr'!E4+'All Other E&amp;G-4Yr'!E4</f>
        <v>0</v>
      </c>
      <c r="F4" s="53">
        <f>+'Tuition-4Yr'!F4+'State Appropriations-4Yr'!F4+'Local Appropriations-4Yr'!F4+'Fed Contracts Grnts-4Yr'!F4+'Other Contract Grnts-4Yr'!F4+'Investment Income-4Yr'!F4+'All Other E&amp;G-4Yr'!F4</f>
        <v>0</v>
      </c>
      <c r="G4" s="53">
        <f>+'Tuition-4Yr'!G4+'State Appropriations-4Yr'!G4+'Local Appropriations-4Yr'!G4+'Fed Contracts Grnts-4Yr'!G4+'Other Contract Grnts-4Yr'!G4+'Investment Income-4Yr'!G4+'All Other E&amp;G-4Yr'!G4</f>
        <v>0</v>
      </c>
      <c r="H4" s="53">
        <f>+'Tuition-4Yr'!H4+'State Appropriations-4Yr'!H4+'Local Appropriations-4Yr'!H4+'Fed Contracts Grnts-4Yr'!H4+'Other Contract Grnts-4Yr'!H4+'Investment Income-4Yr'!H4+'All Other E&amp;G-4Yr'!H4</f>
        <v>0</v>
      </c>
      <c r="I4" s="53">
        <f>+'Tuition-4Yr'!I4+'State Appropriations-4Yr'!I4+'Local Appropriations-4Yr'!I4+'Fed Contracts Grnts-4Yr'!I4+'Other Contract Grnts-4Yr'!I4+'Investment Income-4Yr'!I4+'All Other E&amp;G-4Yr'!I4</f>
        <v>61124263.238000005</v>
      </c>
      <c r="J4" s="53">
        <f>+'Tuition-4Yr'!J4+'State Appropriations-4Yr'!J4+'Local Appropriations-4Yr'!J4+'Fed Contracts Grnts-4Yr'!J4+'Other Contract Grnts-4Yr'!J4+'Investment Income-4Yr'!J4+'All Other E&amp;G-4Yr'!J4</f>
        <v>63588786.758999996</v>
      </c>
      <c r="K4" s="53">
        <f>+'Tuition-4Yr'!K4+'State Appropriations-4Yr'!K4+'Local Appropriations-4Yr'!K4+'Fed Contracts Grnts-4Yr'!K4+'Other Contract Grnts-4Yr'!K4+'Investment Income-4Yr'!K4+'All Other E&amp;G-4Yr'!K4</f>
        <v>68577157.089333341</v>
      </c>
      <c r="L4" s="53">
        <f>+'Tuition-4Yr'!L4+'State Appropriations-4Yr'!L4+'Local Appropriations-4Yr'!L4+'Fed Contracts Grnts-4Yr'!L4+'Other Contract Grnts-4Yr'!L4+'Investment Income-4Yr'!L4+'All Other E&amp;G-4Yr'!L4</f>
        <v>71199254.301666677</v>
      </c>
      <c r="M4" s="53">
        <f>+'Tuition-4Yr'!M4+'State Appropriations-4Yr'!M4+'Local Appropriations-4Yr'!M4+'Fed Contracts Grnts-4Yr'!M4+'Other Contract Grnts-4Yr'!M4+'Investment Income-4Yr'!M4+'All Other E&amp;G-4Yr'!M4</f>
        <v>73659002.187000006</v>
      </c>
      <c r="N4" s="53">
        <f>+'Tuition-4Yr'!N4+'State Appropriations-4Yr'!N4+'Local Appropriations-4Yr'!N4+'Fed Contracts Grnts-4Yr'!N4+'Other Contract Grnts-4Yr'!N4+'Investment Income-4Yr'!N4+'All Other E&amp;G-4Yr'!N4</f>
        <v>80143217.048749998</v>
      </c>
      <c r="O4" s="53">
        <f>+'Tuition-4Yr'!O4+'State Appropriations-4Yr'!O4+'Local Appropriations-4Yr'!O4+'Fed Contracts Grnts-4Yr'!O4+'Other Contract Grnts-4Yr'!O4+'Investment Income-4Yr'!O4+'All Other E&amp;G-4Yr'!O4</f>
        <v>83891295.351650015</v>
      </c>
      <c r="P4" s="53">
        <f>+'Tuition-4Yr'!P4+'State Appropriations-4Yr'!P4+'Local Appropriations-4Yr'!P4+'Fed Contracts Grnts-4Yr'!P4+'Other Contract Grnts-4Yr'!P4+'Investment Income-4Yr'!P4+'All Other E&amp;G-4Yr'!P4</f>
        <v>0</v>
      </c>
      <c r="Q4" s="53">
        <f>+'Tuition-4Yr'!Q4+'State Appropriations-4Yr'!Q4+'Local Appropriations-4Yr'!Q4+'Fed Contracts Grnts-4Yr'!Q4+'Other Contract Grnts-4Yr'!Q4+'Investment Income-4Yr'!Q4+'All Other E&amp;G-4Yr'!Q4</f>
        <v>0</v>
      </c>
      <c r="R4" s="53">
        <f>+'Tuition-4Yr'!R4+'State Appropriations-4Yr'!R4+'Local Appropriations-4Yr'!R4+'Fed Contracts Grnts-4Yr'!R4+'Other Contract Grnts-4Yr'!R4+'Investment Income-4Yr'!R4+'All Other E&amp;G-4Yr'!R4</f>
        <v>99515081.333000004</v>
      </c>
      <c r="S4" s="53">
        <f>+'Tuition-4Yr'!S4+'State Appropriations-4Yr'!S4+'Local Appropriations-4Yr'!S4+'Fed Contracts Grnts-4Yr'!S4+'Other Contract Grnts-4Yr'!S4+'Investment Income-4Yr'!S4+'All Other E&amp;G-4Yr'!S4</f>
        <v>106654948.51900001</v>
      </c>
      <c r="T4" s="53">
        <f>+'Tuition-4Yr'!T4+'State Appropriations-4Yr'!T4+'Local Appropriations-4Yr'!T4+'Fed Contracts Grnts-4Yr'!T4+'Other Contract Grnts-4Yr'!T4+'Investment Income-4Yr'!T4+'All Other E&amp;G-4Yr'!T4</f>
        <v>112977950.25299999</v>
      </c>
      <c r="U4" s="53">
        <f>+'Tuition-4Yr'!U4+'State Appropriations-4Yr'!U4+'Local Appropriations-4Yr'!U4+'Fed Contracts Grnts-4Yr'!U4+'Other Contract Grnts-4Yr'!U4+'Investment Income-4Yr'!U4+'All Other E&amp;G-4Yr'!U4</f>
        <v>114591805.03700002</v>
      </c>
      <c r="V4" s="53">
        <f>+'Tuition-4Yr'!V4+'State Appropriations-4Yr'!V4+'Local Appropriations-4Yr'!V4+'Fed Contracts Grnts-4Yr'!V4+'Other Contract Grnts-4Yr'!V4+'Investment Income-4Yr'!V4+'All Other E&amp;G-4Yr'!V4</f>
        <v>122312798.13999999</v>
      </c>
      <c r="W4" s="53">
        <f>+'Tuition-4Yr'!W4+'State Appropriations-4Yr'!W4+'Local Appropriations-4Yr'!W4+'Fed Contracts Grnts-4Yr'!W4+'Other Contract Grnts-4Yr'!W4+'Investment Income-4Yr'!W4+'All Other E&amp;G-4Yr'!W4</f>
        <v>139493848.81</v>
      </c>
      <c r="X4" s="53">
        <f>+'Tuition-4Yr'!X4+'State Appropriations-4Yr'!X4+'Local Appropriations-4Yr'!X4+'Fed Contracts Grnts-4Yr'!X4+'Other Contract Grnts-4Yr'!X4+'Investment Income-4Yr'!X4+'All Other E&amp;G-4Yr'!X4</f>
        <v>137849921.28600001</v>
      </c>
      <c r="Y4" s="53">
        <f>+'Tuition-4Yr'!Y4+'State Appropriations-4Yr'!Y4+'Local Appropriations-4Yr'!Y4+'Fed Contracts Grnts-4Yr'!Y4+'Other Contract Grnts-4Yr'!Y4+'Investment Income-4Yr'!Y4+'All Other E&amp;G-4Yr'!Y4</f>
        <v>150844542.5</v>
      </c>
      <c r="Z4" s="53">
        <f>+'Tuition-4Yr'!Z4+'State Appropriations-4Yr'!Z4+'Local Appropriations-4Yr'!Z4+'Fed Contracts Grnts-4Yr'!Z4+'Other Contract Grnts-4Yr'!Z4+'Investment Income-4Yr'!Z4+'All Other E&amp;G-4Yr'!Z4</f>
        <v>152899003.60999998</v>
      </c>
      <c r="AA4" s="53">
        <f>+'Tuition-4Yr'!AA4+'State Appropriations-4Yr'!AA4+'Local Appropriations-4Yr'!AA4+'Fed Contracts Grnts-4Yr'!AA4+'Other Contract Grnts-4Yr'!AA4+'Investment Income-4Yr'!AA4+'All Other E&amp;G-4Yr'!AA4</f>
        <v>143200059.96799999</v>
      </c>
      <c r="AB4" s="53">
        <f>+'Tuition-4Yr'!AB4+'State Appropriations-4Yr'!AB4+'Local Appropriations-4Yr'!AB4+'Fed Contracts Grnts-4Yr'!AB4+'Other Contract Grnts-4Yr'!AB4+'Investment Income-4Yr'!AB4+'All Other E&amp;G-4Yr'!AB4</f>
        <v>182093018.59599999</v>
      </c>
      <c r="AC4" s="53">
        <f>+'Tuition-4Yr'!AC4+'State Appropriations-4Yr'!AC4+'Local Appropriations-4Yr'!AC4+'Fed Contracts Grnts-4Yr'!AC4+'Other Contract Grnts-4Yr'!AC4+'Investment Income-4Yr'!AC4+'All Other E&amp;G-4Yr'!AC4</f>
        <v>195153290</v>
      </c>
      <c r="AD4" s="53">
        <f>+'Tuition-4Yr'!AD4+'State Appropriations-4Yr'!AD4+'Local Appropriations-4Yr'!AD4+'Fed Contracts Grnts-4Yr'!AD4+'Other Contract Grnts-4Yr'!AD4+'Investment Income-4Yr'!AD4+'All Other E&amp;G-4Yr'!AD4</f>
        <v>190280613.91500002</v>
      </c>
      <c r="AE4" s="53">
        <f>+'Tuition-4Yr'!AE4+'State Appropriations-4Yr'!AE4+'Local Appropriations-4Yr'!AE4+'Fed Contracts Grnts-4Yr'!AE4+'Other Contract Grnts-4Yr'!AE4+'Investment Income-4Yr'!AE4+'All Other E&amp;G-4Yr'!AE4</f>
        <v>198123156.64699998</v>
      </c>
      <c r="AF4" s="53">
        <f>+'Tuition-4Yr'!AF4+'State Appropriations-4Yr'!AF4+'Local Appropriations-4Yr'!AF4+'Fed Contracts Grnts-4Yr'!AF4+'Other Contract Grnts-4Yr'!AF4+'Investment Income-4Yr'!AF4+'All Other E&amp;G-4Yr'!AF4</f>
        <v>196789007.39000002</v>
      </c>
      <c r="AG4" s="53">
        <f>+'Tuition-4Yr'!AG4+'State Appropriations-4Yr'!AG4+'Local Appropriations-4Yr'!AG4+'Fed Contracts Grnts-4Yr'!AG4+'Other Contract Grnts-4Yr'!AG4+'Investment Income-4Yr'!AG4+'All Other E&amp;G-4Yr'!AG4</f>
        <v>207048822.30000001</v>
      </c>
      <c r="AH4" s="53">
        <f>+'Tuition-4Yr'!AH4+'State Appropriations-4Yr'!AH4+'Local Appropriations-4Yr'!AH4+'Fed Contracts Grnts-4Yr'!AH4+'Other Contract Grnts-4Yr'!AH4+'Investment Income-4Yr'!AH4+'All Other E&amp;G-4Yr'!AH4</f>
        <v>219388288.947</v>
      </c>
      <c r="AI4" s="53">
        <f>+'Tuition-4Yr'!AI4+'State Appropriations-4Yr'!AI4+'Local Appropriations-4Yr'!AI4+'Fed Contracts Grnts-4Yr'!AI4+'Other Contract Grnts-4Yr'!AI4+'Investment Income-4Yr'!AI4+'All Other E&amp;G-4Yr'!AI4</f>
        <v>234085208.87900001</v>
      </c>
      <c r="AJ4" s="53">
        <f>+'Tuition-4Yr'!AJ4+'State Appropriations-4Yr'!AJ4+'Local Appropriations-4Yr'!AJ4+'Fed Contracts Grnts-4Yr'!AJ4+'Other Contract Grnts-4Yr'!AJ4+'Investment Income-4Yr'!AJ4+'All Other E&amp;G-4Yr'!AJ4</f>
        <v>0</v>
      </c>
      <c r="AK4" s="53">
        <f>+'Tuition-4Yr'!AK4+'State Appropriations-4Yr'!AK4+'Local Appropriations-4Yr'!AK4+'Fed Contracts Grnts-4Yr'!AK4+'Other Contract Grnts-4Yr'!AK4+'Investment Income-4Yr'!AK4+'All Other E&amp;G-4Yr'!AK4</f>
        <v>265149636.50599995</v>
      </c>
      <c r="AL4" s="53">
        <f>+'Tuition-4Yr'!AL4+'State Appropriations-4Yr'!AL4+'Local Appropriations-4Yr'!AL4+'Fed Contracts Grnts-4Yr'!AL4+'Other Contract Grnts-4Yr'!AL4+'Investment Income-4Yr'!AL4+'All Other E&amp;G-4Yr'!AL4</f>
        <v>13864501047.42</v>
      </c>
    </row>
    <row r="5" spans="1:38" ht="12.75" customHeight="1">
      <c r="A5" s="1" t="s">
        <v>21</v>
      </c>
      <c r="B5" s="51">
        <f>+'Tuition-4Yr'!B5+'State Appropriations-4Yr'!B5+'Local Appropriations-4Yr'!B5+'Fed Contracts Grnts-4Yr'!B5+'Other Contract Grnts-4Yr'!B5+'Investment Income-4Yr'!B5+'All Other E&amp;G-4Yr'!B5</f>
        <v>3290568</v>
      </c>
      <c r="C5" s="51">
        <f>+'Tuition-4Yr'!C5+'State Appropriations-4Yr'!C5+'Local Appropriations-4Yr'!C5+'Fed Contracts Grnts-4Yr'!C5+'Other Contract Grnts-4Yr'!C5+'Investment Income-4Yr'!C5+'All Other E&amp;G-4Yr'!C5</f>
        <v>3687757</v>
      </c>
      <c r="D5" s="51">
        <f>+'Tuition-4Yr'!D5+'State Appropriations-4Yr'!D5+'Local Appropriations-4Yr'!D5+'Fed Contracts Grnts-4Yr'!D5+'Other Contract Grnts-4Yr'!D5+'Investment Income-4Yr'!D5+'All Other E&amp;G-4Yr'!D5</f>
        <v>4292063</v>
      </c>
      <c r="E5" s="51">
        <f>+'Tuition-4Yr'!E5+'State Appropriations-4Yr'!E5+'Local Appropriations-4Yr'!E5+'Fed Contracts Grnts-4Yr'!E5+'Other Contract Grnts-4Yr'!E5+'Investment Income-4Yr'!E5+'All Other E&amp;G-4Yr'!E5</f>
        <v>0</v>
      </c>
      <c r="F5" s="51">
        <f>+'Tuition-4Yr'!F5+'State Appropriations-4Yr'!F5+'Local Appropriations-4Yr'!F5+'Fed Contracts Grnts-4Yr'!F5+'Other Contract Grnts-4Yr'!F5+'Investment Income-4Yr'!F5+'All Other E&amp;G-4Yr'!F5</f>
        <v>0</v>
      </c>
      <c r="G5" s="51">
        <f>+'Tuition-4Yr'!G5+'State Appropriations-4Yr'!G5+'Local Appropriations-4Yr'!G5+'Fed Contracts Grnts-4Yr'!G5+'Other Contract Grnts-4Yr'!G5+'Investment Income-4Yr'!G5+'All Other E&amp;G-4Yr'!G5</f>
        <v>0</v>
      </c>
      <c r="H5" s="51">
        <f>+'Tuition-4Yr'!H5+'State Appropriations-4Yr'!H5+'Local Appropriations-4Yr'!H5+'Fed Contracts Grnts-4Yr'!H5+'Other Contract Grnts-4Yr'!H5+'Investment Income-4Yr'!H5+'All Other E&amp;G-4Yr'!H5</f>
        <v>0</v>
      </c>
      <c r="I5" s="51">
        <f>+'Tuition-4Yr'!I5+'State Appropriations-4Yr'!I5+'Local Appropriations-4Yr'!I5+'Fed Contracts Grnts-4Yr'!I5+'Other Contract Grnts-4Yr'!I5+'Investment Income-4Yr'!I5+'All Other E&amp;G-4Yr'!I5</f>
        <v>6711637.1349999998</v>
      </c>
      <c r="J5" s="51">
        <f>+'Tuition-4Yr'!J5+'State Appropriations-4Yr'!J5+'Local Appropriations-4Yr'!J5+'Fed Contracts Grnts-4Yr'!J5+'Other Contract Grnts-4Yr'!J5+'Investment Income-4Yr'!J5+'All Other E&amp;G-4Yr'!J5</f>
        <v>21460234.850000001</v>
      </c>
      <c r="K5" s="51">
        <f>+'Tuition-4Yr'!K5+'State Appropriations-4Yr'!K5+'Local Appropriations-4Yr'!K5+'Fed Contracts Grnts-4Yr'!K5+'Other Contract Grnts-4Yr'!K5+'Investment Income-4Yr'!K5+'All Other E&amp;G-4Yr'!K5</f>
        <v>4557524.8639999991</v>
      </c>
      <c r="L5" s="51">
        <f>+'Tuition-4Yr'!L5+'State Appropriations-4Yr'!L5+'Local Appropriations-4Yr'!L5+'Fed Contracts Grnts-4Yr'!L5+'Other Contract Grnts-4Yr'!L5+'Investment Income-4Yr'!L5+'All Other E&amp;G-4Yr'!L5</f>
        <v>4809146.3910000008</v>
      </c>
      <c r="M5" s="51">
        <f>+'Tuition-4Yr'!M5+'State Appropriations-4Yr'!M5+'Local Appropriations-4Yr'!M5+'Fed Contracts Grnts-4Yr'!M5+'Other Contract Grnts-4Yr'!M5+'Investment Income-4Yr'!M5+'All Other E&amp;G-4Yr'!M5</f>
        <v>25820167.825000003</v>
      </c>
      <c r="N5" s="51">
        <f>+'Tuition-4Yr'!N5+'State Appropriations-4Yr'!N5+'Local Appropriations-4Yr'!N5+'Fed Contracts Grnts-4Yr'!N5+'Other Contract Grnts-4Yr'!N5+'Investment Income-4Yr'!N5+'All Other E&amp;G-4Yr'!N5</f>
        <v>9814790.7653000001</v>
      </c>
      <c r="O5" s="51">
        <f>+'Tuition-4Yr'!O5+'State Appropriations-4Yr'!O5+'Local Appropriations-4Yr'!O5+'Fed Contracts Grnts-4Yr'!O5+'Other Contract Grnts-4Yr'!O5+'Investment Income-4Yr'!O5+'All Other E&amp;G-4Yr'!O5</f>
        <v>29436641.079719998</v>
      </c>
      <c r="P5" s="51">
        <f>+'Tuition-4Yr'!P5+'State Appropriations-4Yr'!P5+'Local Appropriations-4Yr'!P5+'Fed Contracts Grnts-4Yr'!P5+'Other Contract Grnts-4Yr'!P5+'Investment Income-4Yr'!P5+'All Other E&amp;G-4Yr'!P5</f>
        <v>0</v>
      </c>
      <c r="Q5" s="51">
        <f>+'Tuition-4Yr'!Q5+'State Appropriations-4Yr'!Q5+'Local Appropriations-4Yr'!Q5+'Fed Contracts Grnts-4Yr'!Q5+'Other Contract Grnts-4Yr'!Q5+'Investment Income-4Yr'!Q5+'All Other E&amp;G-4Yr'!Q5</f>
        <v>0</v>
      </c>
      <c r="R5" s="51">
        <f>+'Tuition-4Yr'!R5+'State Appropriations-4Yr'!R5+'Local Appropriations-4Yr'!R5+'Fed Contracts Grnts-4Yr'!R5+'Other Contract Grnts-4Yr'!R5+'Investment Income-4Yr'!R5+'All Other E&amp;G-4Yr'!R5</f>
        <v>35871104.201999992</v>
      </c>
      <c r="S5" s="51">
        <f>+'Tuition-4Yr'!S5+'State Appropriations-4Yr'!S5+'Local Appropriations-4Yr'!S5+'Fed Contracts Grnts-4Yr'!S5+'Other Contract Grnts-4Yr'!S5+'Investment Income-4Yr'!S5+'All Other E&amp;G-4Yr'!S5</f>
        <v>38660823.399999999</v>
      </c>
      <c r="T5" s="51">
        <f>+'Tuition-4Yr'!T5+'State Appropriations-4Yr'!T5+'Local Appropriations-4Yr'!T5+'Fed Contracts Grnts-4Yr'!T5+'Other Contract Grnts-4Yr'!T5+'Investment Income-4Yr'!T5+'All Other E&amp;G-4Yr'!T5</f>
        <v>42549084.354999997</v>
      </c>
      <c r="U5" s="51">
        <f>+'Tuition-4Yr'!U5+'State Appropriations-4Yr'!U5+'Local Appropriations-4Yr'!U5+'Fed Contracts Grnts-4Yr'!U5+'Other Contract Grnts-4Yr'!U5+'Investment Income-4Yr'!U5+'All Other E&amp;G-4Yr'!U5</f>
        <v>44602086.175000004</v>
      </c>
      <c r="V5" s="51">
        <f>+'Tuition-4Yr'!V5+'State Appropriations-4Yr'!V5+'Local Appropriations-4Yr'!V5+'Fed Contracts Grnts-4Yr'!V5+'Other Contract Grnts-4Yr'!V5+'Investment Income-4Yr'!V5+'All Other E&amp;G-4Yr'!V5</f>
        <v>46982833.590999998</v>
      </c>
      <c r="W5" s="51">
        <f>+'Tuition-4Yr'!W5+'State Appropriations-4Yr'!W5+'Local Appropriations-4Yr'!W5+'Fed Contracts Grnts-4Yr'!W5+'Other Contract Grnts-4Yr'!W5+'Investment Income-4Yr'!W5+'All Other E&amp;G-4Yr'!W5</f>
        <v>53529049.072999999</v>
      </c>
      <c r="X5" s="51">
        <f>+'Tuition-4Yr'!X5+'State Appropriations-4Yr'!X5+'Local Appropriations-4Yr'!X5+'Fed Contracts Grnts-4Yr'!X5+'Other Contract Grnts-4Yr'!X5+'Investment Income-4Yr'!X5+'All Other E&amp;G-4Yr'!X5</f>
        <v>52821745.122999996</v>
      </c>
      <c r="Y5" s="51">
        <f>+'Tuition-4Yr'!Y5+'State Appropriations-4Yr'!Y5+'Local Appropriations-4Yr'!Y5+'Fed Contracts Grnts-4Yr'!Y5+'Other Contract Grnts-4Yr'!Y5+'Investment Income-4Yr'!Y5+'All Other E&amp;G-4Yr'!Y5</f>
        <v>58436087.300999999</v>
      </c>
      <c r="Z5" s="51">
        <f>+'Tuition-4Yr'!Z5+'State Appropriations-4Yr'!Z5+'Local Appropriations-4Yr'!Z5+'Fed Contracts Grnts-4Yr'!Z5+'Other Contract Grnts-4Yr'!Z5+'Investment Income-4Yr'!Z5+'All Other E&amp;G-4Yr'!Z5</f>
        <v>59215181.116999991</v>
      </c>
      <c r="AA5" s="51">
        <f>+'Tuition-4Yr'!AA5+'State Appropriations-4Yr'!AA5+'Local Appropriations-4Yr'!AA5+'Fed Contracts Grnts-4Yr'!AA5+'Other Contract Grnts-4Yr'!AA5+'Investment Income-4Yr'!AA5+'All Other E&amp;G-4Yr'!AA5</f>
        <v>52737149.608000003</v>
      </c>
      <c r="AB5" s="51">
        <f>+'Tuition-4Yr'!AB5+'State Appropriations-4Yr'!AB5+'Local Appropriations-4Yr'!AB5+'Fed Contracts Grnts-4Yr'!AB5+'Other Contract Grnts-4Yr'!AB5+'Investment Income-4Yr'!AB5+'All Other E&amp;G-4Yr'!AB5</f>
        <v>70424389.827000007</v>
      </c>
      <c r="AC5" s="51">
        <f>+'Tuition-4Yr'!AC5+'State Appropriations-4Yr'!AC5+'Local Appropriations-4Yr'!AC5+'Fed Contracts Grnts-4Yr'!AC5+'Other Contract Grnts-4Yr'!AC5+'Investment Income-4Yr'!AC5+'All Other E&amp;G-4Yr'!AC5</f>
        <v>74839050</v>
      </c>
      <c r="AD5" s="51">
        <f>+'Tuition-4Yr'!AD5+'State Appropriations-4Yr'!AD5+'Local Appropriations-4Yr'!AD5+'Fed Contracts Grnts-4Yr'!AD5+'Other Contract Grnts-4Yr'!AD5+'Investment Income-4Yr'!AD5+'All Other E&amp;G-4Yr'!AD5</f>
        <v>72649371.400000006</v>
      </c>
      <c r="AE5" s="51">
        <f>+'Tuition-4Yr'!AE5+'State Appropriations-4Yr'!AE5+'Local Appropriations-4Yr'!AE5+'Fed Contracts Grnts-4Yr'!AE5+'Other Contract Grnts-4Yr'!AE5+'Investment Income-4Yr'!AE5+'All Other E&amp;G-4Yr'!AE5</f>
        <v>70822207.221000001</v>
      </c>
      <c r="AF5" s="51">
        <f>+'Tuition-4Yr'!AF5+'State Appropriations-4Yr'!AF5+'Local Appropriations-4Yr'!AF5+'Fed Contracts Grnts-4Yr'!AF5+'Other Contract Grnts-4Yr'!AF5+'Investment Income-4Yr'!AF5+'All Other E&amp;G-4Yr'!AF5</f>
        <v>73120829.450000003</v>
      </c>
      <c r="AG5" s="51">
        <f>+'Tuition-4Yr'!AG5+'State Appropriations-4Yr'!AG5+'Local Appropriations-4Yr'!AG5+'Fed Contracts Grnts-4Yr'!AG5+'Other Contract Grnts-4Yr'!AG5+'Investment Income-4Yr'!AG5+'All Other E&amp;G-4Yr'!AG5</f>
        <v>76230825.023999989</v>
      </c>
      <c r="AH5" s="51">
        <f>+'Tuition-4Yr'!AH5+'State Appropriations-4Yr'!AH5+'Local Appropriations-4Yr'!AH5+'Fed Contracts Grnts-4Yr'!AH5+'Other Contract Grnts-4Yr'!AH5+'Investment Income-4Yr'!AH5+'All Other E&amp;G-4Yr'!AH5</f>
        <v>84460606.266000003</v>
      </c>
      <c r="AI5" s="51">
        <f>+'Tuition-4Yr'!AI5+'State Appropriations-4Yr'!AI5+'Local Appropriations-4Yr'!AI5+'Fed Contracts Grnts-4Yr'!AI5+'Other Contract Grnts-4Yr'!AI5+'Investment Income-4Yr'!AI5+'All Other E&amp;G-4Yr'!AI5</f>
        <v>90248048.768000022</v>
      </c>
      <c r="AJ5" s="51">
        <f>+'Tuition-4Yr'!AJ5+'State Appropriations-4Yr'!AJ5+'Local Appropriations-4Yr'!AJ5+'Fed Contracts Grnts-4Yr'!AJ5+'Other Contract Grnts-4Yr'!AJ5+'Investment Income-4Yr'!AJ5+'All Other E&amp;G-4Yr'!AJ5</f>
        <v>0</v>
      </c>
      <c r="AK5" s="51">
        <f>+'Tuition-4Yr'!AK5+'State Appropriations-4Yr'!AK5+'Local Appropriations-4Yr'!AK5+'Fed Contracts Grnts-4Yr'!AK5+'Other Contract Grnts-4Yr'!AK5+'Investment Income-4Yr'!AK5+'All Other E&amp;G-4Yr'!AK5</f>
        <v>103402352.086</v>
      </c>
      <c r="AL5" s="51">
        <f>+'Tuition-4Yr'!AL5+'State Appropriations-4Yr'!AL5+'Local Appropriations-4Yr'!AL5+'Fed Contracts Grnts-4Yr'!AL5+'Other Contract Grnts-4Yr'!AL5+'Investment Income-4Yr'!AL5+'All Other E&amp;G-4Yr'!AL5</f>
        <v>102667129.428</v>
      </c>
    </row>
    <row r="6" spans="1:38" ht="12.75" customHeight="1">
      <c r="A6" s="6" t="s">
        <v>94</v>
      </c>
      <c r="B6" s="51">
        <f>+'Tuition-4Yr'!B6+'State Appropriations-4Yr'!B6+'Local Appropriations-4Yr'!B6+'Fed Contracts Grnts-4Yr'!B6+'Other Contract Grnts-4Yr'!B6+'Investment Income-4Yr'!B6+'All Other E&amp;G-4Yr'!B6</f>
        <v>0</v>
      </c>
      <c r="C6" s="51">
        <f>+'Tuition-4Yr'!C6+'State Appropriations-4Yr'!C6+'Local Appropriations-4Yr'!C6+'Fed Contracts Grnts-4Yr'!C6+'Other Contract Grnts-4Yr'!C6+'Investment Income-4Yr'!C6+'All Other E&amp;G-4Yr'!C6</f>
        <v>0</v>
      </c>
      <c r="D6" s="51">
        <f>+'Tuition-4Yr'!D6+'State Appropriations-4Yr'!D6+'Local Appropriations-4Yr'!D6+'Fed Contracts Grnts-4Yr'!D6+'Other Contract Grnts-4Yr'!D6+'Investment Income-4Yr'!D6+'All Other E&amp;G-4Yr'!D6</f>
        <v>0</v>
      </c>
      <c r="E6" s="51">
        <f>+'Tuition-4Yr'!E6+'State Appropriations-4Yr'!E6+'Local Appropriations-4Yr'!E6+'Fed Contracts Grnts-4Yr'!E6+'Other Contract Grnts-4Yr'!E6+'Investment Income-4Yr'!E6+'All Other E&amp;G-4Yr'!E6</f>
        <v>0</v>
      </c>
      <c r="F6" s="51">
        <f>+'Tuition-4Yr'!F6+'State Appropriations-4Yr'!F6+'Local Appropriations-4Yr'!F6+'Fed Contracts Grnts-4Yr'!F6+'Other Contract Grnts-4Yr'!F6+'Investment Income-4Yr'!F6+'All Other E&amp;G-4Yr'!F6</f>
        <v>0</v>
      </c>
      <c r="G6" s="51">
        <f>+'Tuition-4Yr'!G6+'State Appropriations-4Yr'!G6+'Local Appropriations-4Yr'!G6+'Fed Contracts Grnts-4Yr'!G6+'Other Contract Grnts-4Yr'!G6+'Investment Income-4Yr'!G6+'All Other E&amp;G-4Yr'!G6</f>
        <v>0</v>
      </c>
      <c r="H6" s="51">
        <f>+'Tuition-4Yr'!H6+'State Appropriations-4Yr'!H6+'Local Appropriations-4Yr'!H6+'Fed Contracts Grnts-4Yr'!H6+'Other Contract Grnts-4Yr'!H6+'Investment Income-4Yr'!H6+'All Other E&amp;G-4Yr'!H6</f>
        <v>0</v>
      </c>
      <c r="I6" s="51">
        <f>+'Tuition-4Yr'!I6+'State Appropriations-4Yr'!I6+'Local Appropriations-4Yr'!I6+'Fed Contracts Grnts-4Yr'!I6+'Other Contract Grnts-4Yr'!I6+'Investment Income-4Yr'!I6+'All Other E&amp;G-4Yr'!I6</f>
        <v>0</v>
      </c>
      <c r="J6" s="51">
        <f>+'Tuition-4Yr'!J6+'State Appropriations-4Yr'!J6+'Local Appropriations-4Yr'!J6+'Fed Contracts Grnts-4Yr'!J6+'Other Contract Grnts-4Yr'!J6+'Investment Income-4Yr'!J6+'All Other E&amp;G-4Yr'!J6</f>
        <v>0</v>
      </c>
      <c r="K6" s="51">
        <f>+'Tuition-4Yr'!K6+'State Appropriations-4Yr'!K6+'Local Appropriations-4Yr'!K6+'Fed Contracts Grnts-4Yr'!K6+'Other Contract Grnts-4Yr'!K6+'Investment Income-4Yr'!K6+'All Other E&amp;G-4Yr'!K6</f>
        <v>0</v>
      </c>
      <c r="L6" s="51">
        <f>+'Tuition-4Yr'!L6+'State Appropriations-4Yr'!L6+'Local Appropriations-4Yr'!L6+'Fed Contracts Grnts-4Yr'!L6+'Other Contract Grnts-4Yr'!L6+'Investment Income-4Yr'!L6+'All Other E&amp;G-4Yr'!L6</f>
        <v>0</v>
      </c>
      <c r="M6" s="51">
        <f>+'Tuition-4Yr'!M6+'State Appropriations-4Yr'!M6+'Local Appropriations-4Yr'!M6+'Fed Contracts Grnts-4Yr'!M6+'Other Contract Grnts-4Yr'!M6+'Investment Income-4Yr'!M6+'All Other E&amp;G-4Yr'!M6</f>
        <v>0</v>
      </c>
      <c r="N6" s="51">
        <f>+'Tuition-4Yr'!N6+'State Appropriations-4Yr'!N6+'Local Appropriations-4Yr'!N6+'Fed Contracts Grnts-4Yr'!N6+'Other Contract Grnts-4Yr'!N6+'Investment Income-4Yr'!N6+'All Other E&amp;G-4Yr'!N6</f>
        <v>0</v>
      </c>
      <c r="O6" s="51">
        <f>+'Tuition-4Yr'!O6+'State Appropriations-4Yr'!O6+'Local Appropriations-4Yr'!O6+'Fed Contracts Grnts-4Yr'!O6+'Other Contract Grnts-4Yr'!O6+'Investment Income-4Yr'!O6+'All Other E&amp;G-4Yr'!O6</f>
        <v>0</v>
      </c>
      <c r="P6" s="51">
        <f>+'Tuition-4Yr'!P6+'State Appropriations-4Yr'!P6+'Local Appropriations-4Yr'!P6+'Fed Contracts Grnts-4Yr'!P6+'Other Contract Grnts-4Yr'!P6+'Investment Income-4Yr'!P6+'All Other E&amp;G-4Yr'!P6</f>
        <v>0</v>
      </c>
      <c r="Q6" s="51">
        <f>+'Tuition-4Yr'!Q6+'State Appropriations-4Yr'!Q6+'Local Appropriations-4Yr'!Q6+'Fed Contracts Grnts-4Yr'!Q6+'Other Contract Grnts-4Yr'!Q6+'Investment Income-4Yr'!Q6+'All Other E&amp;G-4Yr'!Q6</f>
        <v>0</v>
      </c>
      <c r="R6" s="51">
        <f>+'Tuition-4Yr'!R6+'State Appropriations-4Yr'!R6+'Local Appropriations-4Yr'!R6+'Fed Contracts Grnts-4Yr'!R6+'Other Contract Grnts-4Yr'!R6+'Investment Income-4Yr'!R6+'All Other E&amp;G-4Yr'!R6</f>
        <v>0</v>
      </c>
      <c r="S6" s="51">
        <f>+'Tuition-4Yr'!S6+'State Appropriations-4Yr'!S6+'Local Appropriations-4Yr'!S6+'Fed Contracts Grnts-4Yr'!S6+'Other Contract Grnts-4Yr'!S6+'Investment Income-4Yr'!S6+'All Other E&amp;G-4Yr'!S6</f>
        <v>0</v>
      </c>
      <c r="T6" s="51">
        <f>+'Tuition-4Yr'!T6+'State Appropriations-4Yr'!T6+'Local Appropriations-4Yr'!T6+'Fed Contracts Grnts-4Yr'!T6+'Other Contract Grnts-4Yr'!T6+'Investment Income-4Yr'!T6+'All Other E&amp;G-4Yr'!T6</f>
        <v>0</v>
      </c>
      <c r="U6" s="51">
        <f>+'Tuition-4Yr'!U6+'State Appropriations-4Yr'!U6+'Local Appropriations-4Yr'!U6+'Fed Contracts Grnts-4Yr'!U6+'Other Contract Grnts-4Yr'!U6+'Investment Income-4Yr'!U6+'All Other E&amp;G-4Yr'!U6</f>
        <v>0</v>
      </c>
      <c r="V6" s="51">
        <f>+'Tuition-4Yr'!V6+'State Appropriations-4Yr'!V6+'Local Appropriations-4Yr'!V6+'Fed Contracts Grnts-4Yr'!V6+'Other Contract Grnts-4Yr'!V6+'Investment Income-4Yr'!V6+'All Other E&amp;G-4Yr'!V6</f>
        <v>0</v>
      </c>
      <c r="W6" s="51">
        <f>+'Tuition-4Yr'!W6+'State Appropriations-4Yr'!W6+'Local Appropriations-4Yr'!W6+'Fed Contracts Grnts-4Yr'!W6+'Other Contract Grnts-4Yr'!W6+'Investment Income-4Yr'!W6+'All Other E&amp;G-4Yr'!W6</f>
        <v>0</v>
      </c>
      <c r="X6" s="51">
        <f>+'Tuition-4Yr'!X6+'State Appropriations-4Yr'!X6+'Local Appropriations-4Yr'!X6+'Fed Contracts Grnts-4Yr'!X6+'Other Contract Grnts-4Yr'!X6+'Investment Income-4Yr'!X6+'All Other E&amp;G-4Yr'!X6</f>
        <v>0</v>
      </c>
      <c r="Y6" s="51">
        <f>+'Tuition-4Yr'!Y6+'State Appropriations-4Yr'!Y6+'Local Appropriations-4Yr'!Y6+'Fed Contracts Grnts-4Yr'!Y6+'Other Contract Grnts-4Yr'!Y6+'Investment Income-4Yr'!Y6+'All Other E&amp;G-4Yr'!Y6</f>
        <v>0</v>
      </c>
      <c r="Z6" s="51">
        <f>+'Tuition-4Yr'!Z6+'State Appropriations-4Yr'!Z6+'Local Appropriations-4Yr'!Z6+'Fed Contracts Grnts-4Yr'!Z6+'Other Contract Grnts-4Yr'!Z6+'Investment Income-4Yr'!Z6+'All Other E&amp;G-4Yr'!Z6</f>
        <v>0</v>
      </c>
      <c r="AA6" s="51">
        <f>+'Tuition-4Yr'!AA6+'State Appropriations-4Yr'!AA6+'Local Appropriations-4Yr'!AA6+'Fed Contracts Grnts-4Yr'!AA6+'Other Contract Grnts-4Yr'!AA6+'Investment Income-4Yr'!AA6+'All Other E&amp;G-4Yr'!AA6</f>
        <v>0</v>
      </c>
      <c r="AB6" s="51">
        <f>+'Tuition-4Yr'!AB6+'State Appropriations-4Yr'!AB6+'Local Appropriations-4Yr'!AB6+'Fed Contracts Grnts-4Yr'!AB6+'Other Contract Grnts-4Yr'!AB6+'Investment Income-4Yr'!AB6+'All Other E&amp;G-4Yr'!AB6</f>
        <v>0</v>
      </c>
      <c r="AC6" s="51">
        <f>+'Tuition-4Yr'!AC6+'State Appropriations-4Yr'!AC6+'Local Appropriations-4Yr'!AC6+'Fed Contracts Grnts-4Yr'!AC6+'Other Contract Grnts-4Yr'!AC6+'Investment Income-4Yr'!AC6+'All Other E&amp;G-4Yr'!AC6</f>
        <v>0</v>
      </c>
      <c r="AD6" s="51">
        <f>+'Tuition-4Yr'!AD6+'State Appropriations-4Yr'!AD6+'Local Appropriations-4Yr'!AD6+'Fed Contracts Grnts-4Yr'!AD6+'Other Contract Grnts-4Yr'!AD6+'Investment Income-4Yr'!AD6+'All Other E&amp;G-4Yr'!AD6</f>
        <v>0</v>
      </c>
      <c r="AE6" s="51">
        <f>+'Tuition-4Yr'!AE6+'State Appropriations-4Yr'!AE6+'Local Appropriations-4Yr'!AE6+'Fed Contracts Grnts-4Yr'!AE6+'Other Contract Grnts-4Yr'!AE6+'Investment Income-4Yr'!AE6+'All Other E&amp;G-4Yr'!AE6</f>
        <v>0</v>
      </c>
      <c r="AF6" s="51">
        <f>+'Tuition-4Yr'!AF6+'State Appropriations-4Yr'!AF6+'Local Appropriations-4Yr'!AF6+'Fed Contracts Grnts-4Yr'!AF6+'Other Contract Grnts-4Yr'!AF6+'Investment Income-4Yr'!AF6+'All Other E&amp;G-4Yr'!AF6</f>
        <v>0</v>
      </c>
      <c r="AG6" s="51">
        <f>+'Tuition-4Yr'!AG6+'State Appropriations-4Yr'!AG6+'Local Appropriations-4Yr'!AG6+'Fed Contracts Grnts-4Yr'!AG6+'Other Contract Grnts-4Yr'!AG6+'Investment Income-4Yr'!AG6+'All Other E&amp;G-4Yr'!AG6</f>
        <v>0</v>
      </c>
      <c r="AH6" s="51">
        <f>+'Tuition-4Yr'!AH6+'State Appropriations-4Yr'!AH6+'Local Appropriations-4Yr'!AH6+'Fed Contracts Grnts-4Yr'!AH6+'Other Contract Grnts-4Yr'!AH6+'Investment Income-4Yr'!AH6+'All Other E&amp;G-4Yr'!AH6</f>
        <v>0</v>
      </c>
      <c r="AI6" s="51">
        <f>+'Tuition-4Yr'!AI6+'State Appropriations-4Yr'!AI6+'Local Appropriations-4Yr'!AI6+'Fed Contracts Grnts-4Yr'!AI6+'Other Contract Grnts-4Yr'!AI6+'Investment Income-4Yr'!AI6+'All Other E&amp;G-4Yr'!AI6</f>
        <v>0</v>
      </c>
      <c r="AJ6" s="51">
        <f>+'Tuition-4Yr'!AJ6+'State Appropriations-4Yr'!AJ6+'Local Appropriations-4Yr'!AJ6+'Fed Contracts Grnts-4Yr'!AJ6+'Other Contract Grnts-4Yr'!AJ6+'Investment Income-4Yr'!AJ6+'All Other E&amp;G-4Yr'!AJ6</f>
        <v>0</v>
      </c>
      <c r="AK6" s="51">
        <f>+'Tuition-4Yr'!AK6+'State Appropriations-4Yr'!AK6+'Local Appropriations-4Yr'!AK6+'Fed Contracts Grnts-4Yr'!AK6+'Other Contract Grnts-4Yr'!AK6+'Investment Income-4Yr'!AK6+'All Other E&amp;G-4Yr'!AK6</f>
        <v>0</v>
      </c>
      <c r="AL6" s="51">
        <f>+'Tuition-4Yr'!AL6+'State Appropriations-4Yr'!AL6+'Local Appropriations-4Yr'!AL6+'Fed Contracts Grnts-4Yr'!AL6+'Other Contract Grnts-4Yr'!AL6+'Investment Income-4Yr'!AL6+'All Other E&amp;G-4Yr'!AL6</f>
        <v>0</v>
      </c>
    </row>
    <row r="7" spans="1:38" ht="12.75" customHeight="1">
      <c r="A7" s="1" t="s">
        <v>22</v>
      </c>
      <c r="B7" s="51">
        <f>+'Tuition-4Yr'!B7+'State Appropriations-4Yr'!B7+'Local Appropriations-4Yr'!B7+'Fed Contracts Grnts-4Yr'!B7+'Other Contract Grnts-4Yr'!B7+'Investment Income-4Yr'!B7+'All Other E&amp;G-4Yr'!B7</f>
        <v>700371</v>
      </c>
      <c r="C7" s="51">
        <f>+'Tuition-4Yr'!C7+'State Appropriations-4Yr'!C7+'Local Appropriations-4Yr'!C7+'Fed Contracts Grnts-4Yr'!C7+'Other Contract Grnts-4Yr'!C7+'Investment Income-4Yr'!C7+'All Other E&amp;G-4Yr'!C7</f>
        <v>815130</v>
      </c>
      <c r="D7" s="51">
        <f>+'Tuition-4Yr'!D7+'State Appropriations-4Yr'!D7+'Local Appropriations-4Yr'!D7+'Fed Contracts Grnts-4Yr'!D7+'Other Contract Grnts-4Yr'!D7+'Investment Income-4Yr'!D7+'All Other E&amp;G-4Yr'!D7</f>
        <v>911502</v>
      </c>
      <c r="E7" s="51">
        <f>+'Tuition-4Yr'!E7+'State Appropriations-4Yr'!E7+'Local Appropriations-4Yr'!E7+'Fed Contracts Grnts-4Yr'!E7+'Other Contract Grnts-4Yr'!E7+'Investment Income-4Yr'!E7+'All Other E&amp;G-4Yr'!E7</f>
        <v>0</v>
      </c>
      <c r="F7" s="51">
        <f>+'Tuition-4Yr'!F7+'State Appropriations-4Yr'!F7+'Local Appropriations-4Yr'!F7+'Fed Contracts Grnts-4Yr'!F7+'Other Contract Grnts-4Yr'!F7+'Investment Income-4Yr'!F7+'All Other E&amp;G-4Yr'!F7</f>
        <v>0</v>
      </c>
      <c r="G7" s="51">
        <f>+'Tuition-4Yr'!G7+'State Appropriations-4Yr'!G7+'Local Appropriations-4Yr'!G7+'Fed Contracts Grnts-4Yr'!G7+'Other Contract Grnts-4Yr'!G7+'Investment Income-4Yr'!G7+'All Other E&amp;G-4Yr'!G7</f>
        <v>0</v>
      </c>
      <c r="H7" s="51">
        <f>+'Tuition-4Yr'!H7+'State Appropriations-4Yr'!H7+'Local Appropriations-4Yr'!H7+'Fed Contracts Grnts-4Yr'!H7+'Other Contract Grnts-4Yr'!H7+'Investment Income-4Yr'!H7+'All Other E&amp;G-4Yr'!H7</f>
        <v>0</v>
      </c>
      <c r="I7" s="51">
        <f>+'Tuition-4Yr'!I7+'State Appropriations-4Yr'!I7+'Local Appropriations-4Yr'!I7+'Fed Contracts Grnts-4Yr'!I7+'Other Contract Grnts-4Yr'!I7+'Investment Income-4Yr'!I7+'All Other E&amp;G-4Yr'!I7</f>
        <v>1233908.983</v>
      </c>
      <c r="J7" s="51">
        <f>+'Tuition-4Yr'!J7+'State Appropriations-4Yr'!J7+'Local Appropriations-4Yr'!J7+'Fed Contracts Grnts-4Yr'!J7+'Other Contract Grnts-4Yr'!J7+'Investment Income-4Yr'!J7+'All Other E&amp;G-4Yr'!J7</f>
        <v>1305737.6250000002</v>
      </c>
      <c r="K7" s="51">
        <f>+'Tuition-4Yr'!K7+'State Appropriations-4Yr'!K7+'Local Appropriations-4Yr'!K7+'Fed Contracts Grnts-4Yr'!K7+'Other Contract Grnts-4Yr'!K7+'Investment Income-4Yr'!K7+'All Other E&amp;G-4Yr'!K7</f>
        <v>1400990.7149999999</v>
      </c>
      <c r="L7" s="51">
        <f>+'Tuition-4Yr'!L7+'State Appropriations-4Yr'!L7+'Local Appropriations-4Yr'!L7+'Fed Contracts Grnts-4Yr'!L7+'Other Contract Grnts-4Yr'!L7+'Investment Income-4Yr'!L7+'All Other E&amp;G-4Yr'!L7</f>
        <v>1489664.2989999999</v>
      </c>
      <c r="M7" s="51">
        <f>+'Tuition-4Yr'!M7+'State Appropriations-4Yr'!M7+'Local Appropriations-4Yr'!M7+'Fed Contracts Grnts-4Yr'!M7+'Other Contract Grnts-4Yr'!M7+'Investment Income-4Yr'!M7+'All Other E&amp;G-4Yr'!M7</f>
        <v>1641111.0869999996</v>
      </c>
      <c r="N7" s="51">
        <f>+'Tuition-4Yr'!N7+'State Appropriations-4Yr'!N7+'Local Appropriations-4Yr'!N7+'Fed Contracts Grnts-4Yr'!N7+'Other Contract Grnts-4Yr'!N7+'Investment Income-4Yr'!N7+'All Other E&amp;G-4Yr'!N7</f>
        <v>1653405.9480000003</v>
      </c>
      <c r="O7" s="51">
        <f>+'Tuition-4Yr'!O7+'State Appropriations-4Yr'!O7+'Local Appropriations-4Yr'!O7+'Fed Contracts Grnts-4Yr'!O7+'Other Contract Grnts-4Yr'!O7+'Investment Income-4Yr'!O7+'All Other E&amp;G-4Yr'!O7</f>
        <v>1715377.0560000003</v>
      </c>
      <c r="P7" s="51">
        <f>+'Tuition-4Yr'!P7+'State Appropriations-4Yr'!P7+'Local Appropriations-4Yr'!P7+'Fed Contracts Grnts-4Yr'!P7+'Other Contract Grnts-4Yr'!P7+'Investment Income-4Yr'!P7+'All Other E&amp;G-4Yr'!P7</f>
        <v>0</v>
      </c>
      <c r="Q7" s="51">
        <f>+'Tuition-4Yr'!Q7+'State Appropriations-4Yr'!Q7+'Local Appropriations-4Yr'!Q7+'Fed Contracts Grnts-4Yr'!Q7+'Other Contract Grnts-4Yr'!Q7+'Investment Income-4Yr'!Q7+'All Other E&amp;G-4Yr'!Q7</f>
        <v>0</v>
      </c>
      <c r="R7" s="51">
        <f>+'Tuition-4Yr'!R7+'State Appropriations-4Yr'!R7+'Local Appropriations-4Yr'!R7+'Fed Contracts Grnts-4Yr'!R7+'Other Contract Grnts-4Yr'!R7+'Investment Income-4Yr'!R7+'All Other E&amp;G-4Yr'!R7</f>
        <v>2058540.821</v>
      </c>
      <c r="S7" s="51">
        <f>+'Tuition-4Yr'!S7+'State Appropriations-4Yr'!S7+'Local Appropriations-4Yr'!S7+'Fed Contracts Grnts-4Yr'!S7+'Other Contract Grnts-4Yr'!S7+'Investment Income-4Yr'!S7+'All Other E&amp;G-4Yr'!S7</f>
        <v>2200682.4099999997</v>
      </c>
      <c r="T7" s="51">
        <f>+'Tuition-4Yr'!T7+'State Appropriations-4Yr'!T7+'Local Appropriations-4Yr'!T7+'Fed Contracts Grnts-4Yr'!T7+'Other Contract Grnts-4Yr'!T7+'Investment Income-4Yr'!T7+'All Other E&amp;G-4Yr'!T7</f>
        <v>2565571.9670000002</v>
      </c>
      <c r="U7" s="51">
        <f>+'Tuition-4Yr'!U7+'State Appropriations-4Yr'!U7+'Local Appropriations-4Yr'!U7+'Fed Contracts Grnts-4Yr'!U7+'Other Contract Grnts-4Yr'!U7+'Investment Income-4Yr'!U7+'All Other E&amp;G-4Yr'!U7</f>
        <v>2605339.9130000002</v>
      </c>
      <c r="V7" s="51">
        <f>+'Tuition-4Yr'!V7+'State Appropriations-4Yr'!V7+'Local Appropriations-4Yr'!V7+'Fed Contracts Grnts-4Yr'!V7+'Other Contract Grnts-4Yr'!V7+'Investment Income-4Yr'!V7+'All Other E&amp;G-4Yr'!V7</f>
        <v>2760943.6140000001</v>
      </c>
      <c r="W7" s="51">
        <f>+'Tuition-4Yr'!W7+'State Appropriations-4Yr'!W7+'Local Appropriations-4Yr'!W7+'Fed Contracts Grnts-4Yr'!W7+'Other Contract Grnts-4Yr'!W7+'Investment Income-4Yr'!W7+'All Other E&amp;G-4Yr'!W7</f>
        <v>3032455.8390000006</v>
      </c>
      <c r="X7" s="51">
        <f>+'Tuition-4Yr'!X7+'State Appropriations-4Yr'!X7+'Local Appropriations-4Yr'!X7+'Fed Contracts Grnts-4Yr'!X7+'Other Contract Grnts-4Yr'!X7+'Investment Income-4Yr'!X7+'All Other E&amp;G-4Yr'!X7</f>
        <v>3186752.094</v>
      </c>
      <c r="Y7" s="51">
        <f>+'Tuition-4Yr'!Y7+'State Appropriations-4Yr'!Y7+'Local Appropriations-4Yr'!Y7+'Fed Contracts Grnts-4Yr'!Y7+'Other Contract Grnts-4Yr'!Y7+'Investment Income-4Yr'!Y7+'All Other E&amp;G-4Yr'!Y7</f>
        <v>3685508.15</v>
      </c>
      <c r="Z7" s="51">
        <f>+'Tuition-4Yr'!Z7+'State Appropriations-4Yr'!Z7+'Local Appropriations-4Yr'!Z7+'Fed Contracts Grnts-4Yr'!Z7+'Other Contract Grnts-4Yr'!Z7+'Investment Income-4Yr'!Z7+'All Other E&amp;G-4Yr'!Z7</f>
        <v>3760897.1140000005</v>
      </c>
      <c r="AA7" s="51">
        <f>+'Tuition-4Yr'!AA7+'State Appropriations-4Yr'!AA7+'Local Appropriations-4Yr'!AA7+'Fed Contracts Grnts-4Yr'!AA7+'Other Contract Grnts-4Yr'!AA7+'Investment Income-4Yr'!AA7+'All Other E&amp;G-4Yr'!AA7</f>
        <v>4028390.4899999998</v>
      </c>
      <c r="AB7" s="51">
        <f>+'Tuition-4Yr'!AB7+'State Appropriations-4Yr'!AB7+'Local Appropriations-4Yr'!AB7+'Fed Contracts Grnts-4Yr'!AB7+'Other Contract Grnts-4Yr'!AB7+'Investment Income-4Yr'!AB7+'All Other E&amp;G-4Yr'!AB7</f>
        <v>4616219.8379999995</v>
      </c>
      <c r="AC7" s="51">
        <f>+'Tuition-4Yr'!AC7+'State Appropriations-4Yr'!AC7+'Local Appropriations-4Yr'!AC7+'Fed Contracts Grnts-4Yr'!AC7+'Other Contract Grnts-4Yr'!AC7+'Investment Income-4Yr'!AC7+'All Other E&amp;G-4Yr'!AC7</f>
        <v>4269101</v>
      </c>
      <c r="AD7" s="51">
        <f>+'Tuition-4Yr'!AD7+'State Appropriations-4Yr'!AD7+'Local Appropriations-4Yr'!AD7+'Fed Contracts Grnts-4Yr'!AD7+'Other Contract Grnts-4Yr'!AD7+'Investment Income-4Yr'!AD7+'All Other E&amp;G-4Yr'!AD7</f>
        <v>4491924.642</v>
      </c>
      <c r="AE7" s="51">
        <f>+'Tuition-4Yr'!AE7+'State Appropriations-4Yr'!AE7+'Local Appropriations-4Yr'!AE7+'Fed Contracts Grnts-4Yr'!AE7+'Other Contract Grnts-4Yr'!AE7+'Investment Income-4Yr'!AE7+'All Other E&amp;G-4Yr'!AE7</f>
        <v>4492673.0829999996</v>
      </c>
      <c r="AF7" s="51">
        <f>+'Tuition-4Yr'!AF7+'State Appropriations-4Yr'!AF7+'Local Appropriations-4Yr'!AF7+'Fed Contracts Grnts-4Yr'!AF7+'Other Contract Grnts-4Yr'!AF7+'Investment Income-4Yr'!AF7+'All Other E&amp;G-4Yr'!AF7</f>
        <v>4530347.7050000001</v>
      </c>
      <c r="AG7" s="51">
        <f>+'Tuition-4Yr'!AG7+'State Appropriations-4Yr'!AG7+'Local Appropriations-4Yr'!AG7+'Fed Contracts Grnts-4Yr'!AG7+'Other Contract Grnts-4Yr'!AG7+'Investment Income-4Yr'!AG7+'All Other E&amp;G-4Yr'!AG7</f>
        <v>4612311.4929999998</v>
      </c>
      <c r="AH7" s="51">
        <f>+'Tuition-4Yr'!AH7+'State Appropriations-4Yr'!AH7+'Local Appropriations-4Yr'!AH7+'Fed Contracts Grnts-4Yr'!AH7+'Other Contract Grnts-4Yr'!AH7+'Investment Income-4Yr'!AH7+'All Other E&amp;G-4Yr'!AH7</f>
        <v>5049151.5410000002</v>
      </c>
      <c r="AI7" s="51">
        <f>+'Tuition-4Yr'!AI7+'State Appropriations-4Yr'!AI7+'Local Appropriations-4Yr'!AI7+'Fed Contracts Grnts-4Yr'!AI7+'Other Contract Grnts-4Yr'!AI7+'Investment Income-4Yr'!AI7+'All Other E&amp;G-4Yr'!AI7</f>
        <v>5434198.7480000006</v>
      </c>
      <c r="AJ7" s="51">
        <f>+'Tuition-4Yr'!AJ7+'State Appropriations-4Yr'!AJ7+'Local Appropriations-4Yr'!AJ7+'Fed Contracts Grnts-4Yr'!AJ7+'Other Contract Grnts-4Yr'!AJ7+'Investment Income-4Yr'!AJ7+'All Other E&amp;G-4Yr'!AJ7</f>
        <v>0</v>
      </c>
      <c r="AK7" s="51">
        <f>+'Tuition-4Yr'!AK7+'State Appropriations-4Yr'!AK7+'Local Appropriations-4Yr'!AK7+'Fed Contracts Grnts-4Yr'!AK7+'Other Contract Grnts-4Yr'!AK7+'Investment Income-4Yr'!AK7+'All Other E&amp;G-4Yr'!AK7</f>
        <v>5920327.3939999994</v>
      </c>
      <c r="AL7" s="51">
        <f>+'Tuition-4Yr'!AL7+'State Appropriations-4Yr'!AL7+'Local Appropriations-4Yr'!AL7+'Fed Contracts Grnts-4Yr'!AL7+'Other Contract Grnts-4Yr'!AL7+'Investment Income-4Yr'!AL7+'All Other E&amp;G-4Yr'!AL7</f>
        <v>5928664.6049999995</v>
      </c>
    </row>
    <row r="8" spans="1:38" ht="12.75" customHeight="1">
      <c r="A8" s="1" t="s">
        <v>23</v>
      </c>
      <c r="B8" s="51">
        <f>+'Tuition-4Yr'!B8+'State Appropriations-4Yr'!B8+'Local Appropriations-4Yr'!B8+'Fed Contracts Grnts-4Yr'!B8+'Other Contract Grnts-4Yr'!B8+'Investment Income-4Yr'!B8+'All Other E&amp;G-4Yr'!B8</f>
        <v>331911</v>
      </c>
      <c r="C8" s="51">
        <f>+'Tuition-4Yr'!C8+'State Appropriations-4Yr'!C8+'Local Appropriations-4Yr'!C8+'Fed Contracts Grnts-4Yr'!C8+'Other Contract Grnts-4Yr'!C8+'Investment Income-4Yr'!C8+'All Other E&amp;G-4Yr'!C8</f>
        <v>385672</v>
      </c>
      <c r="D8" s="51">
        <f>+'Tuition-4Yr'!D8+'State Appropriations-4Yr'!D8+'Local Appropriations-4Yr'!D8+'Fed Contracts Grnts-4Yr'!D8+'Other Contract Grnts-4Yr'!D8+'Investment Income-4Yr'!D8+'All Other E&amp;G-4Yr'!D8</f>
        <v>409535</v>
      </c>
      <c r="E8" s="51">
        <f>+'Tuition-4Yr'!E8+'State Appropriations-4Yr'!E8+'Local Appropriations-4Yr'!E8+'Fed Contracts Grnts-4Yr'!E8+'Other Contract Grnts-4Yr'!E8+'Investment Income-4Yr'!E8+'All Other E&amp;G-4Yr'!E8</f>
        <v>0</v>
      </c>
      <c r="F8" s="51">
        <f>+'Tuition-4Yr'!F8+'State Appropriations-4Yr'!F8+'Local Appropriations-4Yr'!F8+'Fed Contracts Grnts-4Yr'!F8+'Other Contract Grnts-4Yr'!F8+'Investment Income-4Yr'!F8+'All Other E&amp;G-4Yr'!F8</f>
        <v>0</v>
      </c>
      <c r="G8" s="51">
        <f>+'Tuition-4Yr'!G8+'State Appropriations-4Yr'!G8+'Local Appropriations-4Yr'!G8+'Fed Contracts Grnts-4Yr'!G8+'Other Contract Grnts-4Yr'!G8+'Investment Income-4Yr'!G8+'All Other E&amp;G-4Yr'!G8</f>
        <v>0</v>
      </c>
      <c r="H8" s="51">
        <f>+'Tuition-4Yr'!H8+'State Appropriations-4Yr'!H8+'Local Appropriations-4Yr'!H8+'Fed Contracts Grnts-4Yr'!H8+'Other Contract Grnts-4Yr'!H8+'Investment Income-4Yr'!H8+'All Other E&amp;G-4Yr'!H8</f>
        <v>0</v>
      </c>
      <c r="I8" s="51">
        <f>+'Tuition-4Yr'!I8+'State Appropriations-4Yr'!I8+'Local Appropriations-4Yr'!I8+'Fed Contracts Grnts-4Yr'!I8+'Other Contract Grnts-4Yr'!I8+'Investment Income-4Yr'!I8+'All Other E&amp;G-4Yr'!I8</f>
        <v>624123.38899999997</v>
      </c>
      <c r="J8" s="51">
        <f>+'Tuition-4Yr'!J8+'State Appropriations-4Yr'!J8+'Local Appropriations-4Yr'!J8+'Fed Contracts Grnts-4Yr'!J8+'Other Contract Grnts-4Yr'!J8+'Investment Income-4Yr'!J8+'All Other E&amp;G-4Yr'!J8</f>
        <v>595947.07399999991</v>
      </c>
      <c r="K8" s="51">
        <f>+'Tuition-4Yr'!K8+'State Appropriations-4Yr'!K8+'Local Appropriations-4Yr'!K8+'Fed Contracts Grnts-4Yr'!K8+'Other Contract Grnts-4Yr'!K8+'Investment Income-4Yr'!K8+'All Other E&amp;G-4Yr'!K8</f>
        <v>658638.80900000001</v>
      </c>
      <c r="L8" s="51">
        <f>+'Tuition-4Yr'!L8+'State Appropriations-4Yr'!L8+'Local Appropriations-4Yr'!L8+'Fed Contracts Grnts-4Yr'!L8+'Other Contract Grnts-4Yr'!L8+'Investment Income-4Yr'!L8+'All Other E&amp;G-4Yr'!L8</f>
        <v>672059.79499999993</v>
      </c>
      <c r="M8" s="51">
        <f>+'Tuition-4Yr'!M8+'State Appropriations-4Yr'!M8+'Local Appropriations-4Yr'!M8+'Fed Contracts Grnts-4Yr'!M8+'Other Contract Grnts-4Yr'!M8+'Investment Income-4Yr'!M8+'All Other E&amp;G-4Yr'!M8</f>
        <v>693945.85700000008</v>
      </c>
      <c r="N8" s="51">
        <f>+'Tuition-4Yr'!N8+'State Appropriations-4Yr'!N8+'Local Appropriations-4Yr'!N8+'Fed Contracts Grnts-4Yr'!N8+'Other Contract Grnts-4Yr'!N8+'Investment Income-4Yr'!N8+'All Other E&amp;G-4Yr'!N8</f>
        <v>748961.78099999996</v>
      </c>
      <c r="O8" s="51">
        <f>+'Tuition-4Yr'!O8+'State Appropriations-4Yr'!O8+'Local Appropriations-4Yr'!O8+'Fed Contracts Grnts-4Yr'!O8+'Other Contract Grnts-4Yr'!O8+'Investment Income-4Yr'!O8+'All Other E&amp;G-4Yr'!O8</f>
        <v>792059.30999999994</v>
      </c>
      <c r="P8" s="51">
        <f>+'Tuition-4Yr'!P8+'State Appropriations-4Yr'!P8+'Local Appropriations-4Yr'!P8+'Fed Contracts Grnts-4Yr'!P8+'Other Contract Grnts-4Yr'!P8+'Investment Income-4Yr'!P8+'All Other E&amp;G-4Yr'!P8</f>
        <v>0</v>
      </c>
      <c r="Q8" s="51">
        <f>+'Tuition-4Yr'!Q8+'State Appropriations-4Yr'!Q8+'Local Appropriations-4Yr'!Q8+'Fed Contracts Grnts-4Yr'!Q8+'Other Contract Grnts-4Yr'!Q8+'Investment Income-4Yr'!Q8+'All Other E&amp;G-4Yr'!Q8</f>
        <v>0</v>
      </c>
      <c r="R8" s="51">
        <f>+'Tuition-4Yr'!R8+'State Appropriations-4Yr'!R8+'Local Appropriations-4Yr'!R8+'Fed Contracts Grnts-4Yr'!R8+'Other Contract Grnts-4Yr'!R8+'Investment Income-4Yr'!R8+'All Other E&amp;G-4Yr'!R8</f>
        <v>991724.26100000006</v>
      </c>
      <c r="S8" s="51">
        <f>+'Tuition-4Yr'!S8+'State Appropriations-4Yr'!S8+'Local Appropriations-4Yr'!S8+'Fed Contracts Grnts-4Yr'!S8+'Other Contract Grnts-4Yr'!S8+'Investment Income-4Yr'!S8+'All Other E&amp;G-4Yr'!S8</f>
        <v>1053778.4649999999</v>
      </c>
      <c r="T8" s="51">
        <f>+'Tuition-4Yr'!T8+'State Appropriations-4Yr'!T8+'Local Appropriations-4Yr'!T8+'Fed Contracts Grnts-4Yr'!T8+'Other Contract Grnts-4Yr'!T8+'Investment Income-4Yr'!T8+'All Other E&amp;G-4Yr'!T8</f>
        <v>1161852.8419999999</v>
      </c>
      <c r="U8" s="51">
        <f>+'Tuition-4Yr'!U8+'State Appropriations-4Yr'!U8+'Local Appropriations-4Yr'!U8+'Fed Contracts Grnts-4Yr'!U8+'Other Contract Grnts-4Yr'!U8+'Investment Income-4Yr'!U8+'All Other E&amp;G-4Yr'!U8</f>
        <v>1483517.301</v>
      </c>
      <c r="V8" s="51">
        <f>+'Tuition-4Yr'!V8+'State Appropriations-4Yr'!V8+'Local Appropriations-4Yr'!V8+'Fed Contracts Grnts-4Yr'!V8+'Other Contract Grnts-4Yr'!V8+'Investment Income-4Yr'!V8+'All Other E&amp;G-4Yr'!V8</f>
        <v>1180478.0750000002</v>
      </c>
      <c r="W8" s="51">
        <f>+'Tuition-4Yr'!W8+'State Appropriations-4Yr'!W8+'Local Appropriations-4Yr'!W8+'Fed Contracts Grnts-4Yr'!W8+'Other Contract Grnts-4Yr'!W8+'Investment Income-4Yr'!W8+'All Other E&amp;G-4Yr'!W8</f>
        <v>1367283.2109999999</v>
      </c>
      <c r="X8" s="51">
        <f>+'Tuition-4Yr'!X8+'State Appropriations-4Yr'!X8+'Local Appropriations-4Yr'!X8+'Fed Contracts Grnts-4Yr'!X8+'Other Contract Grnts-4Yr'!X8+'Investment Income-4Yr'!X8+'All Other E&amp;G-4Yr'!X8</f>
        <v>1364404.2310000001</v>
      </c>
      <c r="Y8" s="51">
        <f>+'Tuition-4Yr'!Y8+'State Appropriations-4Yr'!Y8+'Local Appropriations-4Yr'!Y8+'Fed Contracts Grnts-4Yr'!Y8+'Other Contract Grnts-4Yr'!Y8+'Investment Income-4Yr'!Y8+'All Other E&amp;G-4Yr'!Y8</f>
        <v>1376783.1160000002</v>
      </c>
      <c r="Z8" s="51">
        <f>+'Tuition-4Yr'!Z8+'State Appropriations-4Yr'!Z8+'Local Appropriations-4Yr'!Z8+'Fed Contracts Grnts-4Yr'!Z8+'Other Contract Grnts-4Yr'!Z8+'Investment Income-4Yr'!Z8+'All Other E&amp;G-4Yr'!Z8</f>
        <v>1459504.4350000001</v>
      </c>
      <c r="AA8" s="51">
        <f>+'Tuition-4Yr'!AA8+'State Appropriations-4Yr'!AA8+'Local Appropriations-4Yr'!AA8+'Fed Contracts Grnts-4Yr'!AA8+'Other Contract Grnts-4Yr'!AA8+'Investment Income-4Yr'!AA8+'All Other E&amp;G-4Yr'!AA8</f>
        <v>1413667.2319999998</v>
      </c>
      <c r="AB8" s="51">
        <f>+'Tuition-4Yr'!AB8+'State Appropriations-4Yr'!AB8+'Local Appropriations-4Yr'!AB8+'Fed Contracts Grnts-4Yr'!AB8+'Other Contract Grnts-4Yr'!AB8+'Investment Income-4Yr'!AB8+'All Other E&amp;G-4Yr'!AB8</f>
        <v>1875085.399</v>
      </c>
      <c r="AC8" s="51">
        <f>+'Tuition-4Yr'!AC8+'State Appropriations-4Yr'!AC8+'Local Appropriations-4Yr'!AC8+'Fed Contracts Grnts-4Yr'!AC8+'Other Contract Grnts-4Yr'!AC8+'Investment Income-4Yr'!AC8+'All Other E&amp;G-4Yr'!AC8</f>
        <v>2021982</v>
      </c>
      <c r="AD8" s="51">
        <f>+'Tuition-4Yr'!AD8+'State Appropriations-4Yr'!AD8+'Local Appropriations-4Yr'!AD8+'Fed Contracts Grnts-4Yr'!AD8+'Other Contract Grnts-4Yr'!AD8+'Investment Income-4Yr'!AD8+'All Other E&amp;G-4Yr'!AD8</f>
        <v>2101592.5150000001</v>
      </c>
      <c r="AE8" s="51">
        <f>+'Tuition-4Yr'!AE8+'State Appropriations-4Yr'!AE8+'Local Appropriations-4Yr'!AE8+'Fed Contracts Grnts-4Yr'!AE8+'Other Contract Grnts-4Yr'!AE8+'Investment Income-4Yr'!AE8+'All Other E&amp;G-4Yr'!AE8</f>
        <v>2133920.0290000001</v>
      </c>
      <c r="AF8" s="51">
        <f>+'Tuition-4Yr'!AF8+'State Appropriations-4Yr'!AF8+'Local Appropriations-4Yr'!AF8+'Fed Contracts Grnts-4Yr'!AF8+'Other Contract Grnts-4Yr'!AF8+'Investment Income-4Yr'!AF8+'All Other E&amp;G-4Yr'!AF8</f>
        <v>2085947.6249999998</v>
      </c>
      <c r="AG8" s="51">
        <f>+'Tuition-4Yr'!AG8+'State Appropriations-4Yr'!AG8+'Local Appropriations-4Yr'!AG8+'Fed Contracts Grnts-4Yr'!AG8+'Other Contract Grnts-4Yr'!AG8+'Investment Income-4Yr'!AG8+'All Other E&amp;G-4Yr'!AG8</f>
        <v>2116600.7070000004</v>
      </c>
      <c r="AH8" s="51">
        <f>+'Tuition-4Yr'!AH8+'State Appropriations-4Yr'!AH8+'Local Appropriations-4Yr'!AH8+'Fed Contracts Grnts-4Yr'!AH8+'Other Contract Grnts-4Yr'!AH8+'Investment Income-4Yr'!AH8+'All Other E&amp;G-4Yr'!AH8</f>
        <v>2145397.1259999997</v>
      </c>
      <c r="AI8" s="51">
        <f>+'Tuition-4Yr'!AI8+'State Appropriations-4Yr'!AI8+'Local Appropriations-4Yr'!AI8+'Fed Contracts Grnts-4Yr'!AI8+'Other Contract Grnts-4Yr'!AI8+'Investment Income-4Yr'!AI8+'All Other E&amp;G-4Yr'!AI8</f>
        <v>2279800.7050000001</v>
      </c>
      <c r="AJ8" s="51">
        <f>+'Tuition-4Yr'!AJ8+'State Appropriations-4Yr'!AJ8+'Local Appropriations-4Yr'!AJ8+'Fed Contracts Grnts-4Yr'!AJ8+'Other Contract Grnts-4Yr'!AJ8+'Investment Income-4Yr'!AJ8+'All Other E&amp;G-4Yr'!AJ8</f>
        <v>0</v>
      </c>
      <c r="AK8" s="51">
        <f>+'Tuition-4Yr'!AK8+'State Appropriations-4Yr'!AK8+'Local Appropriations-4Yr'!AK8+'Fed Contracts Grnts-4Yr'!AK8+'Other Contract Grnts-4Yr'!AK8+'Investment Income-4Yr'!AK8+'All Other E&amp;G-4Yr'!AK8</f>
        <v>2555554.7080000006</v>
      </c>
      <c r="AL8" s="51">
        <f>+'Tuition-4Yr'!AL8+'State Appropriations-4Yr'!AL8+'Local Appropriations-4Yr'!AL8+'Fed Contracts Grnts-4Yr'!AL8+'Other Contract Grnts-4Yr'!AL8+'Investment Income-4Yr'!AL8+'All Other E&amp;G-4Yr'!AL8</f>
        <v>2559362.16</v>
      </c>
    </row>
    <row r="9" spans="1:38" ht="12.75" customHeight="1">
      <c r="A9" s="1" t="s">
        <v>24</v>
      </c>
      <c r="B9" s="51">
        <f>+'Tuition-4Yr'!B9+'State Appropriations-4Yr'!B9+'Local Appropriations-4Yr'!B9+'Fed Contracts Grnts-4Yr'!B9+'Other Contract Grnts-4Yr'!B9+'Investment Income-4Yr'!B9+'All Other E&amp;G-4Yr'!B9</f>
        <v>0</v>
      </c>
      <c r="C9" s="51">
        <f>+'Tuition-4Yr'!C9+'State Appropriations-4Yr'!C9+'Local Appropriations-4Yr'!C9+'Fed Contracts Grnts-4Yr'!C9+'Other Contract Grnts-4Yr'!C9+'Investment Income-4Yr'!C9+'All Other E&amp;G-4Yr'!C9</f>
        <v>0</v>
      </c>
      <c r="D9" s="51">
        <f>+'Tuition-4Yr'!D9+'State Appropriations-4Yr'!D9+'Local Appropriations-4Yr'!D9+'Fed Contracts Grnts-4Yr'!D9+'Other Contract Grnts-4Yr'!D9+'Investment Income-4Yr'!D9+'All Other E&amp;G-4Yr'!D9</f>
        <v>200335</v>
      </c>
      <c r="E9" s="51">
        <f>+'Tuition-4Yr'!E9+'State Appropriations-4Yr'!E9+'Local Appropriations-4Yr'!E9+'Fed Contracts Grnts-4Yr'!E9+'Other Contract Grnts-4Yr'!E9+'Investment Income-4Yr'!E9+'All Other E&amp;G-4Yr'!E9</f>
        <v>0</v>
      </c>
      <c r="F9" s="51">
        <f>+'Tuition-4Yr'!F9+'State Appropriations-4Yr'!F9+'Local Appropriations-4Yr'!F9+'Fed Contracts Grnts-4Yr'!F9+'Other Contract Grnts-4Yr'!F9+'Investment Income-4Yr'!F9+'All Other E&amp;G-4Yr'!F9</f>
        <v>0</v>
      </c>
      <c r="G9" s="51">
        <f>+'Tuition-4Yr'!G9+'State Appropriations-4Yr'!G9+'Local Appropriations-4Yr'!G9+'Fed Contracts Grnts-4Yr'!G9+'Other Contract Grnts-4Yr'!G9+'Investment Income-4Yr'!G9+'All Other E&amp;G-4Yr'!G9</f>
        <v>0</v>
      </c>
      <c r="H9" s="51">
        <f>+'Tuition-4Yr'!H9+'State Appropriations-4Yr'!H9+'Local Appropriations-4Yr'!H9+'Fed Contracts Grnts-4Yr'!H9+'Other Contract Grnts-4Yr'!H9+'Investment Income-4Yr'!H9+'All Other E&amp;G-4Yr'!H9</f>
        <v>0</v>
      </c>
      <c r="I9" s="51">
        <f>+'Tuition-4Yr'!I9+'State Appropriations-4Yr'!I9+'Local Appropriations-4Yr'!I9+'Fed Contracts Grnts-4Yr'!I9+'Other Contract Grnts-4Yr'!I9+'Investment Income-4Yr'!I9+'All Other E&amp;G-4Yr'!I9</f>
        <v>299692.141</v>
      </c>
      <c r="J9" s="51">
        <f>+'Tuition-4Yr'!J9+'State Appropriations-4Yr'!J9+'Local Appropriations-4Yr'!J9+'Fed Contracts Grnts-4Yr'!J9+'Other Contract Grnts-4Yr'!J9+'Investment Income-4Yr'!J9+'All Other E&amp;G-4Yr'!J9</f>
        <v>318832.13199999998</v>
      </c>
      <c r="K9" s="51">
        <f>+'Tuition-4Yr'!K9+'State Appropriations-4Yr'!K9+'Local Appropriations-4Yr'!K9+'Fed Contracts Grnts-4Yr'!K9+'Other Contract Grnts-4Yr'!K9+'Investment Income-4Yr'!K9+'All Other E&amp;G-4Yr'!K9</f>
        <v>0</v>
      </c>
      <c r="L9" s="51">
        <f>+'Tuition-4Yr'!L9+'State Appropriations-4Yr'!L9+'Local Appropriations-4Yr'!L9+'Fed Contracts Grnts-4Yr'!L9+'Other Contract Grnts-4Yr'!L9+'Investment Income-4Yr'!L9+'All Other E&amp;G-4Yr'!L9</f>
        <v>0</v>
      </c>
      <c r="M9" s="51">
        <f>+'Tuition-4Yr'!M9+'State Appropriations-4Yr'!M9+'Local Appropriations-4Yr'!M9+'Fed Contracts Grnts-4Yr'!M9+'Other Contract Grnts-4Yr'!M9+'Investment Income-4Yr'!M9+'All Other E&amp;G-4Yr'!M9</f>
        <v>370372.01500000001</v>
      </c>
      <c r="N9" s="51">
        <f>+'Tuition-4Yr'!N9+'State Appropriations-4Yr'!N9+'Local Appropriations-4Yr'!N9+'Fed Contracts Grnts-4Yr'!N9+'Other Contract Grnts-4Yr'!N9+'Investment Income-4Yr'!N9+'All Other E&amp;G-4Yr'!N9</f>
        <v>374633.47499999998</v>
      </c>
      <c r="O9" s="51">
        <f>+'Tuition-4Yr'!O9+'State Appropriations-4Yr'!O9+'Local Appropriations-4Yr'!O9+'Fed Contracts Grnts-4Yr'!O9+'Other Contract Grnts-4Yr'!O9+'Investment Income-4Yr'!O9+'All Other E&amp;G-4Yr'!O9</f>
        <v>394578.66800000001</v>
      </c>
      <c r="P9" s="51">
        <f>+'Tuition-4Yr'!P9+'State Appropriations-4Yr'!P9+'Local Appropriations-4Yr'!P9+'Fed Contracts Grnts-4Yr'!P9+'Other Contract Grnts-4Yr'!P9+'Investment Income-4Yr'!P9+'All Other E&amp;G-4Yr'!P9</f>
        <v>0</v>
      </c>
      <c r="Q9" s="51">
        <f>+'Tuition-4Yr'!Q9+'State Appropriations-4Yr'!Q9+'Local Appropriations-4Yr'!Q9+'Fed Contracts Grnts-4Yr'!Q9+'Other Contract Grnts-4Yr'!Q9+'Investment Income-4Yr'!Q9+'All Other E&amp;G-4Yr'!Q9</f>
        <v>0</v>
      </c>
      <c r="R9" s="51">
        <f>+'Tuition-4Yr'!R9+'State Appropriations-4Yr'!R9+'Local Appropriations-4Yr'!R9+'Fed Contracts Grnts-4Yr'!R9+'Other Contract Grnts-4Yr'!R9+'Investment Income-4Yr'!R9+'All Other E&amp;G-4Yr'!R9</f>
        <v>507743.64499999996</v>
      </c>
      <c r="S9" s="51">
        <f>+'Tuition-4Yr'!S9+'State Appropriations-4Yr'!S9+'Local Appropriations-4Yr'!S9+'Fed Contracts Grnts-4Yr'!S9+'Other Contract Grnts-4Yr'!S9+'Investment Income-4Yr'!S9+'All Other E&amp;G-4Yr'!S9</f>
        <v>513404.90500000003</v>
      </c>
      <c r="T9" s="51">
        <f>+'Tuition-4Yr'!T9+'State Appropriations-4Yr'!T9+'Local Appropriations-4Yr'!T9+'Fed Contracts Grnts-4Yr'!T9+'Other Contract Grnts-4Yr'!T9+'Investment Income-4Yr'!T9+'All Other E&amp;G-4Yr'!T9</f>
        <v>488363.39999999997</v>
      </c>
      <c r="U9" s="51">
        <f>+'Tuition-4Yr'!U9+'State Appropriations-4Yr'!U9+'Local Appropriations-4Yr'!U9+'Fed Contracts Grnts-4Yr'!U9+'Other Contract Grnts-4Yr'!U9+'Investment Income-4Yr'!U9+'All Other E&amp;G-4Yr'!U9</f>
        <v>527185.505</v>
      </c>
      <c r="V9" s="51">
        <f>+'Tuition-4Yr'!V9+'State Appropriations-4Yr'!V9+'Local Appropriations-4Yr'!V9+'Fed Contracts Grnts-4Yr'!V9+'Other Contract Grnts-4Yr'!V9+'Investment Income-4Yr'!V9+'All Other E&amp;G-4Yr'!V9</f>
        <v>688738.13199999998</v>
      </c>
      <c r="W9" s="51">
        <f>+'Tuition-4Yr'!W9+'State Appropriations-4Yr'!W9+'Local Appropriations-4Yr'!W9+'Fed Contracts Grnts-4Yr'!W9+'Other Contract Grnts-4Yr'!W9+'Investment Income-4Yr'!W9+'All Other E&amp;G-4Yr'!W9</f>
        <v>660417.41700000002</v>
      </c>
      <c r="X9" s="51">
        <f>+'Tuition-4Yr'!X9+'State Appropriations-4Yr'!X9+'Local Appropriations-4Yr'!X9+'Fed Contracts Grnts-4Yr'!X9+'Other Contract Grnts-4Yr'!X9+'Investment Income-4Yr'!X9+'All Other E&amp;G-4Yr'!X9</f>
        <v>766201.353</v>
      </c>
      <c r="Y9" s="51">
        <f>+'Tuition-4Yr'!Y9+'State Appropriations-4Yr'!Y9+'Local Appropriations-4Yr'!Y9+'Fed Contracts Grnts-4Yr'!Y9+'Other Contract Grnts-4Yr'!Y9+'Investment Income-4Yr'!Y9+'All Other E&amp;G-4Yr'!Y9</f>
        <v>841688.4850000001</v>
      </c>
      <c r="Z9" s="51">
        <f>+'Tuition-4Yr'!Z9+'State Appropriations-4Yr'!Z9+'Local Appropriations-4Yr'!Z9+'Fed Contracts Grnts-4Yr'!Z9+'Other Contract Grnts-4Yr'!Z9+'Investment Income-4Yr'!Z9+'All Other E&amp;G-4Yr'!Z9</f>
        <v>604120.56599999999</v>
      </c>
      <c r="AA9" s="51">
        <f>+'Tuition-4Yr'!AA9+'State Appropriations-4Yr'!AA9+'Local Appropriations-4Yr'!AA9+'Fed Contracts Grnts-4Yr'!AA9+'Other Contract Grnts-4Yr'!AA9+'Investment Income-4Yr'!AA9+'All Other E&amp;G-4Yr'!AA9</f>
        <v>460230.48800000001</v>
      </c>
      <c r="AB9" s="51">
        <f>+'Tuition-4Yr'!AB9+'State Appropriations-4Yr'!AB9+'Local Appropriations-4Yr'!AB9+'Fed Contracts Grnts-4Yr'!AB9+'Other Contract Grnts-4Yr'!AB9+'Investment Income-4Yr'!AB9+'All Other E&amp;G-4Yr'!AB9</f>
        <v>935560.04499999993</v>
      </c>
      <c r="AC9" s="51">
        <f>+'Tuition-4Yr'!AC9+'State Appropriations-4Yr'!AC9+'Local Appropriations-4Yr'!AC9+'Fed Contracts Grnts-4Yr'!AC9+'Other Contract Grnts-4Yr'!AC9+'Investment Income-4Yr'!AC9+'All Other E&amp;G-4Yr'!AC9</f>
        <v>1164408</v>
      </c>
      <c r="AD9" s="51">
        <f>+'Tuition-4Yr'!AD9+'State Appropriations-4Yr'!AD9+'Local Appropriations-4Yr'!AD9+'Fed Contracts Grnts-4Yr'!AD9+'Other Contract Grnts-4Yr'!AD9+'Investment Income-4Yr'!AD9+'All Other E&amp;G-4Yr'!AD9</f>
        <v>908969.88</v>
      </c>
      <c r="AE9" s="51">
        <f>+'Tuition-4Yr'!AE9+'State Appropriations-4Yr'!AE9+'Local Appropriations-4Yr'!AE9+'Fed Contracts Grnts-4Yr'!AE9+'Other Contract Grnts-4Yr'!AE9+'Investment Income-4Yr'!AE9+'All Other E&amp;G-4Yr'!AE9</f>
        <v>1102134.0519999999</v>
      </c>
      <c r="AF9" s="51">
        <f>+'Tuition-4Yr'!AF9+'State Appropriations-4Yr'!AF9+'Local Appropriations-4Yr'!AF9+'Fed Contracts Grnts-4Yr'!AF9+'Other Contract Grnts-4Yr'!AF9+'Investment Income-4Yr'!AF9+'All Other E&amp;G-4Yr'!AF9</f>
        <v>1207280.7749999999</v>
      </c>
      <c r="AG9" s="51">
        <f>+'Tuition-4Yr'!AG9+'State Appropriations-4Yr'!AG9+'Local Appropriations-4Yr'!AG9+'Fed Contracts Grnts-4Yr'!AG9+'Other Contract Grnts-4Yr'!AG9+'Investment Income-4Yr'!AG9+'All Other E&amp;G-4Yr'!AG9</f>
        <v>1105540.9369999999</v>
      </c>
      <c r="AH9" s="51">
        <f>+'Tuition-4Yr'!AH9+'State Appropriations-4Yr'!AH9+'Local Appropriations-4Yr'!AH9+'Fed Contracts Grnts-4Yr'!AH9+'Other Contract Grnts-4Yr'!AH9+'Investment Income-4Yr'!AH9+'All Other E&amp;G-4Yr'!AH9</f>
        <v>1010569.316</v>
      </c>
      <c r="AI9" s="51">
        <f>+'Tuition-4Yr'!AI9+'State Appropriations-4Yr'!AI9+'Local Appropriations-4Yr'!AI9+'Fed Contracts Grnts-4Yr'!AI9+'Other Contract Grnts-4Yr'!AI9+'Investment Income-4Yr'!AI9+'All Other E&amp;G-4Yr'!AI9</f>
        <v>126485.90000000001</v>
      </c>
      <c r="AJ9" s="51">
        <f>+'Tuition-4Yr'!AJ9+'State Appropriations-4Yr'!AJ9+'Local Appropriations-4Yr'!AJ9+'Fed Contracts Grnts-4Yr'!AJ9+'Other Contract Grnts-4Yr'!AJ9+'Investment Income-4Yr'!AJ9+'All Other E&amp;G-4Yr'!AJ9</f>
        <v>0</v>
      </c>
      <c r="AK9" s="51">
        <f>+'Tuition-4Yr'!AK9+'State Appropriations-4Yr'!AK9+'Local Appropriations-4Yr'!AK9+'Fed Contracts Grnts-4Yr'!AK9+'Other Contract Grnts-4Yr'!AK9+'Investment Income-4Yr'!AK9+'All Other E&amp;G-4Yr'!AK9</f>
        <v>1163737.2079999999</v>
      </c>
      <c r="AL9" s="51">
        <f>+'Tuition-4Yr'!AL9+'State Appropriations-4Yr'!AL9+'Local Appropriations-4Yr'!AL9+'Fed Contracts Grnts-4Yr'!AL9+'Other Contract Grnts-4Yr'!AL9+'Investment Income-4Yr'!AL9+'All Other E&amp;G-4Yr'!AL9</f>
        <v>1073491.5999999999</v>
      </c>
    </row>
    <row r="10" spans="1:38" ht="12.75" customHeight="1">
      <c r="A10" s="1" t="s">
        <v>25</v>
      </c>
      <c r="B10" s="51">
        <f>+'Tuition-4Yr'!B10+'State Appropriations-4Yr'!B10+'Local Appropriations-4Yr'!B10+'Fed Contracts Grnts-4Yr'!B10+'Other Contract Grnts-4Yr'!B10+'Investment Income-4Yr'!B10+'All Other E&amp;G-4Yr'!B10</f>
        <v>941851</v>
      </c>
      <c r="C10" s="51">
        <f>+'Tuition-4Yr'!C10+'State Appropriations-4Yr'!C10+'Local Appropriations-4Yr'!C10+'Fed Contracts Grnts-4Yr'!C10+'Other Contract Grnts-4Yr'!C10+'Investment Income-4Yr'!C10+'All Other E&amp;G-4Yr'!C10</f>
        <v>1056295</v>
      </c>
      <c r="D10" s="51">
        <f>+'Tuition-4Yr'!D10+'State Appropriations-4Yr'!D10+'Local Appropriations-4Yr'!D10+'Fed Contracts Grnts-4Yr'!D10+'Other Contract Grnts-4Yr'!D10+'Investment Income-4Yr'!D10+'All Other E&amp;G-4Yr'!D10</f>
        <v>1161978</v>
      </c>
      <c r="E10" s="51">
        <f>+'Tuition-4Yr'!E10+'State Appropriations-4Yr'!E10+'Local Appropriations-4Yr'!E10+'Fed Contracts Grnts-4Yr'!E10+'Other Contract Grnts-4Yr'!E10+'Investment Income-4Yr'!E10+'All Other E&amp;G-4Yr'!E10</f>
        <v>0</v>
      </c>
      <c r="F10" s="51">
        <f>+'Tuition-4Yr'!F10+'State Appropriations-4Yr'!F10+'Local Appropriations-4Yr'!F10+'Fed Contracts Grnts-4Yr'!F10+'Other Contract Grnts-4Yr'!F10+'Investment Income-4Yr'!F10+'All Other E&amp;G-4Yr'!F10</f>
        <v>0</v>
      </c>
      <c r="G10" s="51">
        <f>+'Tuition-4Yr'!G10+'State Appropriations-4Yr'!G10+'Local Appropriations-4Yr'!G10+'Fed Contracts Grnts-4Yr'!G10+'Other Contract Grnts-4Yr'!G10+'Investment Income-4Yr'!G10+'All Other E&amp;G-4Yr'!G10</f>
        <v>0</v>
      </c>
      <c r="H10" s="51">
        <f>+'Tuition-4Yr'!H10+'State Appropriations-4Yr'!H10+'Local Appropriations-4Yr'!H10+'Fed Contracts Grnts-4Yr'!H10+'Other Contract Grnts-4Yr'!H10+'Investment Income-4Yr'!H10+'All Other E&amp;G-4Yr'!H10</f>
        <v>0</v>
      </c>
      <c r="I10" s="51">
        <f>+'Tuition-4Yr'!I10+'State Appropriations-4Yr'!I10+'Local Appropriations-4Yr'!I10+'Fed Contracts Grnts-4Yr'!I10+'Other Contract Grnts-4Yr'!I10+'Investment Income-4Yr'!I10+'All Other E&amp;G-4Yr'!I10</f>
        <v>1858192.0690000001</v>
      </c>
      <c r="J10" s="51">
        <f>+'Tuition-4Yr'!J10+'State Appropriations-4Yr'!J10+'Local Appropriations-4Yr'!J10+'Fed Contracts Grnts-4Yr'!J10+'Other Contract Grnts-4Yr'!J10+'Investment Income-4Yr'!J10+'All Other E&amp;G-4Yr'!J10</f>
        <v>1914793.4819999998</v>
      </c>
      <c r="K10" s="51">
        <f>+'Tuition-4Yr'!K10+'State Appropriations-4Yr'!K10+'Local Appropriations-4Yr'!K10+'Fed Contracts Grnts-4Yr'!K10+'Other Contract Grnts-4Yr'!K10+'Investment Income-4Yr'!K10+'All Other E&amp;G-4Yr'!K10</f>
        <v>2017521.4640000002</v>
      </c>
      <c r="L10" s="51">
        <f>+'Tuition-4Yr'!L10+'State Appropriations-4Yr'!L10+'Local Appropriations-4Yr'!L10+'Fed Contracts Grnts-4Yr'!L10+'Other Contract Grnts-4Yr'!L10+'Investment Income-4Yr'!L10+'All Other E&amp;G-4Yr'!L10</f>
        <v>2135692.7480000001</v>
      </c>
      <c r="M10" s="51">
        <f>+'Tuition-4Yr'!M10+'State Appropriations-4Yr'!M10+'Local Appropriations-4Yr'!M10+'Fed Contracts Grnts-4Yr'!M10+'Other Contract Grnts-4Yr'!M10+'Investment Income-4Yr'!M10+'All Other E&amp;G-4Yr'!M10</f>
        <v>2254558.622</v>
      </c>
      <c r="N10" s="51">
        <f>+'Tuition-4Yr'!N10+'State Appropriations-4Yr'!N10+'Local Appropriations-4Yr'!N10+'Fed Contracts Grnts-4Yr'!N10+'Other Contract Grnts-4Yr'!N10+'Investment Income-4Yr'!N10+'All Other E&amp;G-4Yr'!N10</f>
        <v>2411836.105</v>
      </c>
      <c r="O10" s="51">
        <f>+'Tuition-4Yr'!O10+'State Appropriations-4Yr'!O10+'Local Appropriations-4Yr'!O10+'Fed Contracts Grnts-4Yr'!O10+'Other Contract Grnts-4Yr'!O10+'Investment Income-4Yr'!O10+'All Other E&amp;G-4Yr'!O10</f>
        <v>2594549.9119999995</v>
      </c>
      <c r="P10" s="51">
        <f>+'Tuition-4Yr'!P10+'State Appropriations-4Yr'!P10+'Local Appropriations-4Yr'!P10+'Fed Contracts Grnts-4Yr'!P10+'Other Contract Grnts-4Yr'!P10+'Investment Income-4Yr'!P10+'All Other E&amp;G-4Yr'!P10</f>
        <v>0</v>
      </c>
      <c r="Q10" s="51">
        <f>+'Tuition-4Yr'!Q10+'State Appropriations-4Yr'!Q10+'Local Appropriations-4Yr'!Q10+'Fed Contracts Grnts-4Yr'!Q10+'Other Contract Grnts-4Yr'!Q10+'Investment Income-4Yr'!Q10+'All Other E&amp;G-4Yr'!Q10</f>
        <v>0</v>
      </c>
      <c r="R10" s="51">
        <f>+'Tuition-4Yr'!R10+'State Appropriations-4Yr'!R10+'Local Appropriations-4Yr'!R10+'Fed Contracts Grnts-4Yr'!R10+'Other Contract Grnts-4Yr'!R10+'Investment Income-4Yr'!R10+'All Other E&amp;G-4Yr'!R10</f>
        <v>3301030.7890000003</v>
      </c>
      <c r="S10" s="51">
        <f>+'Tuition-4Yr'!S10+'State Appropriations-4Yr'!S10+'Local Appropriations-4Yr'!S10+'Fed Contracts Grnts-4Yr'!S10+'Other Contract Grnts-4Yr'!S10+'Investment Income-4Yr'!S10+'All Other E&amp;G-4Yr'!S10</f>
        <v>3621955.3710000003</v>
      </c>
      <c r="T10" s="51">
        <f>+'Tuition-4Yr'!T10+'State Appropriations-4Yr'!T10+'Local Appropriations-4Yr'!T10+'Fed Contracts Grnts-4Yr'!T10+'Other Contract Grnts-4Yr'!T10+'Investment Income-4Yr'!T10+'All Other E&amp;G-4Yr'!T10</f>
        <v>4008259.9849999994</v>
      </c>
      <c r="U10" s="51">
        <f>+'Tuition-4Yr'!U10+'State Appropriations-4Yr'!U10+'Local Appropriations-4Yr'!U10+'Fed Contracts Grnts-4Yr'!U10+'Other Contract Grnts-4Yr'!U10+'Investment Income-4Yr'!U10+'All Other E&amp;G-4Yr'!U10</f>
        <v>4603982.1340000005</v>
      </c>
      <c r="V10" s="51">
        <f>+'Tuition-4Yr'!V10+'State Appropriations-4Yr'!V10+'Local Appropriations-4Yr'!V10+'Fed Contracts Grnts-4Yr'!V10+'Other Contract Grnts-4Yr'!V10+'Investment Income-4Yr'!V10+'All Other E&amp;G-4Yr'!V10</f>
        <v>4844659.87</v>
      </c>
      <c r="W10" s="51">
        <f>+'Tuition-4Yr'!W10+'State Appropriations-4Yr'!W10+'Local Appropriations-4Yr'!W10+'Fed Contracts Grnts-4Yr'!W10+'Other Contract Grnts-4Yr'!W10+'Investment Income-4Yr'!W10+'All Other E&amp;G-4Yr'!W10</f>
        <v>5930426.0369999995</v>
      </c>
      <c r="X10" s="51">
        <f>+'Tuition-4Yr'!X10+'State Appropriations-4Yr'!X10+'Local Appropriations-4Yr'!X10+'Fed Contracts Grnts-4Yr'!X10+'Other Contract Grnts-4Yr'!X10+'Investment Income-4Yr'!X10+'All Other E&amp;G-4Yr'!X10</f>
        <v>5596639.2930000005</v>
      </c>
      <c r="Y10" s="51">
        <f>+'Tuition-4Yr'!Y10+'State Appropriations-4Yr'!Y10+'Local Appropriations-4Yr'!Y10+'Fed Contracts Grnts-4Yr'!Y10+'Other Contract Grnts-4Yr'!Y10+'Investment Income-4Yr'!Y10+'All Other E&amp;G-4Yr'!Y10</f>
        <v>5965048.3130000001</v>
      </c>
      <c r="Z10" s="51">
        <f>+'Tuition-4Yr'!Z10+'State Appropriations-4Yr'!Z10+'Local Appropriations-4Yr'!Z10+'Fed Contracts Grnts-4Yr'!Z10+'Other Contract Grnts-4Yr'!Z10+'Investment Income-4Yr'!Z10+'All Other E&amp;G-4Yr'!Z10</f>
        <v>6145616.4519999996</v>
      </c>
      <c r="AA10" s="51">
        <f>+'Tuition-4Yr'!AA10+'State Appropriations-4Yr'!AA10+'Local Appropriations-4Yr'!AA10+'Fed Contracts Grnts-4Yr'!AA10+'Other Contract Grnts-4Yr'!AA10+'Investment Income-4Yr'!AA10+'All Other E&amp;G-4Yr'!AA10</f>
        <v>6441638.3040000005</v>
      </c>
      <c r="AB10" s="51">
        <f>+'Tuition-4Yr'!AB10+'State Appropriations-4Yr'!AB10+'Local Appropriations-4Yr'!AB10+'Fed Contracts Grnts-4Yr'!AB10+'Other Contract Grnts-4Yr'!AB10+'Investment Income-4Yr'!AB10+'All Other E&amp;G-4Yr'!AB10</f>
        <v>6851718.4009999996</v>
      </c>
      <c r="AC10" s="51">
        <f>+'Tuition-4Yr'!AC10+'State Appropriations-4Yr'!AC10+'Local Appropriations-4Yr'!AC10+'Fed Contracts Grnts-4Yr'!AC10+'Other Contract Grnts-4Yr'!AC10+'Investment Income-4Yr'!AC10+'All Other E&amp;G-4Yr'!AC10</f>
        <v>7352949</v>
      </c>
      <c r="AD10" s="51">
        <f>+'Tuition-4Yr'!AD10+'State Appropriations-4Yr'!AD10+'Local Appropriations-4Yr'!AD10+'Fed Contracts Grnts-4Yr'!AD10+'Other Contract Grnts-4Yr'!AD10+'Investment Income-4Yr'!AD10+'All Other E&amp;G-4Yr'!AD10</f>
        <v>7221777.6079999991</v>
      </c>
      <c r="AE10" s="51">
        <f>+'Tuition-4Yr'!AE10+'State Appropriations-4Yr'!AE10+'Local Appropriations-4Yr'!AE10+'Fed Contracts Grnts-4Yr'!AE10+'Other Contract Grnts-4Yr'!AE10+'Investment Income-4Yr'!AE10+'All Other E&amp;G-4Yr'!AE10</f>
        <v>7201722.635999999</v>
      </c>
      <c r="AF10" s="51">
        <f>+'Tuition-4Yr'!AF10+'State Appropriations-4Yr'!AF10+'Local Appropriations-4Yr'!AF10+'Fed Contracts Grnts-4Yr'!AF10+'Other Contract Grnts-4Yr'!AF10+'Investment Income-4Yr'!AF10+'All Other E&amp;G-4Yr'!AF10</f>
        <v>7927458.4860000005</v>
      </c>
      <c r="AG10" s="51">
        <f>+'Tuition-4Yr'!AG10+'State Appropriations-4Yr'!AG10+'Local Appropriations-4Yr'!AG10+'Fed Contracts Grnts-4Yr'!AG10+'Other Contract Grnts-4Yr'!AG10+'Investment Income-4Yr'!AG10+'All Other E&amp;G-4Yr'!AG10</f>
        <v>8435102.1559999995</v>
      </c>
      <c r="AH10" s="51">
        <f>+'Tuition-4Yr'!AH10+'State Appropriations-4Yr'!AH10+'Local Appropriations-4Yr'!AH10+'Fed Contracts Grnts-4Yr'!AH10+'Other Contract Grnts-4Yr'!AH10+'Investment Income-4Yr'!AH10+'All Other E&amp;G-4Yr'!AH10</f>
        <v>8413887.9160000011</v>
      </c>
      <c r="AI10" s="51">
        <f>+'Tuition-4Yr'!AI10+'State Appropriations-4Yr'!AI10+'Local Appropriations-4Yr'!AI10+'Fed Contracts Grnts-4Yr'!AI10+'Other Contract Grnts-4Yr'!AI10+'Investment Income-4Yr'!AI10+'All Other E&amp;G-4Yr'!AI10</f>
        <v>9070065.773</v>
      </c>
      <c r="AJ10" s="51">
        <f>+'Tuition-4Yr'!AJ10+'State Appropriations-4Yr'!AJ10+'Local Appropriations-4Yr'!AJ10+'Fed Contracts Grnts-4Yr'!AJ10+'Other Contract Grnts-4Yr'!AJ10+'Investment Income-4Yr'!AJ10+'All Other E&amp;G-4Yr'!AJ10</f>
        <v>0</v>
      </c>
      <c r="AK10" s="51">
        <f>+'Tuition-4Yr'!AK10+'State Appropriations-4Yr'!AK10+'Local Appropriations-4Yr'!AK10+'Fed Contracts Grnts-4Yr'!AK10+'Other Contract Grnts-4Yr'!AK10+'Investment Income-4Yr'!AK10+'All Other E&amp;G-4Yr'!AK10</f>
        <v>11485845.915999999</v>
      </c>
      <c r="AL10" s="51">
        <f>+'Tuition-4Yr'!AL10+'State Appropriations-4Yr'!AL10+'Local Appropriations-4Yr'!AL10+'Fed Contracts Grnts-4Yr'!AL10+'Other Contract Grnts-4Yr'!AL10+'Investment Income-4Yr'!AL10+'All Other E&amp;G-4Yr'!AL10</f>
        <v>10948933.562000001</v>
      </c>
    </row>
    <row r="11" spans="1:38" ht="12.75" customHeight="1">
      <c r="A11" s="1" t="s">
        <v>26</v>
      </c>
      <c r="B11" s="51">
        <f>+'Tuition-4Yr'!B11+'State Appropriations-4Yr'!B11+'Local Appropriations-4Yr'!B11+'Fed Contracts Grnts-4Yr'!B11+'Other Contract Grnts-4Yr'!B11+'Investment Income-4Yr'!B11+'All Other E&amp;G-4Yr'!B11</f>
        <v>838231</v>
      </c>
      <c r="C11" s="51">
        <f>+'Tuition-4Yr'!C11+'State Appropriations-4Yr'!C11+'Local Appropriations-4Yr'!C11+'Fed Contracts Grnts-4Yr'!C11+'Other Contract Grnts-4Yr'!C11+'Investment Income-4Yr'!C11+'All Other E&amp;G-4Yr'!C11</f>
        <v>911952</v>
      </c>
      <c r="D11" s="51">
        <f>+'Tuition-4Yr'!D11+'State Appropriations-4Yr'!D11+'Local Appropriations-4Yr'!D11+'Fed Contracts Grnts-4Yr'!D11+'Other Contract Grnts-4Yr'!D11+'Investment Income-4Yr'!D11+'All Other E&amp;G-4Yr'!D11</f>
        <v>1004924</v>
      </c>
      <c r="E11" s="51">
        <f>+'Tuition-4Yr'!E11+'State Appropriations-4Yr'!E11+'Local Appropriations-4Yr'!E11+'Fed Contracts Grnts-4Yr'!E11+'Other Contract Grnts-4Yr'!E11+'Investment Income-4Yr'!E11+'All Other E&amp;G-4Yr'!E11</f>
        <v>0</v>
      </c>
      <c r="F11" s="51">
        <f>+'Tuition-4Yr'!F11+'State Appropriations-4Yr'!F11+'Local Appropriations-4Yr'!F11+'Fed Contracts Grnts-4Yr'!F11+'Other Contract Grnts-4Yr'!F11+'Investment Income-4Yr'!F11+'All Other E&amp;G-4Yr'!F11</f>
        <v>0</v>
      </c>
      <c r="G11" s="51">
        <f>+'Tuition-4Yr'!G11+'State Appropriations-4Yr'!G11+'Local Appropriations-4Yr'!G11+'Fed Contracts Grnts-4Yr'!G11+'Other Contract Grnts-4Yr'!G11+'Investment Income-4Yr'!G11+'All Other E&amp;G-4Yr'!G11</f>
        <v>0</v>
      </c>
      <c r="H11" s="51">
        <f>+'Tuition-4Yr'!H11+'State Appropriations-4Yr'!H11+'Local Appropriations-4Yr'!H11+'Fed Contracts Grnts-4Yr'!H11+'Other Contract Grnts-4Yr'!H11+'Investment Income-4Yr'!H11+'All Other E&amp;G-4Yr'!H11</f>
        <v>0</v>
      </c>
      <c r="I11" s="51">
        <f>+'Tuition-4Yr'!I11+'State Appropriations-4Yr'!I11+'Local Appropriations-4Yr'!I11+'Fed Contracts Grnts-4Yr'!I11+'Other Contract Grnts-4Yr'!I11+'Investment Income-4Yr'!I11+'All Other E&amp;G-4Yr'!I11</f>
        <v>1391776.287</v>
      </c>
      <c r="J11" s="51">
        <f>+'Tuition-4Yr'!J11+'State Appropriations-4Yr'!J11+'Local Appropriations-4Yr'!J11+'Fed Contracts Grnts-4Yr'!J11+'Other Contract Grnts-4Yr'!J11+'Investment Income-4Yr'!J11+'All Other E&amp;G-4Yr'!J11</f>
        <v>1415815.1240000001</v>
      </c>
      <c r="K11" s="51">
        <f>+'Tuition-4Yr'!K11+'State Appropriations-4Yr'!K11+'Local Appropriations-4Yr'!K11+'Fed Contracts Grnts-4Yr'!K11+'Other Contract Grnts-4Yr'!K11+'Investment Income-4Yr'!K11+'All Other E&amp;G-4Yr'!K11</f>
        <v>1560988.9300000002</v>
      </c>
      <c r="L11" s="51">
        <f>+'Tuition-4Yr'!L11+'State Appropriations-4Yr'!L11+'Local Appropriations-4Yr'!L11+'Fed Contracts Grnts-4Yr'!L11+'Other Contract Grnts-4Yr'!L11+'Investment Income-4Yr'!L11+'All Other E&amp;G-4Yr'!L11</f>
        <v>1713464.4129999999</v>
      </c>
      <c r="M11" s="51">
        <f>+'Tuition-4Yr'!M11+'State Appropriations-4Yr'!M11+'Local Appropriations-4Yr'!M11+'Fed Contracts Grnts-4Yr'!M11+'Other Contract Grnts-4Yr'!M11+'Investment Income-4Yr'!M11+'All Other E&amp;G-4Yr'!M11</f>
        <v>1899594.2849999999</v>
      </c>
      <c r="N11" s="51">
        <f>+'Tuition-4Yr'!N11+'State Appropriations-4Yr'!N11+'Local Appropriations-4Yr'!N11+'Fed Contracts Grnts-4Yr'!N11+'Other Contract Grnts-4Yr'!N11+'Investment Income-4Yr'!N11+'All Other E&amp;G-4Yr'!N11</f>
        <v>2069886.5790000001</v>
      </c>
      <c r="O11" s="51">
        <f>+'Tuition-4Yr'!O11+'State Appropriations-4Yr'!O11+'Local Appropriations-4Yr'!O11+'Fed Contracts Grnts-4Yr'!O11+'Other Contract Grnts-4Yr'!O11+'Investment Income-4Yr'!O11+'All Other E&amp;G-4Yr'!O11</f>
        <v>2304789.0870000003</v>
      </c>
      <c r="P11" s="51">
        <f>+'Tuition-4Yr'!P11+'State Appropriations-4Yr'!P11+'Local Appropriations-4Yr'!P11+'Fed Contracts Grnts-4Yr'!P11+'Other Contract Grnts-4Yr'!P11+'Investment Income-4Yr'!P11+'All Other E&amp;G-4Yr'!P11</f>
        <v>0</v>
      </c>
      <c r="Q11" s="51">
        <f>+'Tuition-4Yr'!Q11+'State Appropriations-4Yr'!Q11+'Local Appropriations-4Yr'!Q11+'Fed Contracts Grnts-4Yr'!Q11+'Other Contract Grnts-4Yr'!Q11+'Investment Income-4Yr'!Q11+'All Other E&amp;G-4Yr'!Q11</f>
        <v>0</v>
      </c>
      <c r="R11" s="51">
        <f>+'Tuition-4Yr'!R11+'State Appropriations-4Yr'!R11+'Local Appropriations-4Yr'!R11+'Fed Contracts Grnts-4Yr'!R11+'Other Contract Grnts-4Yr'!R11+'Investment Income-4Yr'!R11+'All Other E&amp;G-4Yr'!R11</f>
        <v>2897779.7780000004</v>
      </c>
      <c r="S11" s="51">
        <f>+'Tuition-4Yr'!S11+'State Appropriations-4Yr'!S11+'Local Appropriations-4Yr'!S11+'Fed Contracts Grnts-4Yr'!S11+'Other Contract Grnts-4Yr'!S11+'Investment Income-4Yr'!S11+'All Other E&amp;G-4Yr'!S11</f>
        <v>3176932.6040000003</v>
      </c>
      <c r="T11" s="51">
        <f>+'Tuition-4Yr'!T11+'State Appropriations-4Yr'!T11+'Local Appropriations-4Yr'!T11+'Fed Contracts Grnts-4Yr'!T11+'Other Contract Grnts-4Yr'!T11+'Investment Income-4Yr'!T11+'All Other E&amp;G-4Yr'!T11</f>
        <v>3121948.7730000005</v>
      </c>
      <c r="U11" s="51">
        <f>+'Tuition-4Yr'!U11+'State Appropriations-4Yr'!U11+'Local Appropriations-4Yr'!U11+'Fed Contracts Grnts-4Yr'!U11+'Other Contract Grnts-4Yr'!U11+'Investment Income-4Yr'!U11+'All Other E&amp;G-4Yr'!U11</f>
        <v>3235461.04</v>
      </c>
      <c r="V11" s="51">
        <f>+'Tuition-4Yr'!V11+'State Appropriations-4Yr'!V11+'Local Appropriations-4Yr'!V11+'Fed Contracts Grnts-4Yr'!V11+'Other Contract Grnts-4Yr'!V11+'Investment Income-4Yr'!V11+'All Other E&amp;G-4Yr'!V11</f>
        <v>3309401.2490000003</v>
      </c>
      <c r="W11" s="51">
        <f>+'Tuition-4Yr'!W11+'State Appropriations-4Yr'!W11+'Local Appropriations-4Yr'!W11+'Fed Contracts Grnts-4Yr'!W11+'Other Contract Grnts-4Yr'!W11+'Investment Income-4Yr'!W11+'All Other E&amp;G-4Yr'!W11</f>
        <v>3347322.9069999997</v>
      </c>
      <c r="X11" s="51">
        <f>+'Tuition-4Yr'!X11+'State Appropriations-4Yr'!X11+'Local Appropriations-4Yr'!X11+'Fed Contracts Grnts-4Yr'!X11+'Other Contract Grnts-4Yr'!X11+'Investment Income-4Yr'!X11+'All Other E&amp;G-4Yr'!X11</f>
        <v>3438574.6579999998</v>
      </c>
      <c r="Y11" s="51">
        <f>+'Tuition-4Yr'!Y11+'State Appropriations-4Yr'!Y11+'Local Appropriations-4Yr'!Y11+'Fed Contracts Grnts-4Yr'!Y11+'Other Contract Grnts-4Yr'!Y11+'Investment Income-4Yr'!Y11+'All Other E&amp;G-4Yr'!Y11</f>
        <v>3728850.4910000004</v>
      </c>
      <c r="Z11" s="51">
        <f>+'Tuition-4Yr'!Z11+'State Appropriations-4Yr'!Z11+'Local Appropriations-4Yr'!Z11+'Fed Contracts Grnts-4Yr'!Z11+'Other Contract Grnts-4Yr'!Z11+'Investment Income-4Yr'!Z11+'All Other E&amp;G-4Yr'!Z11</f>
        <v>4077522.8499999996</v>
      </c>
      <c r="AA11" s="51">
        <f>+'Tuition-4Yr'!AA11+'State Appropriations-4Yr'!AA11+'Local Appropriations-4Yr'!AA11+'Fed Contracts Grnts-4Yr'!AA11+'Other Contract Grnts-4Yr'!AA11+'Investment Income-4Yr'!AA11+'All Other E&amp;G-4Yr'!AA11</f>
        <v>3900669.5669999998</v>
      </c>
      <c r="AB11" s="51">
        <f>+'Tuition-4Yr'!AB11+'State Appropriations-4Yr'!AB11+'Local Appropriations-4Yr'!AB11+'Fed Contracts Grnts-4Yr'!AB11+'Other Contract Grnts-4Yr'!AB11+'Investment Income-4Yr'!AB11+'All Other E&amp;G-4Yr'!AB11</f>
        <v>4714337.6329999994</v>
      </c>
      <c r="AC11" s="51">
        <f>+'Tuition-4Yr'!AC11+'State Appropriations-4Yr'!AC11+'Local Appropriations-4Yr'!AC11+'Fed Contracts Grnts-4Yr'!AC11+'Other Contract Grnts-4Yr'!AC11+'Investment Income-4Yr'!AC11+'All Other E&amp;G-4Yr'!AC11</f>
        <v>5025488</v>
      </c>
      <c r="AD11" s="51">
        <f>+'Tuition-4Yr'!AD11+'State Appropriations-4Yr'!AD11+'Local Appropriations-4Yr'!AD11+'Fed Contracts Grnts-4Yr'!AD11+'Other Contract Grnts-4Yr'!AD11+'Investment Income-4Yr'!AD11+'All Other E&amp;G-4Yr'!AD11</f>
        <v>5259176.2290000003</v>
      </c>
      <c r="AE11" s="51">
        <f>+'Tuition-4Yr'!AE11+'State Appropriations-4Yr'!AE11+'Local Appropriations-4Yr'!AE11+'Fed Contracts Grnts-4Yr'!AE11+'Other Contract Grnts-4Yr'!AE11+'Investment Income-4Yr'!AE11+'All Other E&amp;G-4Yr'!AE11</f>
        <v>5726556.3510000007</v>
      </c>
      <c r="AF11" s="51">
        <f>+'Tuition-4Yr'!AF11+'State Appropriations-4Yr'!AF11+'Local Appropriations-4Yr'!AF11+'Fed Contracts Grnts-4Yr'!AF11+'Other Contract Grnts-4Yr'!AF11+'Investment Income-4Yr'!AF11+'All Other E&amp;G-4Yr'!AF11</f>
        <v>5673008.0030000005</v>
      </c>
      <c r="AG11" s="51">
        <f>+'Tuition-4Yr'!AG11+'State Appropriations-4Yr'!AG11+'Local Appropriations-4Yr'!AG11+'Fed Contracts Grnts-4Yr'!AG11+'Other Contract Grnts-4Yr'!AG11+'Investment Income-4Yr'!AG11+'All Other E&amp;G-4Yr'!AG11</f>
        <v>6091713.8420000002</v>
      </c>
      <c r="AH11" s="51">
        <f>+'Tuition-4Yr'!AH11+'State Appropriations-4Yr'!AH11+'Local Appropriations-4Yr'!AH11+'Fed Contracts Grnts-4Yr'!AH11+'Other Contract Grnts-4Yr'!AH11+'Investment Income-4Yr'!AH11+'All Other E&amp;G-4Yr'!AH11</f>
        <v>6353169.2640000004</v>
      </c>
      <c r="AI11" s="51">
        <f>+'Tuition-4Yr'!AI11+'State Appropriations-4Yr'!AI11+'Local Appropriations-4Yr'!AI11+'Fed Contracts Grnts-4Yr'!AI11+'Other Contract Grnts-4Yr'!AI11+'Investment Income-4Yr'!AI11+'All Other E&amp;G-4Yr'!AI11</f>
        <v>6701142.9699999997</v>
      </c>
      <c r="AJ11" s="51">
        <f>+'Tuition-4Yr'!AJ11+'State Appropriations-4Yr'!AJ11+'Local Appropriations-4Yr'!AJ11+'Fed Contracts Grnts-4Yr'!AJ11+'Other Contract Grnts-4Yr'!AJ11+'Investment Income-4Yr'!AJ11+'All Other E&amp;G-4Yr'!AJ11</f>
        <v>0</v>
      </c>
      <c r="AK11" s="51">
        <f>+'Tuition-4Yr'!AK11+'State Appropriations-4Yr'!AK11+'Local Appropriations-4Yr'!AK11+'Fed Contracts Grnts-4Yr'!AK11+'Other Contract Grnts-4Yr'!AK11+'Investment Income-4Yr'!AK11+'All Other E&amp;G-4Yr'!AK11</f>
        <v>7911482.8109999998</v>
      </c>
      <c r="AL11" s="51">
        <f>+'Tuition-4Yr'!AL11+'State Appropriations-4Yr'!AL11+'Local Appropriations-4Yr'!AL11+'Fed Contracts Grnts-4Yr'!AL11+'Other Contract Grnts-4Yr'!AL11+'Investment Income-4Yr'!AL11+'All Other E&amp;G-4Yr'!AL11</f>
        <v>8007932.2699999996</v>
      </c>
    </row>
    <row r="12" spans="1:38" ht="12.75" customHeight="1">
      <c r="A12" s="1" t="s">
        <v>27</v>
      </c>
      <c r="B12" s="51">
        <f>+'Tuition-4Yr'!B12+'State Appropriations-4Yr'!B12+'Local Appropriations-4Yr'!B12+'Fed Contracts Grnts-4Yr'!B12+'Other Contract Grnts-4Yr'!B12+'Investment Income-4Yr'!B12+'All Other E&amp;G-4Yr'!B12</f>
        <v>658360</v>
      </c>
      <c r="C12" s="51">
        <f>+'Tuition-4Yr'!C12+'State Appropriations-4Yr'!C12+'Local Appropriations-4Yr'!C12+'Fed Contracts Grnts-4Yr'!C12+'Other Contract Grnts-4Yr'!C12+'Investment Income-4Yr'!C12+'All Other E&amp;G-4Yr'!C12</f>
        <v>696203</v>
      </c>
      <c r="D12" s="51">
        <f>+'Tuition-4Yr'!D12+'State Appropriations-4Yr'!D12+'Local Appropriations-4Yr'!D12+'Fed Contracts Grnts-4Yr'!D12+'Other Contract Grnts-4Yr'!D12+'Investment Income-4Yr'!D12+'All Other E&amp;G-4Yr'!D12</f>
        <v>743327</v>
      </c>
      <c r="E12" s="51">
        <f>+'Tuition-4Yr'!E12+'State Appropriations-4Yr'!E12+'Local Appropriations-4Yr'!E12+'Fed Contracts Grnts-4Yr'!E12+'Other Contract Grnts-4Yr'!E12+'Investment Income-4Yr'!E12+'All Other E&amp;G-4Yr'!E12</f>
        <v>0</v>
      </c>
      <c r="F12" s="51">
        <f>+'Tuition-4Yr'!F12+'State Appropriations-4Yr'!F12+'Local Appropriations-4Yr'!F12+'Fed Contracts Grnts-4Yr'!F12+'Other Contract Grnts-4Yr'!F12+'Investment Income-4Yr'!F12+'All Other E&amp;G-4Yr'!F12</f>
        <v>0</v>
      </c>
      <c r="G12" s="51">
        <f>+'Tuition-4Yr'!G12+'State Appropriations-4Yr'!G12+'Local Appropriations-4Yr'!G12+'Fed Contracts Grnts-4Yr'!G12+'Other Contract Grnts-4Yr'!G12+'Investment Income-4Yr'!G12+'All Other E&amp;G-4Yr'!G12</f>
        <v>0</v>
      </c>
      <c r="H12" s="51">
        <f>+'Tuition-4Yr'!H12+'State Appropriations-4Yr'!H12+'Local Appropriations-4Yr'!H12+'Fed Contracts Grnts-4Yr'!H12+'Other Contract Grnts-4Yr'!H12+'Investment Income-4Yr'!H12+'All Other E&amp;G-4Yr'!H12</f>
        <v>0</v>
      </c>
      <c r="I12" s="51">
        <f>+'Tuition-4Yr'!I12+'State Appropriations-4Yr'!I12+'Local Appropriations-4Yr'!I12+'Fed Contracts Grnts-4Yr'!I12+'Other Contract Grnts-4Yr'!I12+'Investment Income-4Yr'!I12+'All Other E&amp;G-4Yr'!I12</f>
        <v>1074630.94</v>
      </c>
      <c r="J12" s="51">
        <f>+'Tuition-4Yr'!J12+'State Appropriations-4Yr'!J12+'Local Appropriations-4Yr'!J12+'Fed Contracts Grnts-4Yr'!J12+'Other Contract Grnts-4Yr'!J12+'Investment Income-4Yr'!J12+'All Other E&amp;G-4Yr'!J12</f>
        <v>1149012.3860000002</v>
      </c>
      <c r="K12" s="51">
        <f>+'Tuition-4Yr'!K12+'State Appropriations-4Yr'!K12+'Local Appropriations-4Yr'!K12+'Fed Contracts Grnts-4Yr'!K12+'Other Contract Grnts-4Yr'!K12+'Investment Income-4Yr'!K12+'All Other E&amp;G-4Yr'!K12</f>
        <v>1160101.287</v>
      </c>
      <c r="L12" s="51">
        <f>+'Tuition-4Yr'!L12+'State Appropriations-4Yr'!L12+'Local Appropriations-4Yr'!L12+'Fed Contracts Grnts-4Yr'!L12+'Other Contract Grnts-4Yr'!L12+'Investment Income-4Yr'!L12+'All Other E&amp;G-4Yr'!L12</f>
        <v>1206443.29</v>
      </c>
      <c r="M12" s="51">
        <f>+'Tuition-4Yr'!M12+'State Appropriations-4Yr'!M12+'Local Appropriations-4Yr'!M12+'Fed Contracts Grnts-4Yr'!M12+'Other Contract Grnts-4Yr'!M12+'Investment Income-4Yr'!M12+'All Other E&amp;G-4Yr'!M12</f>
        <v>1293938.2860000003</v>
      </c>
      <c r="N12" s="51">
        <f>+'Tuition-4Yr'!N12+'State Appropriations-4Yr'!N12+'Local Appropriations-4Yr'!N12+'Fed Contracts Grnts-4Yr'!N12+'Other Contract Grnts-4Yr'!N12+'Investment Income-4Yr'!N12+'All Other E&amp;G-4Yr'!N12</f>
        <v>1388954.6359999999</v>
      </c>
      <c r="O12" s="51">
        <f>+'Tuition-4Yr'!O12+'State Appropriations-4Yr'!O12+'Local Appropriations-4Yr'!O12+'Fed Contracts Grnts-4Yr'!O12+'Other Contract Grnts-4Yr'!O12+'Investment Income-4Yr'!O12+'All Other E&amp;G-4Yr'!O12</f>
        <v>1532753.7310000001</v>
      </c>
      <c r="P12" s="51">
        <f>+'Tuition-4Yr'!P12+'State Appropriations-4Yr'!P12+'Local Appropriations-4Yr'!P12+'Fed Contracts Grnts-4Yr'!P12+'Other Contract Grnts-4Yr'!P12+'Investment Income-4Yr'!P12+'All Other E&amp;G-4Yr'!P12</f>
        <v>0</v>
      </c>
      <c r="Q12" s="51">
        <f>+'Tuition-4Yr'!Q12+'State Appropriations-4Yr'!Q12+'Local Appropriations-4Yr'!Q12+'Fed Contracts Grnts-4Yr'!Q12+'Other Contract Grnts-4Yr'!Q12+'Investment Income-4Yr'!Q12+'All Other E&amp;G-4Yr'!Q12</f>
        <v>0</v>
      </c>
      <c r="R12" s="51">
        <f>+'Tuition-4Yr'!R12+'State Appropriations-4Yr'!R12+'Local Appropriations-4Yr'!R12+'Fed Contracts Grnts-4Yr'!R12+'Other Contract Grnts-4Yr'!R12+'Investment Income-4Yr'!R12+'All Other E&amp;G-4Yr'!R12</f>
        <v>1826546.3309999998</v>
      </c>
      <c r="S12" s="51">
        <f>+'Tuition-4Yr'!S12+'State Appropriations-4Yr'!S12+'Local Appropriations-4Yr'!S12+'Fed Contracts Grnts-4Yr'!S12+'Other Contract Grnts-4Yr'!S12+'Investment Income-4Yr'!S12+'All Other E&amp;G-4Yr'!S12</f>
        <v>1966020.8630000001</v>
      </c>
      <c r="T12" s="51">
        <f>+'Tuition-4Yr'!T12+'State Appropriations-4Yr'!T12+'Local Appropriations-4Yr'!T12+'Fed Contracts Grnts-4Yr'!T12+'Other Contract Grnts-4Yr'!T12+'Investment Income-4Yr'!T12+'All Other E&amp;G-4Yr'!T12</f>
        <v>1912517.436</v>
      </c>
      <c r="U12" s="51">
        <f>+'Tuition-4Yr'!U12+'State Appropriations-4Yr'!U12+'Local Appropriations-4Yr'!U12+'Fed Contracts Grnts-4Yr'!U12+'Other Contract Grnts-4Yr'!U12+'Investment Income-4Yr'!U12+'All Other E&amp;G-4Yr'!U12</f>
        <v>1908886.4070000001</v>
      </c>
      <c r="V12" s="51">
        <f>+'Tuition-4Yr'!V12+'State Appropriations-4Yr'!V12+'Local Appropriations-4Yr'!V12+'Fed Contracts Grnts-4Yr'!V12+'Other Contract Grnts-4Yr'!V12+'Investment Income-4Yr'!V12+'All Other E&amp;G-4Yr'!V12</f>
        <v>2009676.2109999997</v>
      </c>
      <c r="W12" s="51">
        <f>+'Tuition-4Yr'!W12+'State Appropriations-4Yr'!W12+'Local Appropriations-4Yr'!W12+'Fed Contracts Grnts-4Yr'!W12+'Other Contract Grnts-4Yr'!W12+'Investment Income-4Yr'!W12+'All Other E&amp;G-4Yr'!W12</f>
        <v>2305980.8470000001</v>
      </c>
      <c r="X12" s="51">
        <f>+'Tuition-4Yr'!X12+'State Appropriations-4Yr'!X12+'Local Appropriations-4Yr'!X12+'Fed Contracts Grnts-4Yr'!X12+'Other Contract Grnts-4Yr'!X12+'Investment Income-4Yr'!X12+'All Other E&amp;G-4Yr'!X12</f>
        <v>2397729.8319999999</v>
      </c>
      <c r="Y12" s="51">
        <f>+'Tuition-4Yr'!Y12+'State Appropriations-4Yr'!Y12+'Local Appropriations-4Yr'!Y12+'Fed Contracts Grnts-4Yr'!Y12+'Other Contract Grnts-4Yr'!Y12+'Investment Income-4Yr'!Y12+'All Other E&amp;G-4Yr'!Y12</f>
        <v>2582088.1979999999</v>
      </c>
      <c r="Z12" s="51">
        <f>+'Tuition-4Yr'!Z12+'State Appropriations-4Yr'!Z12+'Local Appropriations-4Yr'!Z12+'Fed Contracts Grnts-4Yr'!Z12+'Other Contract Grnts-4Yr'!Z12+'Investment Income-4Yr'!Z12+'All Other E&amp;G-4Yr'!Z12</f>
        <v>2498095.8960000002</v>
      </c>
      <c r="AA12" s="51">
        <f>+'Tuition-4Yr'!AA12+'State Appropriations-4Yr'!AA12+'Local Appropriations-4Yr'!AA12+'Fed Contracts Grnts-4Yr'!AA12+'Other Contract Grnts-4Yr'!AA12+'Investment Income-4Yr'!AA12+'All Other E&amp;G-4Yr'!AA12</f>
        <v>2632064.7650000001</v>
      </c>
      <c r="AB12" s="51">
        <f>+'Tuition-4Yr'!AB12+'State Appropriations-4Yr'!AB12+'Local Appropriations-4Yr'!AB12+'Fed Contracts Grnts-4Yr'!AB12+'Other Contract Grnts-4Yr'!AB12+'Investment Income-4Yr'!AB12+'All Other E&amp;G-4Yr'!AB12</f>
        <v>3257958.4539999999</v>
      </c>
      <c r="AC12" s="51">
        <f>+'Tuition-4Yr'!AC12+'State Appropriations-4Yr'!AC12+'Local Appropriations-4Yr'!AC12+'Fed Contracts Grnts-4Yr'!AC12+'Other Contract Grnts-4Yr'!AC12+'Investment Income-4Yr'!AC12+'All Other E&amp;G-4Yr'!AC12</f>
        <v>3499926</v>
      </c>
      <c r="AD12" s="51">
        <f>+'Tuition-4Yr'!AD12+'State Appropriations-4Yr'!AD12+'Local Appropriations-4Yr'!AD12+'Fed Contracts Grnts-4Yr'!AD12+'Other Contract Grnts-4Yr'!AD12+'Investment Income-4Yr'!AD12+'All Other E&amp;G-4Yr'!AD12</f>
        <v>3340573.9819999998</v>
      </c>
      <c r="AE12" s="51">
        <f>+'Tuition-4Yr'!AE12+'State Appropriations-4Yr'!AE12+'Local Appropriations-4Yr'!AE12+'Fed Contracts Grnts-4Yr'!AE12+'Other Contract Grnts-4Yr'!AE12+'Investment Income-4Yr'!AE12+'All Other E&amp;G-4Yr'!AE12</f>
        <v>3452864.9580000001</v>
      </c>
      <c r="AF12" s="51">
        <f>+'Tuition-4Yr'!AF12+'State Appropriations-4Yr'!AF12+'Local Appropriations-4Yr'!AF12+'Fed Contracts Grnts-4Yr'!AF12+'Other Contract Grnts-4Yr'!AF12+'Investment Income-4Yr'!AF12+'All Other E&amp;G-4Yr'!AF12</f>
        <v>3226574.875</v>
      </c>
      <c r="AG12" s="51">
        <f>+'Tuition-4Yr'!AG12+'State Appropriations-4Yr'!AG12+'Local Appropriations-4Yr'!AG12+'Fed Contracts Grnts-4Yr'!AG12+'Other Contract Grnts-4Yr'!AG12+'Investment Income-4Yr'!AG12+'All Other E&amp;G-4Yr'!AG12</f>
        <v>3620421.1100000003</v>
      </c>
      <c r="AH12" s="51">
        <f>+'Tuition-4Yr'!AH12+'State Appropriations-4Yr'!AH12+'Local Appropriations-4Yr'!AH12+'Fed Contracts Grnts-4Yr'!AH12+'Other Contract Grnts-4Yr'!AH12+'Investment Income-4Yr'!AH12+'All Other E&amp;G-4Yr'!AH12</f>
        <v>3706423.8770000003</v>
      </c>
      <c r="AI12" s="51">
        <f>+'Tuition-4Yr'!AI12+'State Appropriations-4Yr'!AI12+'Local Appropriations-4Yr'!AI12+'Fed Contracts Grnts-4Yr'!AI12+'Other Contract Grnts-4Yr'!AI12+'Investment Income-4Yr'!AI12+'All Other E&amp;G-4Yr'!AI12</f>
        <v>3837379.8880000003</v>
      </c>
      <c r="AJ12" s="51">
        <f>+'Tuition-4Yr'!AJ12+'State Appropriations-4Yr'!AJ12+'Local Appropriations-4Yr'!AJ12+'Fed Contracts Grnts-4Yr'!AJ12+'Other Contract Grnts-4Yr'!AJ12+'Investment Income-4Yr'!AJ12+'All Other E&amp;G-4Yr'!AJ12</f>
        <v>0</v>
      </c>
      <c r="AK12" s="51">
        <f>+'Tuition-4Yr'!AK12+'State Appropriations-4Yr'!AK12+'Local Appropriations-4Yr'!AK12+'Fed Contracts Grnts-4Yr'!AK12+'Other Contract Grnts-4Yr'!AK12+'Investment Income-4Yr'!AK12+'All Other E&amp;G-4Yr'!AK12</f>
        <v>4134637.713</v>
      </c>
      <c r="AL12" s="51">
        <f>+'Tuition-4Yr'!AL12+'State Appropriations-4Yr'!AL12+'Local Appropriations-4Yr'!AL12+'Fed Contracts Grnts-4Yr'!AL12+'Other Contract Grnts-4Yr'!AL12+'Investment Income-4Yr'!AL12+'All Other E&amp;G-4Yr'!AL12</f>
        <v>4086039.9790000003</v>
      </c>
    </row>
    <row r="13" spans="1:38" ht="12.75" customHeight="1">
      <c r="A13" s="1" t="s">
        <v>28</v>
      </c>
      <c r="B13" s="51">
        <f>+'Tuition-4Yr'!B13+'State Appropriations-4Yr'!B13+'Local Appropriations-4Yr'!B13+'Fed Contracts Grnts-4Yr'!B13+'Other Contract Grnts-4Yr'!B13+'Investment Income-4Yr'!B13+'All Other E&amp;G-4Yr'!B13</f>
        <v>765743</v>
      </c>
      <c r="C13" s="51">
        <f>+'Tuition-4Yr'!C13+'State Appropriations-4Yr'!C13+'Local Appropriations-4Yr'!C13+'Fed Contracts Grnts-4Yr'!C13+'Other Contract Grnts-4Yr'!C13+'Investment Income-4Yr'!C13+'All Other E&amp;G-4Yr'!C13</f>
        <v>837406</v>
      </c>
      <c r="D13" s="51">
        <f>+'Tuition-4Yr'!D13+'State Appropriations-4Yr'!D13+'Local Appropriations-4Yr'!D13+'Fed Contracts Grnts-4Yr'!D13+'Other Contract Grnts-4Yr'!D13+'Investment Income-4Yr'!D13+'All Other E&amp;G-4Yr'!D13</f>
        <v>874946</v>
      </c>
      <c r="E13" s="51">
        <f>+'Tuition-4Yr'!E13+'State Appropriations-4Yr'!E13+'Local Appropriations-4Yr'!E13+'Fed Contracts Grnts-4Yr'!E13+'Other Contract Grnts-4Yr'!E13+'Investment Income-4Yr'!E13+'All Other E&amp;G-4Yr'!E13</f>
        <v>0</v>
      </c>
      <c r="F13" s="51">
        <f>+'Tuition-4Yr'!F13+'State Appropriations-4Yr'!F13+'Local Appropriations-4Yr'!F13+'Fed Contracts Grnts-4Yr'!F13+'Other Contract Grnts-4Yr'!F13+'Investment Income-4Yr'!F13+'All Other E&amp;G-4Yr'!F13</f>
        <v>0</v>
      </c>
      <c r="G13" s="51">
        <f>+'Tuition-4Yr'!G13+'State Appropriations-4Yr'!G13+'Local Appropriations-4Yr'!G13+'Fed Contracts Grnts-4Yr'!G13+'Other Contract Grnts-4Yr'!G13+'Investment Income-4Yr'!G13+'All Other E&amp;G-4Yr'!G13</f>
        <v>0</v>
      </c>
      <c r="H13" s="51">
        <f>+'Tuition-4Yr'!H13+'State Appropriations-4Yr'!H13+'Local Appropriations-4Yr'!H13+'Fed Contracts Grnts-4Yr'!H13+'Other Contract Grnts-4Yr'!H13+'Investment Income-4Yr'!H13+'All Other E&amp;G-4Yr'!H13</f>
        <v>0</v>
      </c>
      <c r="I13" s="51">
        <f>+'Tuition-4Yr'!I13+'State Appropriations-4Yr'!I13+'Local Appropriations-4Yr'!I13+'Fed Contracts Grnts-4Yr'!I13+'Other Contract Grnts-4Yr'!I13+'Investment Income-4Yr'!I13+'All Other E&amp;G-4Yr'!I13</f>
        <v>1160775.1600000001</v>
      </c>
      <c r="J13" s="51">
        <f>+'Tuition-4Yr'!J13+'State Appropriations-4Yr'!J13+'Local Appropriations-4Yr'!J13+'Fed Contracts Grnts-4Yr'!J13+'Other Contract Grnts-4Yr'!J13+'Investment Income-4Yr'!J13+'All Other E&amp;G-4Yr'!J13</f>
        <v>1239676.851</v>
      </c>
      <c r="K13" s="51">
        <f>+'Tuition-4Yr'!K13+'State Appropriations-4Yr'!K13+'Local Appropriations-4Yr'!K13+'Fed Contracts Grnts-4Yr'!K13+'Other Contract Grnts-4Yr'!K13+'Investment Income-4Yr'!K13+'All Other E&amp;G-4Yr'!K13</f>
        <v>1323208.845</v>
      </c>
      <c r="L13" s="51">
        <f>+'Tuition-4Yr'!L13+'State Appropriations-4Yr'!L13+'Local Appropriations-4Yr'!L13+'Fed Contracts Grnts-4Yr'!L13+'Other Contract Grnts-4Yr'!L13+'Investment Income-4Yr'!L13+'All Other E&amp;G-4Yr'!L13</f>
        <v>1364583.3439999998</v>
      </c>
      <c r="M13" s="51">
        <f>+'Tuition-4Yr'!M13+'State Appropriations-4Yr'!M13+'Local Appropriations-4Yr'!M13+'Fed Contracts Grnts-4Yr'!M13+'Other Contract Grnts-4Yr'!M13+'Investment Income-4Yr'!M13+'All Other E&amp;G-4Yr'!M13</f>
        <v>1500955.2289999998</v>
      </c>
      <c r="N13" s="51">
        <f>+'Tuition-4Yr'!N13+'State Appropriations-4Yr'!N13+'Local Appropriations-4Yr'!N13+'Fed Contracts Grnts-4Yr'!N13+'Other Contract Grnts-4Yr'!N13+'Investment Income-4Yr'!N13+'All Other E&amp;G-4Yr'!N13</f>
        <v>1545880.183</v>
      </c>
      <c r="O13" s="51">
        <f>+'Tuition-4Yr'!O13+'State Appropriations-4Yr'!O13+'Local Appropriations-4Yr'!O13+'Fed Contracts Grnts-4Yr'!O13+'Other Contract Grnts-4Yr'!O13+'Investment Income-4Yr'!O13+'All Other E&amp;G-4Yr'!O13</f>
        <v>1622611.1579999998</v>
      </c>
      <c r="P13" s="51">
        <f>+'Tuition-4Yr'!P13+'State Appropriations-4Yr'!P13+'Local Appropriations-4Yr'!P13+'Fed Contracts Grnts-4Yr'!P13+'Other Contract Grnts-4Yr'!P13+'Investment Income-4Yr'!P13+'All Other E&amp;G-4Yr'!P13</f>
        <v>0</v>
      </c>
      <c r="Q13" s="51">
        <f>+'Tuition-4Yr'!Q13+'State Appropriations-4Yr'!Q13+'Local Appropriations-4Yr'!Q13+'Fed Contracts Grnts-4Yr'!Q13+'Other Contract Grnts-4Yr'!Q13+'Investment Income-4Yr'!Q13+'All Other E&amp;G-4Yr'!Q13</f>
        <v>0</v>
      </c>
      <c r="R13" s="51">
        <f>+'Tuition-4Yr'!R13+'State Appropriations-4Yr'!R13+'Local Appropriations-4Yr'!R13+'Fed Contracts Grnts-4Yr'!R13+'Other Contract Grnts-4Yr'!R13+'Investment Income-4Yr'!R13+'All Other E&amp;G-4Yr'!R13</f>
        <v>1902359.2459999998</v>
      </c>
      <c r="S13" s="51">
        <f>+'Tuition-4Yr'!S13+'State Appropriations-4Yr'!S13+'Local Appropriations-4Yr'!S13+'Fed Contracts Grnts-4Yr'!S13+'Other Contract Grnts-4Yr'!S13+'Investment Income-4Yr'!S13+'All Other E&amp;G-4Yr'!S13</f>
        <v>1977576.4790000003</v>
      </c>
      <c r="T13" s="51">
        <f>+'Tuition-4Yr'!T13+'State Appropriations-4Yr'!T13+'Local Appropriations-4Yr'!T13+'Fed Contracts Grnts-4Yr'!T13+'Other Contract Grnts-4Yr'!T13+'Investment Income-4Yr'!T13+'All Other E&amp;G-4Yr'!T13</f>
        <v>2109623.6640000003</v>
      </c>
      <c r="U13" s="51">
        <f>+'Tuition-4Yr'!U13+'State Appropriations-4Yr'!U13+'Local Appropriations-4Yr'!U13+'Fed Contracts Grnts-4Yr'!U13+'Other Contract Grnts-4Yr'!U13+'Investment Income-4Yr'!U13+'All Other E&amp;G-4Yr'!U13</f>
        <v>2117428.0549999997</v>
      </c>
      <c r="V13" s="51">
        <f>+'Tuition-4Yr'!V13+'State Appropriations-4Yr'!V13+'Local Appropriations-4Yr'!V13+'Fed Contracts Grnts-4Yr'!V13+'Other Contract Grnts-4Yr'!V13+'Investment Income-4Yr'!V13+'All Other E&amp;G-4Yr'!V13</f>
        <v>2272972.932</v>
      </c>
      <c r="W13" s="51">
        <f>+'Tuition-4Yr'!W13+'State Appropriations-4Yr'!W13+'Local Appropriations-4Yr'!W13+'Fed Contracts Grnts-4Yr'!W13+'Other Contract Grnts-4Yr'!W13+'Investment Income-4Yr'!W13+'All Other E&amp;G-4Yr'!W13</f>
        <v>2484522.3530000001</v>
      </c>
      <c r="X13" s="51">
        <f>+'Tuition-4Yr'!X13+'State Appropriations-4Yr'!X13+'Local Appropriations-4Yr'!X13+'Fed Contracts Grnts-4Yr'!X13+'Other Contract Grnts-4Yr'!X13+'Investment Income-4Yr'!X13+'All Other E&amp;G-4Yr'!X13</f>
        <v>2407517.3160000001</v>
      </c>
      <c r="Y13" s="51">
        <f>+'Tuition-4Yr'!Y13+'State Appropriations-4Yr'!Y13+'Local Appropriations-4Yr'!Y13+'Fed Contracts Grnts-4Yr'!Y13+'Other Contract Grnts-4Yr'!Y13+'Investment Income-4Yr'!Y13+'All Other E&amp;G-4Yr'!Y13</f>
        <v>2514060.0799999996</v>
      </c>
      <c r="Z13" s="51">
        <f>+'Tuition-4Yr'!Z13+'State Appropriations-4Yr'!Z13+'Local Appropriations-4Yr'!Z13+'Fed Contracts Grnts-4Yr'!Z13+'Other Contract Grnts-4Yr'!Z13+'Investment Income-4Yr'!Z13+'All Other E&amp;G-4Yr'!Z13</f>
        <v>2715592.0180000002</v>
      </c>
      <c r="AA13" s="51">
        <f>+'Tuition-4Yr'!AA13+'State Appropriations-4Yr'!AA13+'Local Appropriations-4Yr'!AA13+'Fed Contracts Grnts-4Yr'!AA13+'Other Contract Grnts-4Yr'!AA13+'Investment Income-4Yr'!AA13+'All Other E&amp;G-4Yr'!AA13</f>
        <v>2306088.4589999998</v>
      </c>
      <c r="AB13" s="51">
        <f>+'Tuition-4Yr'!AB13+'State Appropriations-4Yr'!AB13+'Local Appropriations-4Yr'!AB13+'Fed Contracts Grnts-4Yr'!AB13+'Other Contract Grnts-4Yr'!AB13+'Investment Income-4Yr'!AB13+'All Other E&amp;G-4Yr'!AB13</f>
        <v>2999910.7879999997</v>
      </c>
      <c r="AC13" s="51">
        <f>+'Tuition-4Yr'!AC13+'State Appropriations-4Yr'!AC13+'Local Appropriations-4Yr'!AC13+'Fed Contracts Grnts-4Yr'!AC13+'Other Contract Grnts-4Yr'!AC13+'Investment Income-4Yr'!AC13+'All Other E&amp;G-4Yr'!AC13</f>
        <v>3183769</v>
      </c>
      <c r="AD13" s="51">
        <f>+'Tuition-4Yr'!AD13+'State Appropriations-4Yr'!AD13+'Local Appropriations-4Yr'!AD13+'Fed Contracts Grnts-4Yr'!AD13+'Other Contract Grnts-4Yr'!AD13+'Investment Income-4Yr'!AD13+'All Other E&amp;G-4Yr'!AD13</f>
        <v>2925469.9539999999</v>
      </c>
      <c r="AE13" s="51">
        <f>+'Tuition-4Yr'!AE13+'State Appropriations-4Yr'!AE13+'Local Appropriations-4Yr'!AE13+'Fed Contracts Grnts-4Yr'!AE13+'Other Contract Grnts-4Yr'!AE13+'Investment Income-4Yr'!AE13+'All Other E&amp;G-4Yr'!AE13</f>
        <v>2911151.727</v>
      </c>
      <c r="AF13" s="51">
        <f>+'Tuition-4Yr'!AF13+'State Appropriations-4Yr'!AF13+'Local Appropriations-4Yr'!AF13+'Fed Contracts Grnts-4Yr'!AF13+'Other Contract Grnts-4Yr'!AF13+'Investment Income-4Yr'!AF13+'All Other E&amp;G-4Yr'!AF13</f>
        <v>2925814.4190000002</v>
      </c>
      <c r="AG13" s="51">
        <f>+'Tuition-4Yr'!AG13+'State Appropriations-4Yr'!AG13+'Local Appropriations-4Yr'!AG13+'Fed Contracts Grnts-4Yr'!AG13+'Other Contract Grnts-4Yr'!AG13+'Investment Income-4Yr'!AG13+'All Other E&amp;G-4Yr'!AG13</f>
        <v>3126400.2980000004</v>
      </c>
      <c r="AH13" s="51">
        <f>+'Tuition-4Yr'!AH13+'State Appropriations-4Yr'!AH13+'Local Appropriations-4Yr'!AH13+'Fed Contracts Grnts-4Yr'!AH13+'Other Contract Grnts-4Yr'!AH13+'Investment Income-4Yr'!AH13+'All Other E&amp;G-4Yr'!AH13</f>
        <v>3332502.0630000001</v>
      </c>
      <c r="AI13" s="51">
        <f>+'Tuition-4Yr'!AI13+'State Appropriations-4Yr'!AI13+'Local Appropriations-4Yr'!AI13+'Fed Contracts Grnts-4Yr'!AI13+'Other Contract Grnts-4Yr'!AI13+'Investment Income-4Yr'!AI13+'All Other E&amp;G-4Yr'!AI13</f>
        <v>3433554.2579999999</v>
      </c>
      <c r="AJ13" s="51">
        <f>+'Tuition-4Yr'!AJ13+'State Appropriations-4Yr'!AJ13+'Local Appropriations-4Yr'!AJ13+'Fed Contracts Grnts-4Yr'!AJ13+'Other Contract Grnts-4Yr'!AJ13+'Investment Income-4Yr'!AJ13+'All Other E&amp;G-4Yr'!AJ13</f>
        <v>0</v>
      </c>
      <c r="AK13" s="51">
        <f>+'Tuition-4Yr'!AK13+'State Appropriations-4Yr'!AK13+'Local Appropriations-4Yr'!AK13+'Fed Contracts Grnts-4Yr'!AK13+'Other Contract Grnts-4Yr'!AK13+'Investment Income-4Yr'!AK13+'All Other E&amp;G-4Yr'!AK13</f>
        <v>4008095.8480000002</v>
      </c>
      <c r="AL13" s="51">
        <f>+'Tuition-4Yr'!AL13+'State Appropriations-4Yr'!AL13+'Local Appropriations-4Yr'!AL13+'Fed Contracts Grnts-4Yr'!AL13+'Other Contract Grnts-4Yr'!AL13+'Investment Income-4Yr'!AL13+'All Other E&amp;G-4Yr'!AL13</f>
        <v>4119872.7559999996</v>
      </c>
    </row>
    <row r="14" spans="1:38" ht="12.75" customHeight="1">
      <c r="A14" s="1" t="s">
        <v>29</v>
      </c>
      <c r="B14" s="51">
        <f>+'Tuition-4Yr'!B14+'State Appropriations-4Yr'!B14+'Local Appropriations-4Yr'!B14+'Fed Contracts Grnts-4Yr'!B14+'Other Contract Grnts-4Yr'!B14+'Investment Income-4Yr'!B14+'All Other E&amp;G-4Yr'!B14</f>
        <v>633276</v>
      </c>
      <c r="C14" s="51">
        <f>+'Tuition-4Yr'!C14+'State Appropriations-4Yr'!C14+'Local Appropriations-4Yr'!C14+'Fed Contracts Grnts-4Yr'!C14+'Other Contract Grnts-4Yr'!C14+'Investment Income-4Yr'!C14+'All Other E&amp;G-4Yr'!C14</f>
        <v>735112</v>
      </c>
      <c r="D14" s="51">
        <f>+'Tuition-4Yr'!D14+'State Appropriations-4Yr'!D14+'Local Appropriations-4Yr'!D14+'Fed Contracts Grnts-4Yr'!D14+'Other Contract Grnts-4Yr'!D14+'Investment Income-4Yr'!D14+'All Other E&amp;G-4Yr'!D14</f>
        <v>790815</v>
      </c>
      <c r="E14" s="51">
        <f>+'Tuition-4Yr'!E14+'State Appropriations-4Yr'!E14+'Local Appropriations-4Yr'!E14+'Fed Contracts Grnts-4Yr'!E14+'Other Contract Grnts-4Yr'!E14+'Investment Income-4Yr'!E14+'All Other E&amp;G-4Yr'!E14</f>
        <v>0</v>
      </c>
      <c r="F14" s="51">
        <f>+'Tuition-4Yr'!F14+'State Appropriations-4Yr'!F14+'Local Appropriations-4Yr'!F14+'Fed Contracts Grnts-4Yr'!F14+'Other Contract Grnts-4Yr'!F14+'Investment Income-4Yr'!F14+'All Other E&amp;G-4Yr'!F14</f>
        <v>0</v>
      </c>
      <c r="G14" s="51">
        <f>+'Tuition-4Yr'!G14+'State Appropriations-4Yr'!G14+'Local Appropriations-4Yr'!G14+'Fed Contracts Grnts-4Yr'!G14+'Other Contract Grnts-4Yr'!G14+'Investment Income-4Yr'!G14+'All Other E&amp;G-4Yr'!G14</f>
        <v>0</v>
      </c>
      <c r="H14" s="51">
        <f>+'Tuition-4Yr'!H14+'State Appropriations-4Yr'!H14+'Local Appropriations-4Yr'!H14+'Fed Contracts Grnts-4Yr'!H14+'Other Contract Grnts-4Yr'!H14+'Investment Income-4Yr'!H14+'All Other E&amp;G-4Yr'!H14</f>
        <v>0</v>
      </c>
      <c r="I14" s="51">
        <f>+'Tuition-4Yr'!I14+'State Appropriations-4Yr'!I14+'Local Appropriations-4Yr'!I14+'Fed Contracts Grnts-4Yr'!I14+'Other Contract Grnts-4Yr'!I14+'Investment Income-4Yr'!I14+'All Other E&amp;G-4Yr'!I14</f>
        <v>1246993.4049999998</v>
      </c>
      <c r="J14" s="51">
        <f>+'Tuition-4Yr'!J14+'State Appropriations-4Yr'!J14+'Local Appropriations-4Yr'!J14+'Fed Contracts Grnts-4Yr'!J14+'Other Contract Grnts-4Yr'!J14+'Investment Income-4Yr'!J14+'All Other E&amp;G-4Yr'!J14</f>
        <v>1182522.0620000002</v>
      </c>
      <c r="K14" s="51">
        <f>+'Tuition-4Yr'!K14+'State Appropriations-4Yr'!K14+'Local Appropriations-4Yr'!K14+'Fed Contracts Grnts-4Yr'!K14+'Other Contract Grnts-4Yr'!K14+'Investment Income-4Yr'!K14+'All Other E&amp;G-4Yr'!K14</f>
        <v>1323222.003</v>
      </c>
      <c r="L14" s="51">
        <f>+'Tuition-4Yr'!L14+'State Appropriations-4Yr'!L14+'Local Appropriations-4Yr'!L14+'Fed Contracts Grnts-4Yr'!L14+'Other Contract Grnts-4Yr'!L14+'Investment Income-4Yr'!L14+'All Other E&amp;G-4Yr'!L14</f>
        <v>1371517.0469999998</v>
      </c>
      <c r="M14" s="51">
        <f>+'Tuition-4Yr'!M14+'State Appropriations-4Yr'!M14+'Local Appropriations-4Yr'!M14+'Fed Contracts Grnts-4Yr'!M14+'Other Contract Grnts-4Yr'!M14+'Investment Income-4Yr'!M14+'All Other E&amp;G-4Yr'!M14</f>
        <v>1420194.693</v>
      </c>
      <c r="N14" s="51">
        <f>+'Tuition-4Yr'!N14+'State Appropriations-4Yr'!N14+'Local Appropriations-4Yr'!N14+'Fed Contracts Grnts-4Yr'!N14+'Other Contract Grnts-4Yr'!N14+'Investment Income-4Yr'!N14+'All Other E&amp;G-4Yr'!N14</f>
        <v>1542256.263</v>
      </c>
      <c r="O14" s="51">
        <f>+'Tuition-4Yr'!O14+'State Appropriations-4Yr'!O14+'Local Appropriations-4Yr'!O14+'Fed Contracts Grnts-4Yr'!O14+'Other Contract Grnts-4Yr'!O14+'Investment Income-4Yr'!O14+'All Other E&amp;G-4Yr'!O14</f>
        <v>1711560.40879</v>
      </c>
      <c r="P14" s="51">
        <f>+'Tuition-4Yr'!P14+'State Appropriations-4Yr'!P14+'Local Appropriations-4Yr'!P14+'Fed Contracts Grnts-4Yr'!P14+'Other Contract Grnts-4Yr'!P14+'Investment Income-4Yr'!P14+'All Other E&amp;G-4Yr'!P14</f>
        <v>0</v>
      </c>
      <c r="Q14" s="51">
        <f>+'Tuition-4Yr'!Q14+'State Appropriations-4Yr'!Q14+'Local Appropriations-4Yr'!Q14+'Fed Contracts Grnts-4Yr'!Q14+'Other Contract Grnts-4Yr'!Q14+'Investment Income-4Yr'!Q14+'All Other E&amp;G-4Yr'!Q14</f>
        <v>0</v>
      </c>
      <c r="R14" s="51">
        <f>+'Tuition-4Yr'!R14+'State Appropriations-4Yr'!R14+'Local Appropriations-4Yr'!R14+'Fed Contracts Grnts-4Yr'!R14+'Other Contract Grnts-4Yr'!R14+'Investment Income-4Yr'!R14+'All Other E&amp;G-4Yr'!R14</f>
        <v>2154437.1740000001</v>
      </c>
      <c r="S14" s="51">
        <f>+'Tuition-4Yr'!S14+'State Appropriations-4Yr'!S14+'Local Appropriations-4Yr'!S14+'Fed Contracts Grnts-4Yr'!S14+'Other Contract Grnts-4Yr'!S14+'Investment Income-4Yr'!S14+'All Other E&amp;G-4Yr'!S14</f>
        <v>2271713.7749999994</v>
      </c>
      <c r="T14" s="51">
        <f>+'Tuition-4Yr'!T14+'State Appropriations-4Yr'!T14+'Local Appropriations-4Yr'!T14+'Fed Contracts Grnts-4Yr'!T14+'Other Contract Grnts-4Yr'!T14+'Investment Income-4Yr'!T14+'All Other E&amp;G-4Yr'!T14</f>
        <v>2616208.3390000002</v>
      </c>
      <c r="U14" s="51">
        <f>+'Tuition-4Yr'!U14+'State Appropriations-4Yr'!U14+'Local Appropriations-4Yr'!U14+'Fed Contracts Grnts-4Yr'!U14+'Other Contract Grnts-4Yr'!U14+'Investment Income-4Yr'!U14+'All Other E&amp;G-4Yr'!U14</f>
        <v>2573256.5959999999</v>
      </c>
      <c r="V14" s="51">
        <f>+'Tuition-4Yr'!V14+'State Appropriations-4Yr'!V14+'Local Appropriations-4Yr'!V14+'Fed Contracts Grnts-4Yr'!V14+'Other Contract Grnts-4Yr'!V14+'Investment Income-4Yr'!V14+'All Other E&amp;G-4Yr'!V14</f>
        <v>2652291.13</v>
      </c>
      <c r="W14" s="51">
        <f>+'Tuition-4Yr'!W14+'State Appropriations-4Yr'!W14+'Local Appropriations-4Yr'!W14+'Fed Contracts Grnts-4Yr'!W14+'Other Contract Grnts-4Yr'!W14+'Investment Income-4Yr'!W14+'All Other E&amp;G-4Yr'!W14</f>
        <v>3410155.699</v>
      </c>
      <c r="X14" s="51">
        <f>+'Tuition-4Yr'!X14+'State Appropriations-4Yr'!X14+'Local Appropriations-4Yr'!X14+'Fed Contracts Grnts-4Yr'!X14+'Other Contract Grnts-4Yr'!X14+'Investment Income-4Yr'!X14+'All Other E&amp;G-4Yr'!X14</f>
        <v>3054981.0719999997</v>
      </c>
      <c r="Y14" s="51">
        <f>+'Tuition-4Yr'!Y14+'State Appropriations-4Yr'!Y14+'Local Appropriations-4Yr'!Y14+'Fed Contracts Grnts-4Yr'!Y14+'Other Contract Grnts-4Yr'!Y14+'Investment Income-4Yr'!Y14+'All Other E&amp;G-4Yr'!Y14</f>
        <v>3334217.9</v>
      </c>
      <c r="Z14" s="51">
        <f>+'Tuition-4Yr'!Z14+'State Appropriations-4Yr'!Z14+'Local Appropriations-4Yr'!Z14+'Fed Contracts Grnts-4Yr'!Z14+'Other Contract Grnts-4Yr'!Z14+'Investment Income-4Yr'!Z14+'All Other E&amp;G-4Yr'!Z14</f>
        <v>3498965.4339999999</v>
      </c>
      <c r="AA14" s="51">
        <f>+'Tuition-4Yr'!AA14+'State Appropriations-4Yr'!AA14+'Local Appropriations-4Yr'!AA14+'Fed Contracts Grnts-4Yr'!AA14+'Other Contract Grnts-4Yr'!AA14+'Investment Income-4Yr'!AA14+'All Other E&amp;G-4Yr'!AA14</f>
        <v>2784252.3170000003</v>
      </c>
      <c r="AB14" s="51">
        <f>+'Tuition-4Yr'!AB14+'State Appropriations-4Yr'!AB14+'Local Appropriations-4Yr'!AB14+'Fed Contracts Grnts-4Yr'!AB14+'Other Contract Grnts-4Yr'!AB14+'Investment Income-4Yr'!AB14+'All Other E&amp;G-4Yr'!AB14</f>
        <v>3962057.7719999999</v>
      </c>
      <c r="AC14" s="51">
        <f>+'Tuition-4Yr'!AC14+'State Appropriations-4Yr'!AC14+'Local Appropriations-4Yr'!AC14+'Fed Contracts Grnts-4Yr'!AC14+'Other Contract Grnts-4Yr'!AC14+'Investment Income-4Yr'!AC14+'All Other E&amp;G-4Yr'!AC14</f>
        <v>4202939</v>
      </c>
      <c r="AD14" s="51">
        <f>+'Tuition-4Yr'!AD14+'State Appropriations-4Yr'!AD14+'Local Appropriations-4Yr'!AD14+'Fed Contracts Grnts-4Yr'!AD14+'Other Contract Grnts-4Yr'!AD14+'Investment Income-4Yr'!AD14+'All Other E&amp;G-4Yr'!AD14</f>
        <v>4272612.3339999998</v>
      </c>
      <c r="AE14" s="51">
        <f>+'Tuition-4Yr'!AE14+'State Appropriations-4Yr'!AE14+'Local Appropriations-4Yr'!AE14+'Fed Contracts Grnts-4Yr'!AE14+'Other Contract Grnts-4Yr'!AE14+'Investment Income-4Yr'!AE14+'All Other E&amp;G-4Yr'!AE14</f>
        <v>4368569.9000000004</v>
      </c>
      <c r="AF14" s="51">
        <f>+'Tuition-4Yr'!AF14+'State Appropriations-4Yr'!AF14+'Local Appropriations-4Yr'!AF14+'Fed Contracts Grnts-4Yr'!AF14+'Other Contract Grnts-4Yr'!AF14+'Investment Income-4Yr'!AF14+'All Other E&amp;G-4Yr'!AF14</f>
        <v>4049476.6129999999</v>
      </c>
      <c r="AG14" s="51">
        <f>+'Tuition-4Yr'!AG14+'State Appropriations-4Yr'!AG14+'Local Appropriations-4Yr'!AG14+'Fed Contracts Grnts-4Yr'!AG14+'Other Contract Grnts-4Yr'!AG14+'Investment Income-4Yr'!AG14+'All Other E&amp;G-4Yr'!AG14</f>
        <v>4568685.5549999997</v>
      </c>
      <c r="AH14" s="51">
        <f>+'Tuition-4Yr'!AH14+'State Appropriations-4Yr'!AH14+'Local Appropriations-4Yr'!AH14+'Fed Contracts Grnts-4Yr'!AH14+'Other Contract Grnts-4Yr'!AH14+'Investment Income-4Yr'!AH14+'All Other E&amp;G-4Yr'!AH14</f>
        <v>4728536.7689999994</v>
      </c>
      <c r="AI14" s="51">
        <f>+'Tuition-4Yr'!AI14+'State Appropriations-4Yr'!AI14+'Local Appropriations-4Yr'!AI14+'Fed Contracts Grnts-4Yr'!AI14+'Other Contract Grnts-4Yr'!AI14+'Investment Income-4Yr'!AI14+'All Other E&amp;G-4Yr'!AI14</f>
        <v>4929120.1960000005</v>
      </c>
      <c r="AJ14" s="51">
        <f>+'Tuition-4Yr'!AJ14+'State Appropriations-4Yr'!AJ14+'Local Appropriations-4Yr'!AJ14+'Fed Contracts Grnts-4Yr'!AJ14+'Other Contract Grnts-4Yr'!AJ14+'Investment Income-4Yr'!AJ14+'All Other E&amp;G-4Yr'!AJ14</f>
        <v>0</v>
      </c>
      <c r="AK14" s="51">
        <f>+'Tuition-4Yr'!AK14+'State Appropriations-4Yr'!AK14+'Local Appropriations-4Yr'!AK14+'Fed Contracts Grnts-4Yr'!AK14+'Other Contract Grnts-4Yr'!AK14+'Investment Income-4Yr'!AK14+'All Other E&amp;G-4Yr'!AK14</f>
        <v>5469018.3859999999</v>
      </c>
      <c r="AL14" s="51">
        <f>+'Tuition-4Yr'!AL14+'State Appropriations-4Yr'!AL14+'Local Appropriations-4Yr'!AL14+'Fed Contracts Grnts-4Yr'!AL14+'Other Contract Grnts-4Yr'!AL14+'Investment Income-4Yr'!AL14+'All Other E&amp;G-4Yr'!AL14</f>
        <v>5502834.2589999996</v>
      </c>
    </row>
    <row r="15" spans="1:38" ht="12.75" customHeight="1">
      <c r="A15" s="1" t="s">
        <v>30</v>
      </c>
      <c r="B15" s="51">
        <f>+'Tuition-4Yr'!B15+'State Appropriations-4Yr'!B15+'Local Appropriations-4Yr'!B15+'Fed Contracts Grnts-4Yr'!B15+'Other Contract Grnts-4Yr'!B15+'Investment Income-4Yr'!B15+'All Other E&amp;G-4Yr'!B15</f>
        <v>421164</v>
      </c>
      <c r="C15" s="51">
        <f>+'Tuition-4Yr'!C15+'State Appropriations-4Yr'!C15+'Local Appropriations-4Yr'!C15+'Fed Contracts Grnts-4Yr'!C15+'Other Contract Grnts-4Yr'!C15+'Investment Income-4Yr'!C15+'All Other E&amp;G-4Yr'!C15</f>
        <v>435796</v>
      </c>
      <c r="D15" s="51">
        <f>+'Tuition-4Yr'!D15+'State Appropriations-4Yr'!D15+'Local Appropriations-4Yr'!D15+'Fed Contracts Grnts-4Yr'!D15+'Other Contract Grnts-4Yr'!D15+'Investment Income-4Yr'!D15+'All Other E&amp;G-4Yr'!D15</f>
        <v>473633</v>
      </c>
      <c r="E15" s="51">
        <f>+'Tuition-4Yr'!E15+'State Appropriations-4Yr'!E15+'Local Appropriations-4Yr'!E15+'Fed Contracts Grnts-4Yr'!E15+'Other Contract Grnts-4Yr'!E15+'Investment Income-4Yr'!E15+'All Other E&amp;G-4Yr'!E15</f>
        <v>0</v>
      </c>
      <c r="F15" s="51">
        <f>+'Tuition-4Yr'!F15+'State Appropriations-4Yr'!F15+'Local Appropriations-4Yr'!F15+'Fed Contracts Grnts-4Yr'!F15+'Other Contract Grnts-4Yr'!F15+'Investment Income-4Yr'!F15+'All Other E&amp;G-4Yr'!F15</f>
        <v>0</v>
      </c>
      <c r="G15" s="51">
        <f>+'Tuition-4Yr'!G15+'State Appropriations-4Yr'!G15+'Local Appropriations-4Yr'!G15+'Fed Contracts Grnts-4Yr'!G15+'Other Contract Grnts-4Yr'!G15+'Investment Income-4Yr'!G15+'All Other E&amp;G-4Yr'!G15</f>
        <v>0</v>
      </c>
      <c r="H15" s="51">
        <f>+'Tuition-4Yr'!H15+'State Appropriations-4Yr'!H15+'Local Appropriations-4Yr'!H15+'Fed Contracts Grnts-4Yr'!H15+'Other Contract Grnts-4Yr'!H15+'Investment Income-4Yr'!H15+'All Other E&amp;G-4Yr'!H15</f>
        <v>0</v>
      </c>
      <c r="I15" s="51">
        <f>+'Tuition-4Yr'!I15+'State Appropriations-4Yr'!I15+'Local Appropriations-4Yr'!I15+'Fed Contracts Grnts-4Yr'!I15+'Other Contract Grnts-4Yr'!I15+'Investment Income-4Yr'!I15+'All Other E&amp;G-4Yr'!I15</f>
        <v>628239.39800000016</v>
      </c>
      <c r="J15" s="51">
        <f>+'Tuition-4Yr'!J15+'State Appropriations-4Yr'!J15+'Local Appropriations-4Yr'!J15+'Fed Contracts Grnts-4Yr'!J15+'Other Contract Grnts-4Yr'!J15+'Investment Income-4Yr'!J15+'All Other E&amp;G-4Yr'!J15</f>
        <v>641802.92700000014</v>
      </c>
      <c r="K15" s="51">
        <f>+'Tuition-4Yr'!K15+'State Appropriations-4Yr'!K15+'Local Appropriations-4Yr'!K15+'Fed Contracts Grnts-4Yr'!K15+'Other Contract Grnts-4Yr'!K15+'Investment Income-4Yr'!K15+'All Other E&amp;G-4Yr'!K15</f>
        <v>696913.4</v>
      </c>
      <c r="L15" s="51">
        <f>+'Tuition-4Yr'!L15+'State Appropriations-4Yr'!L15+'Local Appropriations-4Yr'!L15+'Fed Contracts Grnts-4Yr'!L15+'Other Contract Grnts-4Yr'!L15+'Investment Income-4Yr'!L15+'All Other E&amp;G-4Yr'!L15</f>
        <v>731312.84400000004</v>
      </c>
      <c r="M15" s="51">
        <f>+'Tuition-4Yr'!M15+'State Appropriations-4Yr'!M15+'Local Appropriations-4Yr'!M15+'Fed Contracts Grnts-4Yr'!M15+'Other Contract Grnts-4Yr'!M15+'Investment Income-4Yr'!M15+'All Other E&amp;G-4Yr'!M15</f>
        <v>843816.5</v>
      </c>
      <c r="N15" s="51">
        <f>+'Tuition-4Yr'!N15+'State Appropriations-4Yr'!N15+'Local Appropriations-4Yr'!N15+'Fed Contracts Grnts-4Yr'!N15+'Other Contract Grnts-4Yr'!N15+'Investment Income-4Yr'!N15+'All Other E&amp;G-4Yr'!N15</f>
        <v>881047.83030000003</v>
      </c>
      <c r="O15" s="51">
        <f>+'Tuition-4Yr'!O15+'State Appropriations-4Yr'!O15+'Local Appropriations-4Yr'!O15+'Fed Contracts Grnts-4Yr'!O15+'Other Contract Grnts-4Yr'!O15+'Investment Income-4Yr'!O15+'All Other E&amp;G-4Yr'!O15</f>
        <v>894797.32000000007</v>
      </c>
      <c r="P15" s="51">
        <f>+'Tuition-4Yr'!P15+'State Appropriations-4Yr'!P15+'Local Appropriations-4Yr'!P15+'Fed Contracts Grnts-4Yr'!P15+'Other Contract Grnts-4Yr'!P15+'Investment Income-4Yr'!P15+'All Other E&amp;G-4Yr'!P15</f>
        <v>0</v>
      </c>
      <c r="Q15" s="51">
        <f>+'Tuition-4Yr'!Q15+'State Appropriations-4Yr'!Q15+'Local Appropriations-4Yr'!Q15+'Fed Contracts Grnts-4Yr'!Q15+'Other Contract Grnts-4Yr'!Q15+'Investment Income-4Yr'!Q15+'All Other E&amp;G-4Yr'!Q15</f>
        <v>0</v>
      </c>
      <c r="R15" s="51">
        <f>+'Tuition-4Yr'!R15+'State Appropriations-4Yr'!R15+'Local Appropriations-4Yr'!R15+'Fed Contracts Grnts-4Yr'!R15+'Other Contract Grnts-4Yr'!R15+'Investment Income-4Yr'!R15+'All Other E&amp;G-4Yr'!R15</f>
        <v>1197805.2609999999</v>
      </c>
      <c r="S15" s="51">
        <f>+'Tuition-4Yr'!S15+'State Appropriations-4Yr'!S15+'Local Appropriations-4Yr'!S15+'Fed Contracts Grnts-4Yr'!S15+'Other Contract Grnts-4Yr'!S15+'Investment Income-4Yr'!S15+'All Other E&amp;G-4Yr'!S15</f>
        <v>1262639.388</v>
      </c>
      <c r="T15" s="51">
        <f>+'Tuition-4Yr'!T15+'State Appropriations-4Yr'!T15+'Local Appropriations-4Yr'!T15+'Fed Contracts Grnts-4Yr'!T15+'Other Contract Grnts-4Yr'!T15+'Investment Income-4Yr'!T15+'All Other E&amp;G-4Yr'!T15</f>
        <v>1420608.8979999998</v>
      </c>
      <c r="U15" s="51">
        <f>+'Tuition-4Yr'!U15+'State Appropriations-4Yr'!U15+'Local Appropriations-4Yr'!U15+'Fed Contracts Grnts-4Yr'!U15+'Other Contract Grnts-4Yr'!U15+'Investment Income-4Yr'!U15+'All Other E&amp;G-4Yr'!U15</f>
        <v>1418025.824</v>
      </c>
      <c r="V15" s="51">
        <f>+'Tuition-4Yr'!V15+'State Appropriations-4Yr'!V15+'Local Appropriations-4Yr'!V15+'Fed Contracts Grnts-4Yr'!V15+'Other Contract Grnts-4Yr'!V15+'Investment Income-4Yr'!V15+'All Other E&amp;G-4Yr'!V15</f>
        <v>1473137.9350000001</v>
      </c>
      <c r="W15" s="51">
        <f>+'Tuition-4Yr'!W15+'State Appropriations-4Yr'!W15+'Local Appropriations-4Yr'!W15+'Fed Contracts Grnts-4Yr'!W15+'Other Contract Grnts-4Yr'!W15+'Investment Income-4Yr'!W15+'All Other E&amp;G-4Yr'!W15</f>
        <v>1631897.6639999999</v>
      </c>
      <c r="X15" s="51">
        <f>+'Tuition-4Yr'!X15+'State Appropriations-4Yr'!X15+'Local Appropriations-4Yr'!X15+'Fed Contracts Grnts-4Yr'!X15+'Other Contract Grnts-4Yr'!X15+'Investment Income-4Yr'!X15+'All Other E&amp;G-4Yr'!X15</f>
        <v>1593423.781</v>
      </c>
      <c r="Y15" s="51">
        <f>+'Tuition-4Yr'!Y15+'State Appropriations-4Yr'!Y15+'Local Appropriations-4Yr'!Y15+'Fed Contracts Grnts-4Yr'!Y15+'Other Contract Grnts-4Yr'!Y15+'Investment Income-4Yr'!Y15+'All Other E&amp;G-4Yr'!Y15</f>
        <v>1787955.8219999999</v>
      </c>
      <c r="Z15" s="51">
        <f>+'Tuition-4Yr'!Z15+'State Appropriations-4Yr'!Z15+'Local Appropriations-4Yr'!Z15+'Fed Contracts Grnts-4Yr'!Z15+'Other Contract Grnts-4Yr'!Z15+'Investment Income-4Yr'!Z15+'All Other E&amp;G-4Yr'!Z15</f>
        <v>1841643.7779999999</v>
      </c>
      <c r="AA15" s="51">
        <f>+'Tuition-4Yr'!AA15+'State Appropriations-4Yr'!AA15+'Local Appropriations-4Yr'!AA15+'Fed Contracts Grnts-4Yr'!AA15+'Other Contract Grnts-4Yr'!AA15+'Investment Income-4Yr'!AA15+'All Other E&amp;G-4Yr'!AA15</f>
        <v>1595652.2589999998</v>
      </c>
      <c r="AB15" s="51">
        <f>+'Tuition-4Yr'!AB15+'State Appropriations-4Yr'!AB15+'Local Appropriations-4Yr'!AB15+'Fed Contracts Grnts-4Yr'!AB15+'Other Contract Grnts-4Yr'!AB15+'Investment Income-4Yr'!AB15+'All Other E&amp;G-4Yr'!AB15</f>
        <v>1992244.3800000004</v>
      </c>
      <c r="AC15" s="51">
        <f>+'Tuition-4Yr'!AC15+'State Appropriations-4Yr'!AC15+'Local Appropriations-4Yr'!AC15+'Fed Contracts Grnts-4Yr'!AC15+'Other Contract Grnts-4Yr'!AC15+'Investment Income-4Yr'!AC15+'All Other E&amp;G-4Yr'!AC15</f>
        <v>2077197</v>
      </c>
      <c r="AD15" s="51">
        <f>+'Tuition-4Yr'!AD15+'State Appropriations-4Yr'!AD15+'Local Appropriations-4Yr'!AD15+'Fed Contracts Grnts-4Yr'!AD15+'Other Contract Grnts-4Yr'!AD15+'Investment Income-4Yr'!AD15+'All Other E&amp;G-4Yr'!AD15</f>
        <v>2140759.3159999996</v>
      </c>
      <c r="AE15" s="51">
        <f>+'Tuition-4Yr'!AE15+'State Appropriations-4Yr'!AE15+'Local Appropriations-4Yr'!AE15+'Fed Contracts Grnts-4Yr'!AE15+'Other Contract Grnts-4Yr'!AE15+'Investment Income-4Yr'!AE15+'All Other E&amp;G-4Yr'!AE15</f>
        <v>2110145.1380000003</v>
      </c>
      <c r="AF15" s="51">
        <f>+'Tuition-4Yr'!AF15+'State Appropriations-4Yr'!AF15+'Local Appropriations-4Yr'!AF15+'Fed Contracts Grnts-4Yr'!AF15+'Other Contract Grnts-4Yr'!AF15+'Investment Income-4Yr'!AF15+'All Other E&amp;G-4Yr'!AF15</f>
        <v>2148922.105</v>
      </c>
      <c r="AG15" s="51">
        <f>+'Tuition-4Yr'!AG15+'State Appropriations-4Yr'!AG15+'Local Appropriations-4Yr'!AG15+'Fed Contracts Grnts-4Yr'!AG15+'Other Contract Grnts-4Yr'!AG15+'Investment Income-4Yr'!AG15+'All Other E&amp;G-4Yr'!AG15</f>
        <v>2264837.3649999998</v>
      </c>
      <c r="AH15" s="51">
        <f>+'Tuition-4Yr'!AH15+'State Appropriations-4Yr'!AH15+'Local Appropriations-4Yr'!AH15+'Fed Contracts Grnts-4Yr'!AH15+'Other Contract Grnts-4Yr'!AH15+'Investment Income-4Yr'!AH15+'All Other E&amp;G-4Yr'!AH15</f>
        <v>2406487.3810000001</v>
      </c>
      <c r="AI15" s="51">
        <f>+'Tuition-4Yr'!AI15+'State Appropriations-4Yr'!AI15+'Local Appropriations-4Yr'!AI15+'Fed Contracts Grnts-4Yr'!AI15+'Other Contract Grnts-4Yr'!AI15+'Investment Income-4Yr'!AI15+'All Other E&amp;G-4Yr'!AI15</f>
        <v>2385718.2910000002</v>
      </c>
      <c r="AJ15" s="51">
        <f>+'Tuition-4Yr'!AJ15+'State Appropriations-4Yr'!AJ15+'Local Appropriations-4Yr'!AJ15+'Fed Contracts Grnts-4Yr'!AJ15+'Other Contract Grnts-4Yr'!AJ15+'Investment Income-4Yr'!AJ15+'All Other E&amp;G-4Yr'!AJ15</f>
        <v>0</v>
      </c>
      <c r="AK15" s="51">
        <f>+'Tuition-4Yr'!AK15+'State Appropriations-4Yr'!AK15+'Local Appropriations-4Yr'!AK15+'Fed Contracts Grnts-4Yr'!AK15+'Other Contract Grnts-4Yr'!AK15+'Investment Income-4Yr'!AK15+'All Other E&amp;G-4Yr'!AK15</f>
        <v>2685922.9369999999</v>
      </c>
      <c r="AL15" s="51">
        <f>+'Tuition-4Yr'!AL15+'State Appropriations-4Yr'!AL15+'Local Appropriations-4Yr'!AL15+'Fed Contracts Grnts-4Yr'!AL15+'Other Contract Grnts-4Yr'!AL15+'Investment Income-4Yr'!AL15+'All Other E&amp;G-4Yr'!AL15</f>
        <v>2624543.4029999999</v>
      </c>
    </row>
    <row r="16" spans="1:38" ht="12.75" customHeight="1">
      <c r="A16" s="1" t="s">
        <v>31</v>
      </c>
      <c r="B16" s="51">
        <f>+'Tuition-4Yr'!B16+'State Appropriations-4Yr'!B16+'Local Appropriations-4Yr'!B16+'Fed Contracts Grnts-4Yr'!B16+'Other Contract Grnts-4Yr'!B16+'Investment Income-4Yr'!B16+'All Other E&amp;G-4Yr'!B16</f>
        <v>1023932</v>
      </c>
      <c r="C16" s="51">
        <f>+'Tuition-4Yr'!C16+'State Appropriations-4Yr'!C16+'Local Appropriations-4Yr'!C16+'Fed Contracts Grnts-4Yr'!C16+'Other Contract Grnts-4Yr'!C16+'Investment Income-4Yr'!C16+'All Other E&amp;G-4Yr'!C16</f>
        <v>1159166</v>
      </c>
      <c r="D16" s="51">
        <f>+'Tuition-4Yr'!D16+'State Appropriations-4Yr'!D16+'Local Appropriations-4Yr'!D16+'Fed Contracts Grnts-4Yr'!D16+'Other Contract Grnts-4Yr'!D16+'Investment Income-4Yr'!D16+'All Other E&amp;G-4Yr'!D16</f>
        <v>1291115</v>
      </c>
      <c r="E16" s="51">
        <f>+'Tuition-4Yr'!E16+'State Appropriations-4Yr'!E16+'Local Appropriations-4Yr'!E16+'Fed Contracts Grnts-4Yr'!E16+'Other Contract Grnts-4Yr'!E16+'Investment Income-4Yr'!E16+'All Other E&amp;G-4Yr'!E16</f>
        <v>0</v>
      </c>
      <c r="F16" s="51">
        <f>+'Tuition-4Yr'!F16+'State Appropriations-4Yr'!F16+'Local Appropriations-4Yr'!F16+'Fed Contracts Grnts-4Yr'!F16+'Other Contract Grnts-4Yr'!F16+'Investment Income-4Yr'!F16+'All Other E&amp;G-4Yr'!F16</f>
        <v>0</v>
      </c>
      <c r="G16" s="51">
        <f>+'Tuition-4Yr'!G16+'State Appropriations-4Yr'!G16+'Local Appropriations-4Yr'!G16+'Fed Contracts Grnts-4Yr'!G16+'Other Contract Grnts-4Yr'!G16+'Investment Income-4Yr'!G16+'All Other E&amp;G-4Yr'!G16</f>
        <v>0</v>
      </c>
      <c r="H16" s="51">
        <f>+'Tuition-4Yr'!H16+'State Appropriations-4Yr'!H16+'Local Appropriations-4Yr'!H16+'Fed Contracts Grnts-4Yr'!H16+'Other Contract Grnts-4Yr'!H16+'Investment Income-4Yr'!H16+'All Other E&amp;G-4Yr'!H16</f>
        <v>0</v>
      </c>
      <c r="I16" s="51">
        <f>+'Tuition-4Yr'!I16+'State Appropriations-4Yr'!I16+'Local Appropriations-4Yr'!I16+'Fed Contracts Grnts-4Yr'!I16+'Other Contract Grnts-4Yr'!I16+'Investment Income-4Yr'!I16+'All Other E&amp;G-4Yr'!I16</f>
        <v>1812457.5729999999</v>
      </c>
      <c r="J16" s="51">
        <f>+'Tuition-4Yr'!J16+'State Appropriations-4Yr'!J16+'Local Appropriations-4Yr'!J16+'Fed Contracts Grnts-4Yr'!J16+'Other Contract Grnts-4Yr'!J16+'Investment Income-4Yr'!J16+'All Other E&amp;G-4Yr'!J16</f>
        <v>1925189.9579999999</v>
      </c>
      <c r="K16" s="51">
        <f>+'Tuition-4Yr'!K16+'State Appropriations-4Yr'!K16+'Local Appropriations-4Yr'!K16+'Fed Contracts Grnts-4Yr'!K16+'Other Contract Grnts-4Yr'!K16+'Investment Income-4Yr'!K16+'All Other E&amp;G-4Yr'!K16</f>
        <v>2171675.2009999999</v>
      </c>
      <c r="L16" s="51">
        <f>+'Tuition-4Yr'!L16+'State Appropriations-4Yr'!L16+'Local Appropriations-4Yr'!L16+'Fed Contracts Grnts-4Yr'!L16+'Other Contract Grnts-4Yr'!L16+'Investment Income-4Yr'!L16+'All Other E&amp;G-4Yr'!L16</f>
        <v>2193552.3769999999</v>
      </c>
      <c r="M16" s="51">
        <f>+'Tuition-4Yr'!M16+'State Appropriations-4Yr'!M16+'Local Appropriations-4Yr'!M16+'Fed Contracts Grnts-4Yr'!M16+'Other Contract Grnts-4Yr'!M16+'Investment Income-4Yr'!M16+'All Other E&amp;G-4Yr'!M16</f>
        <v>2236307.33</v>
      </c>
      <c r="N16" s="51">
        <f>+'Tuition-4Yr'!N16+'State Appropriations-4Yr'!N16+'Local Appropriations-4Yr'!N16+'Fed Contracts Grnts-4Yr'!N16+'Other Contract Grnts-4Yr'!N16+'Investment Income-4Yr'!N16+'All Other E&amp;G-4Yr'!N16</f>
        <v>2349895.7339999997</v>
      </c>
      <c r="O16" s="51">
        <f>+'Tuition-4Yr'!O16+'State Appropriations-4Yr'!O16+'Local Appropriations-4Yr'!O16+'Fed Contracts Grnts-4Yr'!O16+'Other Contract Grnts-4Yr'!O16+'Investment Income-4Yr'!O16+'All Other E&amp;G-4Yr'!O16</f>
        <v>2537413.1320000002</v>
      </c>
      <c r="P16" s="51">
        <f>+'Tuition-4Yr'!P16+'State Appropriations-4Yr'!P16+'Local Appropriations-4Yr'!P16+'Fed Contracts Grnts-4Yr'!P16+'Other Contract Grnts-4Yr'!P16+'Investment Income-4Yr'!P16+'All Other E&amp;G-4Yr'!P16</f>
        <v>0</v>
      </c>
      <c r="Q16" s="51">
        <f>+'Tuition-4Yr'!Q16+'State Appropriations-4Yr'!Q16+'Local Appropriations-4Yr'!Q16+'Fed Contracts Grnts-4Yr'!Q16+'Other Contract Grnts-4Yr'!Q16+'Investment Income-4Yr'!Q16+'All Other E&amp;G-4Yr'!Q16</f>
        <v>0</v>
      </c>
      <c r="R16" s="51">
        <f>+'Tuition-4Yr'!R16+'State Appropriations-4Yr'!R16+'Local Appropriations-4Yr'!R16+'Fed Contracts Grnts-4Yr'!R16+'Other Contract Grnts-4Yr'!R16+'Investment Income-4Yr'!R16+'All Other E&amp;G-4Yr'!R16</f>
        <v>2981320.8029999998</v>
      </c>
      <c r="S16" s="51">
        <f>+'Tuition-4Yr'!S16+'State Appropriations-4Yr'!S16+'Local Appropriations-4Yr'!S16+'Fed Contracts Grnts-4Yr'!S16+'Other Contract Grnts-4Yr'!S16+'Investment Income-4Yr'!S16+'All Other E&amp;G-4Yr'!S16</f>
        <v>3255717.4449999998</v>
      </c>
      <c r="T16" s="51">
        <f>+'Tuition-4Yr'!T16+'State Appropriations-4Yr'!T16+'Local Appropriations-4Yr'!T16+'Fed Contracts Grnts-4Yr'!T16+'Other Contract Grnts-4Yr'!T16+'Investment Income-4Yr'!T16+'All Other E&amp;G-4Yr'!T16</f>
        <v>3204331.2439999995</v>
      </c>
      <c r="U16" s="51">
        <f>+'Tuition-4Yr'!U16+'State Appropriations-4Yr'!U16+'Local Appropriations-4Yr'!U16+'Fed Contracts Grnts-4Yr'!U16+'Other Contract Grnts-4Yr'!U16+'Investment Income-4Yr'!U16+'All Other E&amp;G-4Yr'!U16</f>
        <v>3368001.1289999997</v>
      </c>
      <c r="V16" s="51">
        <f>+'Tuition-4Yr'!V16+'State Appropriations-4Yr'!V16+'Local Appropriations-4Yr'!V16+'Fed Contracts Grnts-4Yr'!V16+'Other Contract Grnts-4Yr'!V16+'Investment Income-4Yr'!V16+'All Other E&amp;G-4Yr'!V16</f>
        <v>3769084.0619999999</v>
      </c>
      <c r="W16" s="51">
        <f>+'Tuition-4Yr'!W16+'State Appropriations-4Yr'!W16+'Local Appropriations-4Yr'!W16+'Fed Contracts Grnts-4Yr'!W16+'Other Contract Grnts-4Yr'!W16+'Investment Income-4Yr'!W16+'All Other E&amp;G-4Yr'!W16</f>
        <v>4249344.5240000002</v>
      </c>
      <c r="X16" s="51">
        <f>+'Tuition-4Yr'!X16+'State Appropriations-4Yr'!X16+'Local Appropriations-4Yr'!X16+'Fed Contracts Grnts-4Yr'!X16+'Other Contract Grnts-4Yr'!X16+'Investment Income-4Yr'!X16+'All Other E&amp;G-4Yr'!X16</f>
        <v>4481190.3429999994</v>
      </c>
      <c r="Y16" s="51">
        <f>+'Tuition-4Yr'!Y16+'State Appropriations-4Yr'!Y16+'Local Appropriations-4Yr'!Y16+'Fed Contracts Grnts-4Yr'!Y16+'Other Contract Grnts-4Yr'!Y16+'Investment Income-4Yr'!Y16+'All Other E&amp;G-4Yr'!Y16</f>
        <v>5078407.8880000012</v>
      </c>
      <c r="Z16" s="51">
        <f>+'Tuition-4Yr'!Z16+'State Appropriations-4Yr'!Z16+'Local Appropriations-4Yr'!Z16+'Fed Contracts Grnts-4Yr'!Z16+'Other Contract Grnts-4Yr'!Z16+'Investment Income-4Yr'!Z16+'All Other E&amp;G-4Yr'!Z16</f>
        <v>5291130.3190000001</v>
      </c>
      <c r="AA16" s="51">
        <f>+'Tuition-4Yr'!AA16+'State Appropriations-4Yr'!AA16+'Local Appropriations-4Yr'!AA16+'Fed Contracts Grnts-4Yr'!AA16+'Other Contract Grnts-4Yr'!AA16+'Investment Income-4Yr'!AA16+'All Other E&amp;G-4Yr'!AA16</f>
        <v>4929332.4979999997</v>
      </c>
      <c r="AB16" s="51">
        <f>+'Tuition-4Yr'!AB16+'State Appropriations-4Yr'!AB16+'Local Appropriations-4Yr'!AB16+'Fed Contracts Grnts-4Yr'!AB16+'Other Contract Grnts-4Yr'!AB16+'Investment Income-4Yr'!AB16+'All Other E&amp;G-4Yr'!AB16</f>
        <v>6034126.8250000002</v>
      </c>
      <c r="AC16" s="51">
        <f>+'Tuition-4Yr'!AC16+'State Appropriations-4Yr'!AC16+'Local Appropriations-4Yr'!AC16+'Fed Contracts Grnts-4Yr'!AC16+'Other Contract Grnts-4Yr'!AC16+'Investment Income-4Yr'!AC16+'All Other E&amp;G-4Yr'!AC16</f>
        <v>6675800</v>
      </c>
      <c r="AD16" s="51">
        <f>+'Tuition-4Yr'!AD16+'State Appropriations-4Yr'!AD16+'Local Appropriations-4Yr'!AD16+'Fed Contracts Grnts-4Yr'!AD16+'Other Contract Grnts-4Yr'!AD16+'Investment Income-4Yr'!AD16+'All Other E&amp;G-4Yr'!AD16</f>
        <v>6287103.7719999999</v>
      </c>
      <c r="AE16" s="51">
        <f>+'Tuition-4Yr'!AE16+'State Appropriations-4Yr'!AE16+'Local Appropriations-4Yr'!AE16+'Fed Contracts Grnts-4Yr'!AE16+'Other Contract Grnts-4Yr'!AE16+'Investment Income-4Yr'!AE16+'All Other E&amp;G-4Yr'!AE16</f>
        <v>6748752.4030000009</v>
      </c>
      <c r="AF16" s="51">
        <f>+'Tuition-4Yr'!AF16+'State Appropriations-4Yr'!AF16+'Local Appropriations-4Yr'!AF16+'Fed Contracts Grnts-4Yr'!AF16+'Other Contract Grnts-4Yr'!AF16+'Investment Income-4Yr'!AF16+'All Other E&amp;G-4Yr'!AF16</f>
        <v>6780056.3439999996</v>
      </c>
      <c r="AG16" s="51">
        <f>+'Tuition-4Yr'!AG16+'State Appropriations-4Yr'!AG16+'Local Appropriations-4Yr'!AG16+'Fed Contracts Grnts-4Yr'!AG16+'Other Contract Grnts-4Yr'!AG16+'Investment Income-4Yr'!AG16+'All Other E&amp;G-4Yr'!AG16</f>
        <v>7057194.9479999999</v>
      </c>
      <c r="AH16" s="51">
        <f>+'Tuition-4Yr'!AH16+'State Appropriations-4Yr'!AH16+'Local Appropriations-4Yr'!AH16+'Fed Contracts Grnts-4Yr'!AH16+'Other Contract Grnts-4Yr'!AH16+'Investment Income-4Yr'!AH16+'All Other E&amp;G-4Yr'!AH16</f>
        <v>6916161.5750000011</v>
      </c>
      <c r="AI16" s="51">
        <f>+'Tuition-4Yr'!AI16+'State Appropriations-4Yr'!AI16+'Local Appropriations-4Yr'!AI16+'Fed Contracts Grnts-4Yr'!AI16+'Other Contract Grnts-4Yr'!AI16+'Investment Income-4Yr'!AI16+'All Other E&amp;G-4Yr'!AI16</f>
        <v>7651175.1460000006</v>
      </c>
      <c r="AJ16" s="51">
        <f>+'Tuition-4Yr'!AJ16+'State Appropriations-4Yr'!AJ16+'Local Appropriations-4Yr'!AJ16+'Fed Contracts Grnts-4Yr'!AJ16+'Other Contract Grnts-4Yr'!AJ16+'Investment Income-4Yr'!AJ16+'All Other E&amp;G-4Yr'!AJ16</f>
        <v>0</v>
      </c>
      <c r="AK16" s="51">
        <f>+'Tuition-4Yr'!AK16+'State Appropriations-4Yr'!AK16+'Local Appropriations-4Yr'!AK16+'Fed Contracts Grnts-4Yr'!AK16+'Other Contract Grnts-4Yr'!AK16+'Investment Income-4Yr'!AK16+'All Other E&amp;G-4Yr'!AK16</f>
        <v>8843367.4790000003</v>
      </c>
      <c r="AL16" s="51">
        <f>+'Tuition-4Yr'!AL16+'State Appropriations-4Yr'!AL16+'Local Appropriations-4Yr'!AL16+'Fed Contracts Grnts-4Yr'!AL16+'Other Contract Grnts-4Yr'!AL16+'Investment Income-4Yr'!AL16+'All Other E&amp;G-4Yr'!AL16</f>
        <v>8143659.2429999998</v>
      </c>
    </row>
    <row r="17" spans="1:38" ht="12.75" customHeight="1">
      <c r="A17" s="1" t="s">
        <v>32</v>
      </c>
      <c r="B17" s="51">
        <f>+'Tuition-4Yr'!B17+'State Appropriations-4Yr'!B17+'Local Appropriations-4Yr'!B17+'Fed Contracts Grnts-4Yr'!B17+'Other Contract Grnts-4Yr'!B17+'Investment Income-4Yr'!B17+'All Other E&amp;G-4Yr'!B17</f>
        <v>443316</v>
      </c>
      <c r="C17" s="51">
        <f>+'Tuition-4Yr'!C17+'State Appropriations-4Yr'!C17+'Local Appropriations-4Yr'!C17+'Fed Contracts Grnts-4Yr'!C17+'Other Contract Grnts-4Yr'!C17+'Investment Income-4Yr'!C17+'All Other E&amp;G-4Yr'!C17</f>
        <v>454257</v>
      </c>
      <c r="D17" s="51">
        <f>+'Tuition-4Yr'!D17+'State Appropriations-4Yr'!D17+'Local Appropriations-4Yr'!D17+'Fed Contracts Grnts-4Yr'!D17+'Other Contract Grnts-4Yr'!D17+'Investment Income-4Yr'!D17+'All Other E&amp;G-4Yr'!D17</f>
        <v>526177</v>
      </c>
      <c r="E17" s="51">
        <f>+'Tuition-4Yr'!E17+'State Appropriations-4Yr'!E17+'Local Appropriations-4Yr'!E17+'Fed Contracts Grnts-4Yr'!E17+'Other Contract Grnts-4Yr'!E17+'Investment Income-4Yr'!E17+'All Other E&amp;G-4Yr'!E17</f>
        <v>0</v>
      </c>
      <c r="F17" s="51">
        <f>+'Tuition-4Yr'!F17+'State Appropriations-4Yr'!F17+'Local Appropriations-4Yr'!F17+'Fed Contracts Grnts-4Yr'!F17+'Other Contract Grnts-4Yr'!F17+'Investment Income-4Yr'!F17+'All Other E&amp;G-4Yr'!F17</f>
        <v>0</v>
      </c>
      <c r="G17" s="51">
        <f>+'Tuition-4Yr'!G17+'State Appropriations-4Yr'!G17+'Local Appropriations-4Yr'!G17+'Fed Contracts Grnts-4Yr'!G17+'Other Contract Grnts-4Yr'!G17+'Investment Income-4Yr'!G17+'All Other E&amp;G-4Yr'!G17</f>
        <v>0</v>
      </c>
      <c r="H17" s="51">
        <f>+'Tuition-4Yr'!H17+'State Appropriations-4Yr'!H17+'Local Appropriations-4Yr'!H17+'Fed Contracts Grnts-4Yr'!H17+'Other Contract Grnts-4Yr'!H17+'Investment Income-4Yr'!H17+'All Other E&amp;G-4Yr'!H17</f>
        <v>0</v>
      </c>
      <c r="I17" s="51">
        <f>+'Tuition-4Yr'!I17+'State Appropriations-4Yr'!I17+'Local Appropriations-4Yr'!I17+'Fed Contracts Grnts-4Yr'!I17+'Other Contract Grnts-4Yr'!I17+'Investment Income-4Yr'!I17+'All Other E&amp;G-4Yr'!I17</f>
        <v>785474.71499999997</v>
      </c>
      <c r="J17" s="51">
        <f>+'Tuition-4Yr'!J17+'State Appropriations-4Yr'!J17+'Local Appropriations-4Yr'!J17+'Fed Contracts Grnts-4Yr'!J17+'Other Contract Grnts-4Yr'!J17+'Investment Income-4Yr'!J17+'All Other E&amp;G-4Yr'!J17</f>
        <v>874153.60000000009</v>
      </c>
      <c r="K17" s="51">
        <f>+'Tuition-4Yr'!K17+'State Appropriations-4Yr'!K17+'Local Appropriations-4Yr'!K17+'Fed Contracts Grnts-4Yr'!K17+'Other Contract Grnts-4Yr'!K17+'Investment Income-4Yr'!K17+'All Other E&amp;G-4Yr'!K17</f>
        <v>894955.99200000009</v>
      </c>
      <c r="L17" s="51">
        <f>+'Tuition-4Yr'!L17+'State Appropriations-4Yr'!L17+'Local Appropriations-4Yr'!L17+'Fed Contracts Grnts-4Yr'!L17+'Other Contract Grnts-4Yr'!L17+'Investment Income-4Yr'!L17+'All Other E&amp;G-4Yr'!L17</f>
        <v>925398.92700000003</v>
      </c>
      <c r="M17" s="51">
        <f>+'Tuition-4Yr'!M17+'State Appropriations-4Yr'!M17+'Local Appropriations-4Yr'!M17+'Fed Contracts Grnts-4Yr'!M17+'Other Contract Grnts-4Yr'!M17+'Investment Income-4Yr'!M17+'All Other E&amp;G-4Yr'!M17</f>
        <v>894437.09800000011</v>
      </c>
      <c r="N17" s="51">
        <f>+'Tuition-4Yr'!N17+'State Appropriations-4Yr'!N17+'Local Appropriations-4Yr'!N17+'Fed Contracts Grnts-4Yr'!N17+'Other Contract Grnts-4Yr'!N17+'Investment Income-4Yr'!N17+'All Other E&amp;G-4Yr'!N17</f>
        <v>1018370.689</v>
      </c>
      <c r="O17" s="51">
        <f>+'Tuition-4Yr'!O17+'State Appropriations-4Yr'!O17+'Local Appropriations-4Yr'!O17+'Fed Contracts Grnts-4Yr'!O17+'Other Contract Grnts-4Yr'!O17+'Investment Income-4Yr'!O17+'All Other E&amp;G-4Yr'!O17</f>
        <v>1103395.9932300001</v>
      </c>
      <c r="P17" s="51">
        <f>+'Tuition-4Yr'!P17+'State Appropriations-4Yr'!P17+'Local Appropriations-4Yr'!P17+'Fed Contracts Grnts-4Yr'!P17+'Other Contract Grnts-4Yr'!P17+'Investment Income-4Yr'!P17+'All Other E&amp;G-4Yr'!P17</f>
        <v>0</v>
      </c>
      <c r="Q17" s="51">
        <f>+'Tuition-4Yr'!Q17+'State Appropriations-4Yr'!Q17+'Local Appropriations-4Yr'!Q17+'Fed Contracts Grnts-4Yr'!Q17+'Other Contract Grnts-4Yr'!Q17+'Investment Income-4Yr'!Q17+'All Other E&amp;G-4Yr'!Q17</f>
        <v>0</v>
      </c>
      <c r="R17" s="51">
        <f>+'Tuition-4Yr'!R17+'State Appropriations-4Yr'!R17+'Local Appropriations-4Yr'!R17+'Fed Contracts Grnts-4Yr'!R17+'Other Contract Grnts-4Yr'!R17+'Investment Income-4Yr'!R17+'All Other E&amp;G-4Yr'!R17</f>
        <v>1493121.6290000002</v>
      </c>
      <c r="S17" s="51">
        <f>+'Tuition-4Yr'!S17+'State Appropriations-4Yr'!S17+'Local Appropriations-4Yr'!S17+'Fed Contracts Grnts-4Yr'!S17+'Other Contract Grnts-4Yr'!S17+'Investment Income-4Yr'!S17+'All Other E&amp;G-4Yr'!S17</f>
        <v>1351505.8129999998</v>
      </c>
      <c r="T17" s="51">
        <f>+'Tuition-4Yr'!T17+'State Appropriations-4Yr'!T17+'Local Appropriations-4Yr'!T17+'Fed Contracts Grnts-4Yr'!T17+'Other Contract Grnts-4Yr'!T17+'Investment Income-4Yr'!T17+'All Other E&amp;G-4Yr'!T17</f>
        <v>1497111.345</v>
      </c>
      <c r="U17" s="51">
        <f>+'Tuition-4Yr'!U17+'State Appropriations-4Yr'!U17+'Local Appropriations-4Yr'!U17+'Fed Contracts Grnts-4Yr'!U17+'Other Contract Grnts-4Yr'!U17+'Investment Income-4Yr'!U17+'All Other E&amp;G-4Yr'!U17</f>
        <v>1512325.426</v>
      </c>
      <c r="V17" s="51">
        <f>+'Tuition-4Yr'!V17+'State Appropriations-4Yr'!V17+'Local Appropriations-4Yr'!V17+'Fed Contracts Grnts-4Yr'!V17+'Other Contract Grnts-4Yr'!V17+'Investment Income-4Yr'!V17+'All Other E&amp;G-4Yr'!V17</f>
        <v>1668289.777</v>
      </c>
      <c r="W17" s="51">
        <f>+'Tuition-4Yr'!W17+'State Appropriations-4Yr'!W17+'Local Appropriations-4Yr'!W17+'Fed Contracts Grnts-4Yr'!W17+'Other Contract Grnts-4Yr'!W17+'Investment Income-4Yr'!W17+'All Other E&amp;G-4Yr'!W17</f>
        <v>1850708.7169999999</v>
      </c>
      <c r="X17" s="51">
        <f>+'Tuition-4Yr'!X17+'State Appropriations-4Yr'!X17+'Local Appropriations-4Yr'!X17+'Fed Contracts Grnts-4Yr'!X17+'Other Contract Grnts-4Yr'!X17+'Investment Income-4Yr'!X17+'All Other E&amp;G-4Yr'!X17</f>
        <v>1919796.0749999997</v>
      </c>
      <c r="Y17" s="51">
        <f>+'Tuition-4Yr'!Y17+'State Appropriations-4Yr'!Y17+'Local Appropriations-4Yr'!Y17+'Fed Contracts Grnts-4Yr'!Y17+'Other Contract Grnts-4Yr'!Y17+'Investment Income-4Yr'!Y17+'All Other E&amp;G-4Yr'!Y17</f>
        <v>2151526.1940000001</v>
      </c>
      <c r="Z17" s="51">
        <f>+'Tuition-4Yr'!Z17+'State Appropriations-4Yr'!Z17+'Local Appropriations-4Yr'!Z17+'Fed Contracts Grnts-4Yr'!Z17+'Other Contract Grnts-4Yr'!Z17+'Investment Income-4Yr'!Z17+'All Other E&amp;G-4Yr'!Z17</f>
        <v>2259281.298</v>
      </c>
      <c r="AA17" s="51">
        <f>+'Tuition-4Yr'!AA17+'State Appropriations-4Yr'!AA17+'Local Appropriations-4Yr'!AA17+'Fed Contracts Grnts-4Yr'!AA17+'Other Contract Grnts-4Yr'!AA17+'Investment Income-4Yr'!AA17+'All Other E&amp;G-4Yr'!AA17</f>
        <v>1864701.0150000001</v>
      </c>
      <c r="AB17" s="51">
        <f>+'Tuition-4Yr'!AB17+'State Appropriations-4Yr'!AB17+'Local Appropriations-4Yr'!AB17+'Fed Contracts Grnts-4Yr'!AB17+'Other Contract Grnts-4Yr'!AB17+'Investment Income-4Yr'!AB17+'All Other E&amp;G-4Yr'!AB17</f>
        <v>2537614.3539999998</v>
      </c>
      <c r="AC17" s="51">
        <f>+'Tuition-4Yr'!AC17+'State Appropriations-4Yr'!AC17+'Local Appropriations-4Yr'!AC17+'Fed Contracts Grnts-4Yr'!AC17+'Other Contract Grnts-4Yr'!AC17+'Investment Income-4Yr'!AC17+'All Other E&amp;G-4Yr'!AC17</f>
        <v>2667596</v>
      </c>
      <c r="AD17" s="51">
        <f>+'Tuition-4Yr'!AD17+'State Appropriations-4Yr'!AD17+'Local Appropriations-4Yr'!AD17+'Fed Contracts Grnts-4Yr'!AD17+'Other Contract Grnts-4Yr'!AD17+'Investment Income-4Yr'!AD17+'All Other E&amp;G-4Yr'!AD17</f>
        <v>2692157.4139999999</v>
      </c>
      <c r="AE17" s="51">
        <f>+'Tuition-4Yr'!AE17+'State Appropriations-4Yr'!AE17+'Local Appropriations-4Yr'!AE17+'Fed Contracts Grnts-4Yr'!AE17+'Other Contract Grnts-4Yr'!AE17+'Investment Income-4Yr'!AE17+'All Other E&amp;G-4Yr'!AE17</f>
        <v>2790372.0860000001</v>
      </c>
      <c r="AF17" s="51">
        <f>+'Tuition-4Yr'!AF17+'State Appropriations-4Yr'!AF17+'Local Appropriations-4Yr'!AF17+'Fed Contracts Grnts-4Yr'!AF17+'Other Contract Grnts-4Yr'!AF17+'Investment Income-4Yr'!AF17+'All Other E&amp;G-4Yr'!AF17</f>
        <v>2818860.1509999991</v>
      </c>
      <c r="AG17" s="51">
        <f>+'Tuition-4Yr'!AG17+'State Appropriations-4Yr'!AG17+'Local Appropriations-4Yr'!AG17+'Fed Contracts Grnts-4Yr'!AG17+'Other Contract Grnts-4Yr'!AG17+'Investment Income-4Yr'!AG17+'All Other E&amp;G-4Yr'!AG17</f>
        <v>2957409.1040000003</v>
      </c>
      <c r="AH17" s="51">
        <f>+'Tuition-4Yr'!AH17+'State Appropriations-4Yr'!AH17+'Local Appropriations-4Yr'!AH17+'Fed Contracts Grnts-4Yr'!AH17+'Other Contract Grnts-4Yr'!AH17+'Investment Income-4Yr'!AH17+'All Other E&amp;G-4Yr'!AH17</f>
        <v>2935046.8479999998</v>
      </c>
      <c r="AI17" s="51">
        <f>+'Tuition-4Yr'!AI17+'State Appropriations-4Yr'!AI17+'Local Appropriations-4Yr'!AI17+'Fed Contracts Grnts-4Yr'!AI17+'Other Contract Grnts-4Yr'!AI17+'Investment Income-4Yr'!AI17+'All Other E&amp;G-4Yr'!AI17</f>
        <v>3034344.6680000005</v>
      </c>
      <c r="AJ17" s="51">
        <f>+'Tuition-4Yr'!AJ17+'State Appropriations-4Yr'!AJ17+'Local Appropriations-4Yr'!AJ17+'Fed Contracts Grnts-4Yr'!AJ17+'Other Contract Grnts-4Yr'!AJ17+'Investment Income-4Yr'!AJ17+'All Other E&amp;G-4Yr'!AJ17</f>
        <v>0</v>
      </c>
      <c r="AK17" s="51">
        <f>+'Tuition-4Yr'!AK17+'State Appropriations-4Yr'!AK17+'Local Appropriations-4Yr'!AK17+'Fed Contracts Grnts-4Yr'!AK17+'Other Contract Grnts-4Yr'!AK17+'Investment Income-4Yr'!AK17+'All Other E&amp;G-4Yr'!AK17</f>
        <v>3394929.81</v>
      </c>
      <c r="AL17" s="51">
        <f>+'Tuition-4Yr'!AL17+'State Appropriations-4Yr'!AL17+'Local Appropriations-4Yr'!AL17+'Fed Contracts Grnts-4Yr'!AL17+'Other Contract Grnts-4Yr'!AL17+'Investment Income-4Yr'!AL17+'All Other E&amp;G-4Yr'!AL17</f>
        <v>3250865.452</v>
      </c>
    </row>
    <row r="18" spans="1:38" ht="12.75" customHeight="1">
      <c r="A18" s="1" t="s">
        <v>33</v>
      </c>
      <c r="B18" s="51">
        <f>+'Tuition-4Yr'!B18+'State Appropriations-4Yr'!B18+'Local Appropriations-4Yr'!B18+'Fed Contracts Grnts-4Yr'!B18+'Other Contract Grnts-4Yr'!B18+'Investment Income-4Yr'!B18+'All Other E&amp;G-4Yr'!B18</f>
        <v>496236</v>
      </c>
      <c r="C18" s="51">
        <f>+'Tuition-4Yr'!C18+'State Appropriations-4Yr'!C18+'Local Appropriations-4Yr'!C18+'Fed Contracts Grnts-4Yr'!C18+'Other Contract Grnts-4Yr'!C18+'Investment Income-4Yr'!C18+'All Other E&amp;G-4Yr'!C18</f>
        <v>576484</v>
      </c>
      <c r="D18" s="51">
        <f>+'Tuition-4Yr'!D18+'State Appropriations-4Yr'!D18+'Local Appropriations-4Yr'!D18+'Fed Contracts Grnts-4Yr'!D18+'Other Contract Grnts-4Yr'!D18+'Investment Income-4Yr'!D18+'All Other E&amp;G-4Yr'!D18</f>
        <v>634948</v>
      </c>
      <c r="E18" s="51">
        <f>+'Tuition-4Yr'!E18+'State Appropriations-4Yr'!E18+'Local Appropriations-4Yr'!E18+'Fed Contracts Grnts-4Yr'!E18+'Other Contract Grnts-4Yr'!E18+'Investment Income-4Yr'!E18+'All Other E&amp;G-4Yr'!E18</f>
        <v>0</v>
      </c>
      <c r="F18" s="51">
        <f>+'Tuition-4Yr'!F18+'State Appropriations-4Yr'!F18+'Local Appropriations-4Yr'!F18+'Fed Contracts Grnts-4Yr'!F18+'Other Contract Grnts-4Yr'!F18+'Investment Income-4Yr'!F18+'All Other E&amp;G-4Yr'!F18</f>
        <v>0</v>
      </c>
      <c r="G18" s="51">
        <f>+'Tuition-4Yr'!G18+'State Appropriations-4Yr'!G18+'Local Appropriations-4Yr'!G18+'Fed Contracts Grnts-4Yr'!G18+'Other Contract Grnts-4Yr'!G18+'Investment Income-4Yr'!G18+'All Other E&amp;G-4Yr'!G18</f>
        <v>0</v>
      </c>
      <c r="H18" s="51">
        <f>+'Tuition-4Yr'!H18+'State Appropriations-4Yr'!H18+'Local Appropriations-4Yr'!H18+'Fed Contracts Grnts-4Yr'!H18+'Other Contract Grnts-4Yr'!H18+'Investment Income-4Yr'!H18+'All Other E&amp;G-4Yr'!H18</f>
        <v>0</v>
      </c>
      <c r="I18" s="51">
        <f>+'Tuition-4Yr'!I18+'State Appropriations-4Yr'!I18+'Local Appropriations-4Yr'!I18+'Fed Contracts Grnts-4Yr'!I18+'Other Contract Grnts-4Yr'!I18+'Investment Income-4Yr'!I18+'All Other E&amp;G-4Yr'!I18</f>
        <v>902140.25799999991</v>
      </c>
      <c r="J18" s="51">
        <f>+'Tuition-4Yr'!J18+'State Appropriations-4Yr'!J18+'Local Appropriations-4Yr'!J18+'Fed Contracts Grnts-4Yr'!J18+'Other Contract Grnts-4Yr'!J18+'Investment Income-4Yr'!J18+'All Other E&amp;G-4Yr'!J18</f>
        <v>931729.777</v>
      </c>
      <c r="K18" s="51">
        <f>+'Tuition-4Yr'!K18+'State Appropriations-4Yr'!K18+'Local Appropriations-4Yr'!K18+'Fed Contracts Grnts-4Yr'!K18+'Other Contract Grnts-4Yr'!K18+'Investment Income-4Yr'!K18+'All Other E&amp;G-4Yr'!K18</f>
        <v>992286.31099999999</v>
      </c>
      <c r="L18" s="51">
        <f>+'Tuition-4Yr'!L18+'State Appropriations-4Yr'!L18+'Local Appropriations-4Yr'!L18+'Fed Contracts Grnts-4Yr'!L18+'Other Contract Grnts-4Yr'!L18+'Investment Income-4Yr'!L18+'All Other E&amp;G-4Yr'!L18</f>
        <v>1040584.297</v>
      </c>
      <c r="M18" s="51">
        <f>+'Tuition-4Yr'!M18+'State Appropriations-4Yr'!M18+'Local Appropriations-4Yr'!M18+'Fed Contracts Grnts-4Yr'!M18+'Other Contract Grnts-4Yr'!M18+'Investment Income-4Yr'!M18+'All Other E&amp;G-4Yr'!M18</f>
        <v>1098759.804</v>
      </c>
      <c r="N18" s="51">
        <f>+'Tuition-4Yr'!N18+'State Appropriations-4Yr'!N18+'Local Appropriations-4Yr'!N18+'Fed Contracts Grnts-4Yr'!N18+'Other Contract Grnts-4Yr'!N18+'Investment Income-4Yr'!N18+'All Other E&amp;G-4Yr'!N18</f>
        <v>1133599.5523000001</v>
      </c>
      <c r="O18" s="51">
        <f>+'Tuition-4Yr'!O18+'State Appropriations-4Yr'!O18+'Local Appropriations-4Yr'!O18+'Fed Contracts Grnts-4Yr'!O18+'Other Contract Grnts-4Yr'!O18+'Investment Income-4Yr'!O18+'All Other E&amp;G-4Yr'!O18</f>
        <v>1221293.426</v>
      </c>
      <c r="P18" s="51">
        <f>+'Tuition-4Yr'!P18+'State Appropriations-4Yr'!P18+'Local Appropriations-4Yr'!P18+'Fed Contracts Grnts-4Yr'!P18+'Other Contract Grnts-4Yr'!P18+'Investment Income-4Yr'!P18+'All Other E&amp;G-4Yr'!P18</f>
        <v>0</v>
      </c>
      <c r="Q18" s="51">
        <f>+'Tuition-4Yr'!Q18+'State Appropriations-4Yr'!Q18+'Local Appropriations-4Yr'!Q18+'Fed Contracts Grnts-4Yr'!Q18+'Other Contract Grnts-4Yr'!Q18+'Investment Income-4Yr'!Q18+'All Other E&amp;G-4Yr'!Q18</f>
        <v>0</v>
      </c>
      <c r="R18" s="51">
        <f>+'Tuition-4Yr'!R18+'State Appropriations-4Yr'!R18+'Local Appropriations-4Yr'!R18+'Fed Contracts Grnts-4Yr'!R18+'Other Contract Grnts-4Yr'!R18+'Investment Income-4Yr'!R18+'All Other E&amp;G-4Yr'!R18</f>
        <v>1466145.5420000004</v>
      </c>
      <c r="S18" s="51">
        <f>+'Tuition-4Yr'!S18+'State Appropriations-4Yr'!S18+'Local Appropriations-4Yr'!S18+'Fed Contracts Grnts-4Yr'!S18+'Other Contract Grnts-4Yr'!S18+'Investment Income-4Yr'!S18+'All Other E&amp;G-4Yr'!S18</f>
        <v>1651908.2179999999</v>
      </c>
      <c r="T18" s="51">
        <f>+'Tuition-4Yr'!T18+'State Appropriations-4Yr'!T18+'Local Appropriations-4Yr'!T18+'Fed Contracts Grnts-4Yr'!T18+'Other Contract Grnts-4Yr'!T18+'Investment Income-4Yr'!T18+'All Other E&amp;G-4Yr'!T18</f>
        <v>1770247.0889999997</v>
      </c>
      <c r="U18" s="51">
        <f>+'Tuition-4Yr'!U18+'State Appropriations-4Yr'!U18+'Local Appropriations-4Yr'!U18+'Fed Contracts Grnts-4Yr'!U18+'Other Contract Grnts-4Yr'!U18+'Investment Income-4Yr'!U18+'All Other E&amp;G-4Yr'!U18</f>
        <v>1797479.9920000001</v>
      </c>
      <c r="V18" s="51">
        <f>+'Tuition-4Yr'!V18+'State Appropriations-4Yr'!V18+'Local Appropriations-4Yr'!V18+'Fed Contracts Grnts-4Yr'!V18+'Other Contract Grnts-4Yr'!V18+'Investment Income-4Yr'!V18+'All Other E&amp;G-4Yr'!V18</f>
        <v>1883549.9699999997</v>
      </c>
      <c r="W18" s="51">
        <f>+'Tuition-4Yr'!W18+'State Appropriations-4Yr'!W18+'Local Appropriations-4Yr'!W18+'Fed Contracts Grnts-4Yr'!W18+'Other Contract Grnts-4Yr'!W18+'Investment Income-4Yr'!W18+'All Other E&amp;G-4Yr'!W18</f>
        <v>2185642.9389999998</v>
      </c>
      <c r="X18" s="51">
        <f>+'Tuition-4Yr'!X18+'State Appropriations-4Yr'!X18+'Local Appropriations-4Yr'!X18+'Fed Contracts Grnts-4Yr'!X18+'Other Contract Grnts-4Yr'!X18+'Investment Income-4Yr'!X18+'All Other E&amp;G-4Yr'!X18</f>
        <v>2165712.35</v>
      </c>
      <c r="Y18" s="51">
        <f>+'Tuition-4Yr'!Y18+'State Appropriations-4Yr'!Y18+'Local Appropriations-4Yr'!Y18+'Fed Contracts Grnts-4Yr'!Y18+'Other Contract Grnts-4Yr'!Y18+'Investment Income-4Yr'!Y18+'All Other E&amp;G-4Yr'!Y18</f>
        <v>2389336.145</v>
      </c>
      <c r="Z18" s="51">
        <f>+'Tuition-4Yr'!Z18+'State Appropriations-4Yr'!Z18+'Local Appropriations-4Yr'!Z18+'Fed Contracts Grnts-4Yr'!Z18+'Other Contract Grnts-4Yr'!Z18+'Investment Income-4Yr'!Z18+'All Other E&amp;G-4Yr'!Z18</f>
        <v>2510506.4709999994</v>
      </c>
      <c r="AA18" s="51">
        <f>+'Tuition-4Yr'!AA18+'State Appropriations-4Yr'!AA18+'Local Appropriations-4Yr'!AA18+'Fed Contracts Grnts-4Yr'!AA18+'Other Contract Grnts-4Yr'!AA18+'Investment Income-4Yr'!AA18+'All Other E&amp;G-4Yr'!AA18</f>
        <v>2235188.7179999999</v>
      </c>
      <c r="AB18" s="51">
        <f>+'Tuition-4Yr'!AB18+'State Appropriations-4Yr'!AB18+'Local Appropriations-4Yr'!AB18+'Fed Contracts Grnts-4Yr'!AB18+'Other Contract Grnts-4Yr'!AB18+'Investment Income-4Yr'!AB18+'All Other E&amp;G-4Yr'!AB18</f>
        <v>3020706.0440000002</v>
      </c>
      <c r="AC18" s="51">
        <f>+'Tuition-4Yr'!AC18+'State Appropriations-4Yr'!AC18+'Local Appropriations-4Yr'!AC18+'Fed Contracts Grnts-4Yr'!AC18+'Other Contract Grnts-4Yr'!AC18+'Investment Income-4Yr'!AC18+'All Other E&amp;G-4Yr'!AC18</f>
        <v>3144503</v>
      </c>
      <c r="AD18" s="51">
        <f>+'Tuition-4Yr'!AD18+'State Appropriations-4Yr'!AD18+'Local Appropriations-4Yr'!AD18+'Fed Contracts Grnts-4Yr'!AD18+'Other Contract Grnts-4Yr'!AD18+'Investment Income-4Yr'!AD18+'All Other E&amp;G-4Yr'!AD18</f>
        <v>3114595.6040000003</v>
      </c>
      <c r="AE18" s="51">
        <f>+'Tuition-4Yr'!AE18+'State Appropriations-4Yr'!AE18+'Local Appropriations-4Yr'!AE18+'Fed Contracts Grnts-4Yr'!AE18+'Other Contract Grnts-4Yr'!AE18+'Investment Income-4Yr'!AE18+'All Other E&amp;G-4Yr'!AE18</f>
        <v>3260519.6430000006</v>
      </c>
      <c r="AF18" s="51">
        <f>+'Tuition-4Yr'!AF18+'State Appropriations-4Yr'!AF18+'Local Appropriations-4Yr'!AF18+'Fed Contracts Grnts-4Yr'!AF18+'Other Contract Grnts-4Yr'!AF18+'Investment Income-4Yr'!AF18+'All Other E&amp;G-4Yr'!AF18</f>
        <v>3296151.7930000005</v>
      </c>
      <c r="AG18" s="51">
        <f>+'Tuition-4Yr'!AG18+'State Appropriations-4Yr'!AG18+'Local Appropriations-4Yr'!AG18+'Fed Contracts Grnts-4Yr'!AG18+'Other Contract Grnts-4Yr'!AG18+'Investment Income-4Yr'!AG18+'All Other E&amp;G-4Yr'!AG18</f>
        <v>3568696.4130000002</v>
      </c>
      <c r="AH18" s="51">
        <f>+'Tuition-4Yr'!AH18+'State Appropriations-4Yr'!AH18+'Local Appropriations-4Yr'!AH18+'Fed Contracts Grnts-4Yr'!AH18+'Other Contract Grnts-4Yr'!AH18+'Investment Income-4Yr'!AH18+'All Other E&amp;G-4Yr'!AH18</f>
        <v>3659335.4299999997</v>
      </c>
      <c r="AI18" s="51">
        <f>+'Tuition-4Yr'!AI18+'State Appropriations-4Yr'!AI18+'Local Appropriations-4Yr'!AI18+'Fed Contracts Grnts-4Yr'!AI18+'Other Contract Grnts-4Yr'!AI18+'Investment Income-4Yr'!AI18+'All Other E&amp;G-4Yr'!AI18</f>
        <v>3929374.3080000007</v>
      </c>
      <c r="AJ18" s="51">
        <f>+'Tuition-4Yr'!AJ18+'State Appropriations-4Yr'!AJ18+'Local Appropriations-4Yr'!AJ18+'Fed Contracts Grnts-4Yr'!AJ18+'Other Contract Grnts-4Yr'!AJ18+'Investment Income-4Yr'!AJ18+'All Other E&amp;G-4Yr'!AJ18</f>
        <v>0</v>
      </c>
      <c r="AK18" s="51">
        <f>+'Tuition-4Yr'!AK18+'State Appropriations-4Yr'!AK18+'Local Appropriations-4Yr'!AK18+'Fed Contracts Grnts-4Yr'!AK18+'Other Contract Grnts-4Yr'!AK18+'Investment Income-4Yr'!AK18+'All Other E&amp;G-4Yr'!AK18</f>
        <v>4568864.3569999998</v>
      </c>
      <c r="AL18" s="51">
        <f>+'Tuition-4Yr'!AL18+'State Appropriations-4Yr'!AL18+'Local Appropriations-4Yr'!AL18+'Fed Contracts Grnts-4Yr'!AL18+'Other Contract Grnts-4Yr'!AL18+'Investment Income-4Yr'!AL18+'All Other E&amp;G-4Yr'!AL18</f>
        <v>4574815.9789999994</v>
      </c>
    </row>
    <row r="19" spans="1:38" ht="12.75" customHeight="1">
      <c r="A19" s="1" t="s">
        <v>34</v>
      </c>
      <c r="B19" s="51">
        <f>+'Tuition-4Yr'!B19+'State Appropriations-4Yr'!B19+'Local Appropriations-4Yr'!B19+'Fed Contracts Grnts-4Yr'!B19+'Other Contract Grnts-4Yr'!B19+'Investment Income-4Yr'!B19+'All Other E&amp;G-4Yr'!B19</f>
        <v>558263</v>
      </c>
      <c r="C19" s="51">
        <f>+'Tuition-4Yr'!C19+'State Appropriations-4Yr'!C19+'Local Appropriations-4Yr'!C19+'Fed Contracts Grnts-4Yr'!C19+'Other Contract Grnts-4Yr'!C19+'Investment Income-4Yr'!C19+'All Other E&amp;G-4Yr'!C19</f>
        <v>645385</v>
      </c>
      <c r="D19" s="51">
        <f>+'Tuition-4Yr'!D19+'State Appropriations-4Yr'!D19+'Local Appropriations-4Yr'!D19+'Fed Contracts Grnts-4Yr'!D19+'Other Contract Grnts-4Yr'!D19+'Investment Income-4Yr'!D19+'All Other E&amp;G-4Yr'!D19</f>
        <v>747495</v>
      </c>
      <c r="E19" s="51">
        <f>+'Tuition-4Yr'!E19+'State Appropriations-4Yr'!E19+'Local Appropriations-4Yr'!E19+'Fed Contracts Grnts-4Yr'!E19+'Other Contract Grnts-4Yr'!E19+'Investment Income-4Yr'!E19+'All Other E&amp;G-4Yr'!E19</f>
        <v>0</v>
      </c>
      <c r="F19" s="51">
        <f>+'Tuition-4Yr'!F19+'State Appropriations-4Yr'!F19+'Local Appropriations-4Yr'!F19+'Fed Contracts Grnts-4Yr'!F19+'Other Contract Grnts-4Yr'!F19+'Investment Income-4Yr'!F19+'All Other E&amp;G-4Yr'!F19</f>
        <v>0</v>
      </c>
      <c r="G19" s="51">
        <f>+'Tuition-4Yr'!G19+'State Appropriations-4Yr'!G19+'Local Appropriations-4Yr'!G19+'Fed Contracts Grnts-4Yr'!G19+'Other Contract Grnts-4Yr'!G19+'Investment Income-4Yr'!G19+'All Other E&amp;G-4Yr'!G19</f>
        <v>0</v>
      </c>
      <c r="H19" s="51">
        <f>+'Tuition-4Yr'!H19+'State Appropriations-4Yr'!H19+'Local Appropriations-4Yr'!H19+'Fed Contracts Grnts-4Yr'!H19+'Other Contract Grnts-4Yr'!H19+'Investment Income-4Yr'!H19+'All Other E&amp;G-4Yr'!H19</f>
        <v>0</v>
      </c>
      <c r="I19" s="51">
        <f>+'Tuition-4Yr'!I19+'State Appropriations-4Yr'!I19+'Local Appropriations-4Yr'!I19+'Fed Contracts Grnts-4Yr'!I19+'Other Contract Grnts-4Yr'!I19+'Investment Income-4Yr'!I19+'All Other E&amp;G-4Yr'!I19</f>
        <v>1073402.5490000001</v>
      </c>
      <c r="J19" s="51">
        <f>+'Tuition-4Yr'!J19+'State Appropriations-4Yr'!J19+'Local Appropriations-4Yr'!J19+'Fed Contracts Grnts-4Yr'!J19+'Other Contract Grnts-4Yr'!J19+'Investment Income-4Yr'!J19+'All Other E&amp;G-4Yr'!J19</f>
        <v>1066566.7720000001</v>
      </c>
      <c r="K19" s="51">
        <f>+'Tuition-4Yr'!K19+'State Appropriations-4Yr'!K19+'Local Appropriations-4Yr'!K19+'Fed Contracts Grnts-4Yr'!K19+'Other Contract Grnts-4Yr'!K19+'Investment Income-4Yr'!K19+'All Other E&amp;G-4Yr'!K19</f>
        <v>1195756.3629999999</v>
      </c>
      <c r="L19" s="51">
        <f>+'Tuition-4Yr'!L19+'State Appropriations-4Yr'!L19+'Local Appropriations-4Yr'!L19+'Fed Contracts Grnts-4Yr'!L19+'Other Contract Grnts-4Yr'!L19+'Investment Income-4Yr'!L19+'All Other E&amp;G-4Yr'!L19</f>
        <v>1272771.3420000002</v>
      </c>
      <c r="M19" s="51">
        <f>+'Tuition-4Yr'!M19+'State Appropriations-4Yr'!M19+'Local Appropriations-4Yr'!M19+'Fed Contracts Grnts-4Yr'!M19+'Other Contract Grnts-4Yr'!M19+'Investment Income-4Yr'!M19+'All Other E&amp;G-4Yr'!M19</f>
        <v>1312656.497</v>
      </c>
      <c r="N19" s="51">
        <f>+'Tuition-4Yr'!N19+'State Appropriations-4Yr'!N19+'Local Appropriations-4Yr'!N19+'Fed Contracts Grnts-4Yr'!N19+'Other Contract Grnts-4Yr'!N19+'Investment Income-4Yr'!N19+'All Other E&amp;G-4Yr'!N19</f>
        <v>1393825.5719999999</v>
      </c>
      <c r="O19" s="51">
        <f>+'Tuition-4Yr'!O19+'State Appropriations-4Yr'!O19+'Local Appropriations-4Yr'!O19+'Fed Contracts Grnts-4Yr'!O19+'Other Contract Grnts-4Yr'!O19+'Investment Income-4Yr'!O19+'All Other E&amp;G-4Yr'!O19</f>
        <v>1445985.047</v>
      </c>
      <c r="P19" s="51">
        <f>+'Tuition-4Yr'!P19+'State Appropriations-4Yr'!P19+'Local Appropriations-4Yr'!P19+'Fed Contracts Grnts-4Yr'!P19+'Other Contract Grnts-4Yr'!P19+'Investment Income-4Yr'!P19+'All Other E&amp;G-4Yr'!P19</f>
        <v>0</v>
      </c>
      <c r="Q19" s="51">
        <f>+'Tuition-4Yr'!Q19+'State Appropriations-4Yr'!Q19+'Local Appropriations-4Yr'!Q19+'Fed Contracts Grnts-4Yr'!Q19+'Other Contract Grnts-4Yr'!Q19+'Investment Income-4Yr'!Q19+'All Other E&amp;G-4Yr'!Q19</f>
        <v>0</v>
      </c>
      <c r="R19" s="51">
        <f>+'Tuition-4Yr'!R19+'State Appropriations-4Yr'!R19+'Local Appropriations-4Yr'!R19+'Fed Contracts Grnts-4Yr'!R19+'Other Contract Grnts-4Yr'!R19+'Investment Income-4Yr'!R19+'All Other E&amp;G-4Yr'!R19</f>
        <v>1768231.898</v>
      </c>
      <c r="S19" s="51">
        <f>+'Tuition-4Yr'!S19+'State Appropriations-4Yr'!S19+'Local Appropriations-4Yr'!S19+'Fed Contracts Grnts-4Yr'!S19+'Other Contract Grnts-4Yr'!S19+'Investment Income-4Yr'!S19+'All Other E&amp;G-4Yr'!S19</f>
        <v>1908867.824</v>
      </c>
      <c r="T19" s="51">
        <f>+'Tuition-4Yr'!T19+'State Appropriations-4Yr'!T19+'Local Appropriations-4Yr'!T19+'Fed Contracts Grnts-4Yr'!T19+'Other Contract Grnts-4Yr'!T19+'Investment Income-4Yr'!T19+'All Other E&amp;G-4Yr'!T19</f>
        <v>2015328.1070000001</v>
      </c>
      <c r="U19" s="51">
        <f>+'Tuition-4Yr'!U19+'State Appropriations-4Yr'!U19+'Local Appropriations-4Yr'!U19+'Fed Contracts Grnts-4Yr'!U19+'Other Contract Grnts-4Yr'!U19+'Investment Income-4Yr'!U19+'All Other E&amp;G-4Yr'!U19</f>
        <v>2053652.32</v>
      </c>
      <c r="V19" s="51">
        <f>+'Tuition-4Yr'!V19+'State Appropriations-4Yr'!V19+'Local Appropriations-4Yr'!V19+'Fed Contracts Grnts-4Yr'!V19+'Other Contract Grnts-4Yr'!V19+'Investment Income-4Yr'!V19+'All Other E&amp;G-4Yr'!V19</f>
        <v>2230563.2520000003</v>
      </c>
      <c r="W19" s="51">
        <f>+'Tuition-4Yr'!W19+'State Appropriations-4Yr'!W19+'Local Appropriations-4Yr'!W19+'Fed Contracts Grnts-4Yr'!W19+'Other Contract Grnts-4Yr'!W19+'Investment Income-4Yr'!W19+'All Other E&amp;G-4Yr'!W19</f>
        <v>2487607.9959999998</v>
      </c>
      <c r="X19" s="51">
        <f>+'Tuition-4Yr'!X19+'State Appropriations-4Yr'!X19+'Local Appropriations-4Yr'!X19+'Fed Contracts Grnts-4Yr'!X19+'Other Contract Grnts-4Yr'!X19+'Investment Income-4Yr'!X19+'All Other E&amp;G-4Yr'!X19</f>
        <v>2498351.1239999998</v>
      </c>
      <c r="Y19" s="51">
        <f>+'Tuition-4Yr'!Y19+'State Appropriations-4Yr'!Y19+'Local Appropriations-4Yr'!Y19+'Fed Contracts Grnts-4Yr'!Y19+'Other Contract Grnts-4Yr'!Y19+'Investment Income-4Yr'!Y19+'All Other E&amp;G-4Yr'!Y19</f>
        <v>2741713.7749999999</v>
      </c>
      <c r="Z19" s="51">
        <f>+'Tuition-4Yr'!Z19+'State Appropriations-4Yr'!Z19+'Local Appropriations-4Yr'!Z19+'Fed Contracts Grnts-4Yr'!Z19+'Other Contract Grnts-4Yr'!Z19+'Investment Income-4Yr'!Z19+'All Other E&amp;G-4Yr'!Z19</f>
        <v>2697176.5120000001</v>
      </c>
      <c r="AA19" s="51">
        <f>+'Tuition-4Yr'!AA19+'State Appropriations-4Yr'!AA19+'Local Appropriations-4Yr'!AA19+'Fed Contracts Grnts-4Yr'!AA19+'Other Contract Grnts-4Yr'!AA19+'Investment Income-4Yr'!AA19+'All Other E&amp;G-4Yr'!AA19</f>
        <v>2865680.5509999995</v>
      </c>
      <c r="AB19" s="51">
        <f>+'Tuition-4Yr'!AB19+'State Appropriations-4Yr'!AB19+'Local Appropriations-4Yr'!AB19+'Fed Contracts Grnts-4Yr'!AB19+'Other Contract Grnts-4Yr'!AB19+'Investment Income-4Yr'!AB19+'All Other E&amp;G-4Yr'!AB19</f>
        <v>3276243.3470000001</v>
      </c>
      <c r="AC19" s="51">
        <f>+'Tuition-4Yr'!AC19+'State Appropriations-4Yr'!AC19+'Local Appropriations-4Yr'!AC19+'Fed Contracts Grnts-4Yr'!AC19+'Other Contract Grnts-4Yr'!AC19+'Investment Income-4Yr'!AC19+'All Other E&amp;G-4Yr'!AC19</f>
        <v>3612624</v>
      </c>
      <c r="AD19" s="51">
        <f>+'Tuition-4Yr'!AD19+'State Appropriations-4Yr'!AD19+'Local Appropriations-4Yr'!AD19+'Fed Contracts Grnts-4Yr'!AD19+'Other Contract Grnts-4Yr'!AD19+'Investment Income-4Yr'!AD19+'All Other E&amp;G-4Yr'!AD19</f>
        <v>3369332.5379999997</v>
      </c>
      <c r="AE19" s="51">
        <f>+'Tuition-4Yr'!AE19+'State Appropriations-4Yr'!AE19+'Local Appropriations-4Yr'!AE19+'Fed Contracts Grnts-4Yr'!AE19+'Other Contract Grnts-4Yr'!AE19+'Investment Income-4Yr'!AE19+'All Other E&amp;G-4Yr'!AE19</f>
        <v>3489328.4380000001</v>
      </c>
      <c r="AF19" s="51">
        <f>+'Tuition-4Yr'!AF19+'State Appropriations-4Yr'!AF19+'Local Appropriations-4Yr'!AF19+'Fed Contracts Grnts-4Yr'!AF19+'Other Contract Grnts-4Yr'!AF19+'Investment Income-4Yr'!AF19+'All Other E&amp;G-4Yr'!AF19</f>
        <v>3541595.5090000005</v>
      </c>
      <c r="AG19" s="51">
        <f>+'Tuition-4Yr'!AG19+'State Appropriations-4Yr'!AG19+'Local Appropriations-4Yr'!AG19+'Fed Contracts Grnts-4Yr'!AG19+'Other Contract Grnts-4Yr'!AG19+'Investment Income-4Yr'!AG19+'All Other E&amp;G-4Yr'!AG19</f>
        <v>3653479.2779999999</v>
      </c>
      <c r="AH19" s="51">
        <f>+'Tuition-4Yr'!AH19+'State Appropriations-4Yr'!AH19+'Local Appropriations-4Yr'!AH19+'Fed Contracts Grnts-4Yr'!AH19+'Other Contract Grnts-4Yr'!AH19+'Investment Income-4Yr'!AH19+'All Other E&amp;G-4Yr'!AH19</f>
        <v>3788336.1010000003</v>
      </c>
      <c r="AI19" s="51">
        <f>+'Tuition-4Yr'!AI19+'State Appropriations-4Yr'!AI19+'Local Appropriations-4Yr'!AI19+'Fed Contracts Grnts-4Yr'!AI19+'Other Contract Grnts-4Yr'!AI19+'Investment Income-4Yr'!AI19+'All Other E&amp;G-4Yr'!AI19</f>
        <v>3913161.61</v>
      </c>
      <c r="AJ19" s="51">
        <f>+'Tuition-4Yr'!AJ19+'State Appropriations-4Yr'!AJ19+'Local Appropriations-4Yr'!AJ19+'Fed Contracts Grnts-4Yr'!AJ19+'Other Contract Grnts-4Yr'!AJ19+'Investment Income-4Yr'!AJ19+'All Other E&amp;G-4Yr'!AJ19</f>
        <v>0</v>
      </c>
      <c r="AK19" s="51">
        <f>+'Tuition-4Yr'!AK19+'State Appropriations-4Yr'!AK19+'Local Appropriations-4Yr'!AK19+'Fed Contracts Grnts-4Yr'!AK19+'Other Contract Grnts-4Yr'!AK19+'Investment Income-4Yr'!AK19+'All Other E&amp;G-4Yr'!AK19</f>
        <v>4394434.7079999996</v>
      </c>
      <c r="AL19" s="51">
        <f>+'Tuition-4Yr'!AL19+'State Appropriations-4Yr'!AL19+'Local Appropriations-4Yr'!AL19+'Fed Contracts Grnts-4Yr'!AL19+'Other Contract Grnts-4Yr'!AL19+'Investment Income-4Yr'!AL19+'All Other E&amp;G-4Yr'!AL19</f>
        <v>4284239.1150000002</v>
      </c>
    </row>
    <row r="20" spans="1:38" ht="12.75" customHeight="1">
      <c r="A20" s="1" t="s">
        <v>35</v>
      </c>
      <c r="B20" s="51">
        <f>+'Tuition-4Yr'!B20+'State Appropriations-4Yr'!B20+'Local Appropriations-4Yr'!B20+'Fed Contracts Grnts-4Yr'!B20+'Other Contract Grnts-4Yr'!B20+'Investment Income-4Yr'!B20+'All Other E&amp;G-4Yr'!B20</f>
        <v>2855354</v>
      </c>
      <c r="C20" s="51">
        <f>+'Tuition-4Yr'!C20+'State Appropriations-4Yr'!C20+'Local Appropriations-4Yr'!C20+'Fed Contracts Grnts-4Yr'!C20+'Other Contract Grnts-4Yr'!C20+'Investment Income-4Yr'!C20+'All Other E&amp;G-4Yr'!C20</f>
        <v>3040766</v>
      </c>
      <c r="D20" s="51">
        <f>+'Tuition-4Yr'!D20+'State Appropriations-4Yr'!D20+'Local Appropriations-4Yr'!D20+'Fed Contracts Grnts-4Yr'!D20+'Other Contract Grnts-4Yr'!D20+'Investment Income-4Yr'!D20+'All Other E&amp;G-4Yr'!D20</f>
        <v>3269696</v>
      </c>
      <c r="E20" s="51">
        <f>+'Tuition-4Yr'!E20+'State Appropriations-4Yr'!E20+'Local Appropriations-4Yr'!E20+'Fed Contracts Grnts-4Yr'!E20+'Other Contract Grnts-4Yr'!E20+'Investment Income-4Yr'!E20+'All Other E&amp;G-4Yr'!E20</f>
        <v>0</v>
      </c>
      <c r="F20" s="51">
        <f>+'Tuition-4Yr'!F20+'State Appropriations-4Yr'!F20+'Local Appropriations-4Yr'!F20+'Fed Contracts Grnts-4Yr'!F20+'Other Contract Grnts-4Yr'!F20+'Investment Income-4Yr'!F20+'All Other E&amp;G-4Yr'!F20</f>
        <v>0</v>
      </c>
      <c r="G20" s="51">
        <f>+'Tuition-4Yr'!G20+'State Appropriations-4Yr'!G20+'Local Appropriations-4Yr'!G20+'Fed Contracts Grnts-4Yr'!G20+'Other Contract Grnts-4Yr'!G20+'Investment Income-4Yr'!G20+'All Other E&amp;G-4Yr'!G20</f>
        <v>0</v>
      </c>
      <c r="H20" s="51">
        <f>+'Tuition-4Yr'!H20+'State Appropriations-4Yr'!H20+'Local Appropriations-4Yr'!H20+'Fed Contracts Grnts-4Yr'!H20+'Other Contract Grnts-4Yr'!H20+'Investment Income-4Yr'!H20+'All Other E&amp;G-4Yr'!H20</f>
        <v>0</v>
      </c>
      <c r="I20" s="51">
        <f>+'Tuition-4Yr'!I20+'State Appropriations-4Yr'!I20+'Local Appropriations-4Yr'!I20+'Fed Contracts Grnts-4Yr'!I20+'Other Contract Grnts-4Yr'!I20+'Investment Income-4Yr'!I20+'All Other E&amp;G-4Yr'!I20</f>
        <v>4208654.3260000004</v>
      </c>
      <c r="J20" s="51">
        <f>+'Tuition-4Yr'!J20+'State Appropriations-4Yr'!J20+'Local Appropriations-4Yr'!J20+'Fed Contracts Grnts-4Yr'!J20+'Other Contract Grnts-4Yr'!J20+'Investment Income-4Yr'!J20+'All Other E&amp;G-4Yr'!J20</f>
        <v>4696564.4870000007</v>
      </c>
      <c r="K20" s="51">
        <f>+'Tuition-4Yr'!K20+'State Appropriations-4Yr'!K20+'Local Appropriations-4Yr'!K20+'Fed Contracts Grnts-4Yr'!K20+'Other Contract Grnts-4Yr'!K20+'Investment Income-4Yr'!K20+'All Other E&amp;G-4Yr'!K20</f>
        <v>5162226.0109999999</v>
      </c>
      <c r="L20" s="51">
        <f>+'Tuition-4Yr'!L20+'State Appropriations-4Yr'!L20+'Local Appropriations-4Yr'!L20+'Fed Contracts Grnts-4Yr'!L20+'Other Contract Grnts-4Yr'!L20+'Investment Income-4Yr'!L20+'All Other E&amp;G-4Yr'!L20</f>
        <v>5525359.0989999995</v>
      </c>
      <c r="M20" s="51">
        <f>+'Tuition-4Yr'!M20+'State Appropriations-4Yr'!M20+'Local Appropriations-4Yr'!M20+'Fed Contracts Grnts-4Yr'!M20+'Other Contract Grnts-4Yr'!M20+'Investment Income-4Yr'!M20+'All Other E&amp;G-4Yr'!M20</f>
        <v>5776011.6170000006</v>
      </c>
      <c r="N20" s="51">
        <f>+'Tuition-4Yr'!N20+'State Appropriations-4Yr'!N20+'Local Appropriations-4Yr'!N20+'Fed Contracts Grnts-4Yr'!N20+'Other Contract Grnts-4Yr'!N20+'Investment Income-4Yr'!N20+'All Other E&amp;G-4Yr'!N20</f>
        <v>6469432.5069999993</v>
      </c>
      <c r="O20" s="51">
        <f>+'Tuition-4Yr'!O20+'State Appropriations-4Yr'!O20+'Local Appropriations-4Yr'!O20+'Fed Contracts Grnts-4Yr'!O20+'Other Contract Grnts-4Yr'!O20+'Investment Income-4Yr'!O20+'All Other E&amp;G-4Yr'!O20</f>
        <v>6733292.7989999996</v>
      </c>
      <c r="P20" s="51">
        <f>+'Tuition-4Yr'!P20+'State Appropriations-4Yr'!P20+'Local Appropriations-4Yr'!P20+'Fed Contracts Grnts-4Yr'!P20+'Other Contract Grnts-4Yr'!P20+'Investment Income-4Yr'!P20+'All Other E&amp;G-4Yr'!P20</f>
        <v>0</v>
      </c>
      <c r="Q20" s="51">
        <f>+'Tuition-4Yr'!Q20+'State Appropriations-4Yr'!Q20+'Local Appropriations-4Yr'!Q20+'Fed Contracts Grnts-4Yr'!Q20+'Other Contract Grnts-4Yr'!Q20+'Investment Income-4Yr'!Q20+'All Other E&amp;G-4Yr'!Q20</f>
        <v>0</v>
      </c>
      <c r="R20" s="51">
        <f>+'Tuition-4Yr'!R20+'State Appropriations-4Yr'!R20+'Local Appropriations-4Yr'!R20+'Fed Contracts Grnts-4Yr'!R20+'Other Contract Grnts-4Yr'!R20+'Investment Income-4Yr'!R20+'All Other E&amp;G-4Yr'!R20</f>
        <v>7944428.3909999998</v>
      </c>
      <c r="S20" s="51">
        <f>+'Tuition-4Yr'!S20+'State Appropriations-4Yr'!S20+'Local Appropriations-4Yr'!S20+'Fed Contracts Grnts-4Yr'!S20+'Other Contract Grnts-4Yr'!S20+'Investment Income-4Yr'!S20+'All Other E&amp;G-4Yr'!S20</f>
        <v>8760716.3550000004</v>
      </c>
      <c r="T20" s="51">
        <f>+'Tuition-4Yr'!T20+'State Appropriations-4Yr'!T20+'Local Appropriations-4Yr'!T20+'Fed Contracts Grnts-4Yr'!T20+'Other Contract Grnts-4Yr'!T20+'Investment Income-4Yr'!T20+'All Other E&amp;G-4Yr'!T20</f>
        <v>10709200.309999999</v>
      </c>
      <c r="U20" s="51">
        <f>+'Tuition-4Yr'!U20+'State Appropriations-4Yr'!U20+'Local Appropriations-4Yr'!U20+'Fed Contracts Grnts-4Yr'!U20+'Other Contract Grnts-4Yr'!U20+'Investment Income-4Yr'!U20+'All Other E&amp;G-4Yr'!U20</f>
        <v>11355153.380000001</v>
      </c>
      <c r="V20" s="51">
        <f>+'Tuition-4Yr'!V20+'State Appropriations-4Yr'!V20+'Local Appropriations-4Yr'!V20+'Fed Contracts Grnts-4Yr'!V20+'Other Contract Grnts-4Yr'!V20+'Investment Income-4Yr'!V20+'All Other E&amp;G-4Yr'!V20</f>
        <v>11971042.774999999</v>
      </c>
      <c r="W20" s="51">
        <f>+'Tuition-4Yr'!W20+'State Appropriations-4Yr'!W20+'Local Appropriations-4Yr'!W20+'Fed Contracts Grnts-4Yr'!W20+'Other Contract Grnts-4Yr'!W20+'Investment Income-4Yr'!W20+'All Other E&amp;G-4Yr'!W20</f>
        <v>13673741.325999999</v>
      </c>
      <c r="X20" s="51">
        <f>+'Tuition-4Yr'!X20+'State Appropriations-4Yr'!X20+'Local Appropriations-4Yr'!X20+'Fed Contracts Grnts-4Yr'!X20+'Other Contract Grnts-4Yr'!X20+'Investment Income-4Yr'!X20+'All Other E&amp;G-4Yr'!X20</f>
        <v>12906029.742000001</v>
      </c>
      <c r="Y20" s="51">
        <f>+'Tuition-4Yr'!Y20+'State Appropriations-4Yr'!Y20+'Local Appropriations-4Yr'!Y20+'Fed Contracts Grnts-4Yr'!Y20+'Other Contract Grnts-4Yr'!Y20+'Investment Income-4Yr'!Y20+'All Other E&amp;G-4Yr'!Y20</f>
        <v>14463335.293</v>
      </c>
      <c r="Z20" s="51">
        <f>+'Tuition-4Yr'!Z20+'State Appropriations-4Yr'!Z20+'Local Appropriations-4Yr'!Z20+'Fed Contracts Grnts-4Yr'!Z20+'Other Contract Grnts-4Yr'!Z20+'Investment Income-4Yr'!Z20+'All Other E&amp;G-4Yr'!Z20</f>
        <v>14268530.936000001</v>
      </c>
      <c r="AA20" s="51">
        <f>+'Tuition-4Yr'!AA20+'State Appropriations-4Yr'!AA20+'Local Appropriations-4Yr'!AA20+'Fed Contracts Grnts-4Yr'!AA20+'Other Contract Grnts-4Yr'!AA20+'Investment Income-4Yr'!AA20+'All Other E&amp;G-4Yr'!AA20</f>
        <v>10385411.127</v>
      </c>
      <c r="AB20" s="51">
        <f>+'Tuition-4Yr'!AB20+'State Appropriations-4Yr'!AB20+'Local Appropriations-4Yr'!AB20+'Fed Contracts Grnts-4Yr'!AB20+'Other Contract Grnts-4Yr'!AB20+'Investment Income-4Yr'!AB20+'All Other E&amp;G-4Yr'!AB20</f>
        <v>17808978.030999999</v>
      </c>
      <c r="AC20" s="51">
        <f>+'Tuition-4Yr'!AC20+'State Appropriations-4Yr'!AC20+'Local Appropriations-4Yr'!AC20+'Fed Contracts Grnts-4Yr'!AC20+'Other Contract Grnts-4Yr'!AC20+'Investment Income-4Yr'!AC20+'All Other E&amp;G-4Yr'!AC20</f>
        <v>18535745</v>
      </c>
      <c r="AD20" s="51">
        <f>+'Tuition-4Yr'!AD20+'State Appropriations-4Yr'!AD20+'Local Appropriations-4Yr'!AD20+'Fed Contracts Grnts-4Yr'!AD20+'Other Contract Grnts-4Yr'!AD20+'Investment Income-4Yr'!AD20+'All Other E&amp;G-4Yr'!AD20</f>
        <v>17697132.737</v>
      </c>
      <c r="AE20" s="51">
        <f>+'Tuition-4Yr'!AE20+'State Appropriations-4Yr'!AE20+'Local Appropriations-4Yr'!AE20+'Fed Contracts Grnts-4Yr'!AE20+'Other Contract Grnts-4Yr'!AE20+'Investment Income-4Yr'!AE20+'All Other E&amp;G-4Yr'!AE20</f>
        <v>13653906.197999999</v>
      </c>
      <c r="AF20" s="51">
        <f>+'Tuition-4Yr'!AF20+'State Appropriations-4Yr'!AF20+'Local Appropriations-4Yr'!AF20+'Fed Contracts Grnts-4Yr'!AF20+'Other Contract Grnts-4Yr'!AF20+'Investment Income-4Yr'!AF20+'All Other E&amp;G-4Yr'!AF20</f>
        <v>15012754.888</v>
      </c>
      <c r="AG20" s="51">
        <f>+'Tuition-4Yr'!AG20+'State Appropriations-4Yr'!AG20+'Local Appropriations-4Yr'!AG20+'Fed Contracts Grnts-4Yr'!AG20+'Other Contract Grnts-4Yr'!AG20+'Investment Income-4Yr'!AG20+'All Other E&amp;G-4Yr'!AG20</f>
        <v>15354502.934000002</v>
      </c>
      <c r="AH20" s="51">
        <f>+'Tuition-4Yr'!AH20+'State Appropriations-4Yr'!AH20+'Local Appropriations-4Yr'!AH20+'Fed Contracts Grnts-4Yr'!AH20+'Other Contract Grnts-4Yr'!AH20+'Investment Income-4Yr'!AH20+'All Other E&amp;G-4Yr'!AH20</f>
        <v>22541456.245000001</v>
      </c>
      <c r="AI20" s="51">
        <f>+'Tuition-4Yr'!AI20+'State Appropriations-4Yr'!AI20+'Local Appropriations-4Yr'!AI20+'Fed Contracts Grnts-4Yr'!AI20+'Other Contract Grnts-4Yr'!AI20+'Investment Income-4Yr'!AI20+'All Other E&amp;G-4Yr'!AI20</f>
        <v>24788339.470999997</v>
      </c>
      <c r="AJ20" s="51">
        <f>+'Tuition-4Yr'!AJ20+'State Appropriations-4Yr'!AJ20+'Local Appropriations-4Yr'!AJ20+'Fed Contracts Grnts-4Yr'!AJ20+'Other Contract Grnts-4Yr'!AJ20+'Investment Income-4Yr'!AJ20+'All Other E&amp;G-4Yr'!AJ20</f>
        <v>0</v>
      </c>
      <c r="AK20" s="51">
        <f>+'Tuition-4Yr'!AK20+'State Appropriations-4Yr'!AK20+'Local Appropriations-4Yr'!AK20+'Fed Contracts Grnts-4Yr'!AK20+'Other Contract Grnts-4Yr'!AK20+'Investment Income-4Yr'!AK20+'All Other E&amp;G-4Yr'!AK20</f>
        <v>27226300.368999999</v>
      </c>
      <c r="AL20" s="51">
        <f>+'Tuition-4Yr'!AL20+'State Appropriations-4Yr'!AL20+'Local Appropriations-4Yr'!AL20+'Fed Contracts Grnts-4Yr'!AL20+'Other Contract Grnts-4Yr'!AL20+'Investment Income-4Yr'!AL20+'All Other E&amp;G-4Yr'!AL20</f>
        <v>27931804.331</v>
      </c>
    </row>
    <row r="21" spans="1:38" ht="12.75" customHeight="1">
      <c r="A21" s="1" t="s">
        <v>36</v>
      </c>
      <c r="B21" s="51">
        <f>+'Tuition-4Yr'!B21+'State Appropriations-4Yr'!B21+'Local Appropriations-4Yr'!B21+'Fed Contracts Grnts-4Yr'!B21+'Other Contract Grnts-4Yr'!B21+'Investment Income-4Yr'!B21+'All Other E&amp;G-4Yr'!B21</f>
        <v>850489</v>
      </c>
      <c r="C21" s="51">
        <f>+'Tuition-4Yr'!C21+'State Appropriations-4Yr'!C21+'Local Appropriations-4Yr'!C21+'Fed Contracts Grnts-4Yr'!C21+'Other Contract Grnts-4Yr'!C21+'Investment Income-4Yr'!C21+'All Other E&amp;G-4Yr'!C21</f>
        <v>1103420</v>
      </c>
      <c r="D21" s="51">
        <f>+'Tuition-4Yr'!D21+'State Appropriations-4Yr'!D21+'Local Appropriations-4Yr'!D21+'Fed Contracts Grnts-4Yr'!D21+'Other Contract Grnts-4Yr'!D21+'Investment Income-4Yr'!D21+'All Other E&amp;G-4Yr'!D21</f>
        <v>1230511</v>
      </c>
      <c r="E21" s="51">
        <f>+'Tuition-4Yr'!E21+'State Appropriations-4Yr'!E21+'Local Appropriations-4Yr'!E21+'Fed Contracts Grnts-4Yr'!E21+'Other Contract Grnts-4Yr'!E21+'Investment Income-4Yr'!E21+'All Other E&amp;G-4Yr'!E21</f>
        <v>0</v>
      </c>
      <c r="F21" s="51">
        <f>+'Tuition-4Yr'!F21+'State Appropriations-4Yr'!F21+'Local Appropriations-4Yr'!F21+'Fed Contracts Grnts-4Yr'!F21+'Other Contract Grnts-4Yr'!F21+'Investment Income-4Yr'!F21+'All Other E&amp;G-4Yr'!F21</f>
        <v>0</v>
      </c>
      <c r="G21" s="51">
        <f>+'Tuition-4Yr'!G21+'State Appropriations-4Yr'!G21+'Local Appropriations-4Yr'!G21+'Fed Contracts Grnts-4Yr'!G21+'Other Contract Grnts-4Yr'!G21+'Investment Income-4Yr'!G21+'All Other E&amp;G-4Yr'!G21</f>
        <v>0</v>
      </c>
      <c r="H21" s="51">
        <f>+'Tuition-4Yr'!H21+'State Appropriations-4Yr'!H21+'Local Appropriations-4Yr'!H21+'Fed Contracts Grnts-4Yr'!H21+'Other Contract Grnts-4Yr'!H21+'Investment Income-4Yr'!H21+'All Other E&amp;G-4Yr'!H21</f>
        <v>0</v>
      </c>
      <c r="I21" s="51">
        <f>+'Tuition-4Yr'!I21+'State Appropriations-4Yr'!I21+'Local Appropriations-4Yr'!I21+'Fed Contracts Grnts-4Yr'!I21+'Other Contract Grnts-4Yr'!I21+'Investment Income-4Yr'!I21+'All Other E&amp;G-4Yr'!I21</f>
        <v>1648121.933</v>
      </c>
      <c r="J21" s="51">
        <f>+'Tuition-4Yr'!J21+'State Appropriations-4Yr'!J21+'Local Appropriations-4Yr'!J21+'Fed Contracts Grnts-4Yr'!J21+'Other Contract Grnts-4Yr'!J21+'Investment Income-4Yr'!J21+'All Other E&amp;G-4Yr'!J21</f>
        <v>1672080.1730000004</v>
      </c>
      <c r="K21" s="51">
        <f>+'Tuition-4Yr'!K21+'State Appropriations-4Yr'!K21+'Local Appropriations-4Yr'!K21+'Fed Contracts Grnts-4Yr'!K21+'Other Contract Grnts-4Yr'!K21+'Investment Income-4Yr'!K21+'All Other E&amp;G-4Yr'!K21</f>
        <v>1737403.0619999997</v>
      </c>
      <c r="L21" s="51">
        <f>+'Tuition-4Yr'!L21+'State Appropriations-4Yr'!L21+'Local Appropriations-4Yr'!L21+'Fed Contracts Grnts-4Yr'!L21+'Other Contract Grnts-4Yr'!L21+'Investment Income-4Yr'!L21+'All Other E&amp;G-4Yr'!L21</f>
        <v>1835120.1820000003</v>
      </c>
      <c r="M21" s="51">
        <f>+'Tuition-4Yr'!M21+'State Appropriations-4Yr'!M21+'Local Appropriations-4Yr'!M21+'Fed Contracts Grnts-4Yr'!M21+'Other Contract Grnts-4Yr'!M21+'Investment Income-4Yr'!M21+'All Other E&amp;G-4Yr'!M21</f>
        <v>1974502.7690000001</v>
      </c>
      <c r="N21" s="51">
        <f>+'Tuition-4Yr'!N21+'State Appropriations-4Yr'!N21+'Local Appropriations-4Yr'!N21+'Fed Contracts Grnts-4Yr'!N21+'Other Contract Grnts-4Yr'!N21+'Investment Income-4Yr'!N21+'All Other E&amp;G-4Yr'!N21</f>
        <v>2011317.2259999998</v>
      </c>
      <c r="O21" s="51">
        <f>+'Tuition-4Yr'!O21+'State Appropriations-4Yr'!O21+'Local Appropriations-4Yr'!O21+'Fed Contracts Grnts-4Yr'!O21+'Other Contract Grnts-4Yr'!O21+'Investment Income-4Yr'!O21+'All Other E&amp;G-4Yr'!O21</f>
        <v>2160095.7800000003</v>
      </c>
      <c r="P21" s="51">
        <f>+'Tuition-4Yr'!P21+'State Appropriations-4Yr'!P21+'Local Appropriations-4Yr'!P21+'Fed Contracts Grnts-4Yr'!P21+'Other Contract Grnts-4Yr'!P21+'Investment Income-4Yr'!P21+'All Other E&amp;G-4Yr'!P21</f>
        <v>0</v>
      </c>
      <c r="Q21" s="51">
        <f>+'Tuition-4Yr'!Q21+'State Appropriations-4Yr'!Q21+'Local Appropriations-4Yr'!Q21+'Fed Contracts Grnts-4Yr'!Q21+'Other Contract Grnts-4Yr'!Q21+'Investment Income-4Yr'!Q21+'All Other E&amp;G-4Yr'!Q21</f>
        <v>0</v>
      </c>
      <c r="R21" s="51">
        <f>+'Tuition-4Yr'!R21+'State Appropriations-4Yr'!R21+'Local Appropriations-4Yr'!R21+'Fed Contracts Grnts-4Yr'!R21+'Other Contract Grnts-4Yr'!R21+'Investment Income-4Yr'!R21+'All Other E&amp;G-4Yr'!R21</f>
        <v>2610188.5920000002</v>
      </c>
      <c r="S21" s="51">
        <f>+'Tuition-4Yr'!S21+'State Appropriations-4Yr'!S21+'Local Appropriations-4Yr'!S21+'Fed Contracts Grnts-4Yr'!S21+'Other Contract Grnts-4Yr'!S21+'Investment Income-4Yr'!S21+'All Other E&amp;G-4Yr'!S21</f>
        <v>2852831.4869999997</v>
      </c>
      <c r="T21" s="51">
        <f>+'Tuition-4Yr'!T21+'State Appropriations-4Yr'!T21+'Local Appropriations-4Yr'!T21+'Fed Contracts Grnts-4Yr'!T21+'Other Contract Grnts-4Yr'!T21+'Investment Income-4Yr'!T21+'All Other E&amp;G-4Yr'!T21</f>
        <v>3007812.6450000005</v>
      </c>
      <c r="U21" s="51">
        <f>+'Tuition-4Yr'!U21+'State Appropriations-4Yr'!U21+'Local Appropriations-4Yr'!U21+'Fed Contracts Grnts-4Yr'!U21+'Other Contract Grnts-4Yr'!U21+'Investment Income-4Yr'!U21+'All Other E&amp;G-4Yr'!U21</f>
        <v>3131783.8659999999</v>
      </c>
      <c r="V21" s="51">
        <f>+'Tuition-4Yr'!V21+'State Appropriations-4Yr'!V21+'Local Appropriations-4Yr'!V21+'Fed Contracts Grnts-4Yr'!V21+'Other Contract Grnts-4Yr'!V21+'Investment Income-4Yr'!V21+'All Other E&amp;G-4Yr'!V21</f>
        <v>3333353.284</v>
      </c>
      <c r="W21" s="51">
        <f>+'Tuition-4Yr'!W21+'State Appropriations-4Yr'!W21+'Local Appropriations-4Yr'!W21+'Fed Contracts Grnts-4Yr'!W21+'Other Contract Grnts-4Yr'!W21+'Investment Income-4Yr'!W21+'All Other E&amp;G-4Yr'!W21</f>
        <v>3863963.3709999998</v>
      </c>
      <c r="X21" s="51">
        <f>+'Tuition-4Yr'!X21+'State Appropriations-4Yr'!X21+'Local Appropriations-4Yr'!X21+'Fed Contracts Grnts-4Yr'!X21+'Other Contract Grnts-4Yr'!X21+'Investment Income-4Yr'!X21+'All Other E&amp;G-4Yr'!X21</f>
        <v>3967673.9350000005</v>
      </c>
      <c r="Y21" s="51">
        <f>+'Tuition-4Yr'!Y21+'State Appropriations-4Yr'!Y21+'Local Appropriations-4Yr'!Y21+'Fed Contracts Grnts-4Yr'!Y21+'Other Contract Grnts-4Yr'!Y21+'Investment Income-4Yr'!Y21+'All Other E&amp;G-4Yr'!Y21</f>
        <v>4659183.1189999999</v>
      </c>
      <c r="Z21" s="51">
        <f>+'Tuition-4Yr'!Z21+'State Appropriations-4Yr'!Z21+'Local Appropriations-4Yr'!Z21+'Fed Contracts Grnts-4Yr'!Z21+'Other Contract Grnts-4Yr'!Z21+'Investment Income-4Yr'!Z21+'All Other E&amp;G-4Yr'!Z21</f>
        <v>4387659.9350000005</v>
      </c>
      <c r="AA21" s="51">
        <f>+'Tuition-4Yr'!AA21+'State Appropriations-4Yr'!AA21+'Local Appropriations-4Yr'!AA21+'Fed Contracts Grnts-4Yr'!AA21+'Other Contract Grnts-4Yr'!AA21+'Investment Income-4Yr'!AA21+'All Other E&amp;G-4Yr'!AA21</f>
        <v>3625720.4989999994</v>
      </c>
      <c r="AB21" s="51">
        <f>+'Tuition-4Yr'!AB21+'State Appropriations-4Yr'!AB21+'Local Appropriations-4Yr'!AB21+'Fed Contracts Grnts-4Yr'!AB21+'Other Contract Grnts-4Yr'!AB21+'Investment Income-4Yr'!AB21+'All Other E&amp;G-4Yr'!AB21</f>
        <v>5111979.0520000011</v>
      </c>
      <c r="AC21" s="51">
        <f>+'Tuition-4Yr'!AC21+'State Appropriations-4Yr'!AC21+'Local Appropriations-4Yr'!AC21+'Fed Contracts Grnts-4Yr'!AC21+'Other Contract Grnts-4Yr'!AC21+'Investment Income-4Yr'!AC21+'All Other E&amp;G-4Yr'!AC21</f>
        <v>5935586</v>
      </c>
      <c r="AD21" s="51">
        <f>+'Tuition-4Yr'!AD21+'State Appropriations-4Yr'!AD21+'Local Appropriations-4Yr'!AD21+'Fed Contracts Grnts-4Yr'!AD21+'Other Contract Grnts-4Yr'!AD21+'Investment Income-4Yr'!AD21+'All Other E&amp;G-4Yr'!AD21</f>
        <v>5338529.7220000001</v>
      </c>
      <c r="AE21" s="51">
        <f>+'Tuition-4Yr'!AE21+'State Appropriations-4Yr'!AE21+'Local Appropriations-4Yr'!AE21+'Fed Contracts Grnts-4Yr'!AE21+'Other Contract Grnts-4Yr'!AE21+'Investment Income-4Yr'!AE21+'All Other E&amp;G-4Yr'!AE21</f>
        <v>5892547.4369999999</v>
      </c>
      <c r="AF21" s="51">
        <f>+'Tuition-4Yr'!AF21+'State Appropriations-4Yr'!AF21+'Local Appropriations-4Yr'!AF21+'Fed Contracts Grnts-4Yr'!AF21+'Other Contract Grnts-4Yr'!AF21+'Investment Income-4Yr'!AF21+'All Other E&amp;G-4Yr'!AF21</f>
        <v>6390379.0719999997</v>
      </c>
      <c r="AG21" s="51">
        <f>+'Tuition-4Yr'!AG21+'State Appropriations-4Yr'!AG21+'Local Appropriations-4Yr'!AG21+'Fed Contracts Grnts-4Yr'!AG21+'Other Contract Grnts-4Yr'!AG21+'Investment Income-4Yr'!AG21+'All Other E&amp;G-4Yr'!AG21</f>
        <v>6194111.057</v>
      </c>
      <c r="AH21" s="51">
        <f>+'Tuition-4Yr'!AH21+'State Appropriations-4Yr'!AH21+'Local Appropriations-4Yr'!AH21+'Fed Contracts Grnts-4Yr'!AH21+'Other Contract Grnts-4Yr'!AH21+'Investment Income-4Yr'!AH21+'All Other E&amp;G-4Yr'!AH21</f>
        <v>5940822.5350000001</v>
      </c>
      <c r="AI21" s="51">
        <f>+'Tuition-4Yr'!AI21+'State Appropriations-4Yr'!AI21+'Local Appropriations-4Yr'!AI21+'Fed Contracts Grnts-4Yr'!AI21+'Other Contract Grnts-4Yr'!AI21+'Investment Income-4Yr'!AI21+'All Other E&amp;G-4Yr'!AI21</f>
        <v>7128703.4300000006</v>
      </c>
      <c r="AJ21" s="51">
        <f>+'Tuition-4Yr'!AJ21+'State Appropriations-4Yr'!AJ21+'Local Appropriations-4Yr'!AJ21+'Fed Contracts Grnts-4Yr'!AJ21+'Other Contract Grnts-4Yr'!AJ21+'Investment Income-4Yr'!AJ21+'All Other E&amp;G-4Yr'!AJ21</f>
        <v>0</v>
      </c>
      <c r="AK21" s="51">
        <f>+'Tuition-4Yr'!AK21+'State Appropriations-4Yr'!AK21+'Local Appropriations-4Yr'!AK21+'Fed Contracts Grnts-4Yr'!AK21+'Other Contract Grnts-4Yr'!AK21+'Investment Income-4Yr'!AK21+'All Other E&amp;G-4Yr'!AK21</f>
        <v>7829309.1870000008</v>
      </c>
      <c r="AL21" s="51">
        <f>+'Tuition-4Yr'!AL21+'State Appropriations-4Yr'!AL21+'Local Appropriations-4Yr'!AL21+'Fed Contracts Grnts-4Yr'!AL21+'Other Contract Grnts-4Yr'!AL21+'Investment Income-4Yr'!AL21+'All Other E&amp;G-4Yr'!AL21</f>
        <v>7835320.3559999997</v>
      </c>
    </row>
    <row r="22" spans="1:38" ht="12.75" customHeight="1">
      <c r="A22" s="27" t="s">
        <v>37</v>
      </c>
      <c r="B22" s="55">
        <f>+'Tuition-4Yr'!B22+'State Appropriations-4Yr'!B22+'Local Appropriations-4Yr'!B22+'Fed Contracts Grnts-4Yr'!B22+'Other Contract Grnts-4Yr'!B22+'Investment Income-4Yr'!B22+'All Other E&amp;G-4Yr'!B22</f>
        <v>297837</v>
      </c>
      <c r="C22" s="55">
        <f>+'Tuition-4Yr'!C22+'State Appropriations-4Yr'!C22+'Local Appropriations-4Yr'!C22+'Fed Contracts Grnts-4Yr'!C22+'Other Contract Grnts-4Yr'!C22+'Investment Income-4Yr'!C22+'All Other E&amp;G-4Yr'!C22</f>
        <v>298051</v>
      </c>
      <c r="D22" s="55">
        <f>+'Tuition-4Yr'!D22+'State Appropriations-4Yr'!D22+'Local Appropriations-4Yr'!D22+'Fed Contracts Grnts-4Yr'!D22+'Other Contract Grnts-4Yr'!D22+'Investment Income-4Yr'!D22+'All Other E&amp;G-4Yr'!D22</f>
        <v>321711</v>
      </c>
      <c r="E22" s="55">
        <f>+'Tuition-4Yr'!E22+'State Appropriations-4Yr'!E22+'Local Appropriations-4Yr'!E22+'Fed Contracts Grnts-4Yr'!E22+'Other Contract Grnts-4Yr'!E22+'Investment Income-4Yr'!E22+'All Other E&amp;G-4Yr'!E22</f>
        <v>0</v>
      </c>
      <c r="F22" s="55">
        <f>+'Tuition-4Yr'!F22+'State Appropriations-4Yr'!F22+'Local Appropriations-4Yr'!F22+'Fed Contracts Grnts-4Yr'!F22+'Other Contract Grnts-4Yr'!F22+'Investment Income-4Yr'!F22+'All Other E&amp;G-4Yr'!F22</f>
        <v>0</v>
      </c>
      <c r="G22" s="55">
        <f>+'Tuition-4Yr'!G22+'State Appropriations-4Yr'!G22+'Local Appropriations-4Yr'!G22+'Fed Contracts Grnts-4Yr'!G22+'Other Contract Grnts-4Yr'!G22+'Investment Income-4Yr'!G22+'All Other E&amp;G-4Yr'!G22</f>
        <v>0</v>
      </c>
      <c r="H22" s="55">
        <f>+'Tuition-4Yr'!H22+'State Appropriations-4Yr'!H22+'Local Appropriations-4Yr'!H22+'Fed Contracts Grnts-4Yr'!H22+'Other Contract Grnts-4Yr'!H22+'Investment Income-4Yr'!H22+'All Other E&amp;G-4Yr'!H22</f>
        <v>0</v>
      </c>
      <c r="I22" s="55">
        <f>+'Tuition-4Yr'!I22+'State Appropriations-4Yr'!I22+'Local Appropriations-4Yr'!I22+'Fed Contracts Grnts-4Yr'!I22+'Other Contract Grnts-4Yr'!I22+'Investment Income-4Yr'!I22+'All Other E&amp;G-4Yr'!I22</f>
        <v>487143.79000000004</v>
      </c>
      <c r="J22" s="55">
        <f>+'Tuition-4Yr'!J22+'State Appropriations-4Yr'!J22+'Local Appropriations-4Yr'!J22+'Fed Contracts Grnts-4Yr'!J22+'Other Contract Grnts-4Yr'!J22+'Investment Income-4Yr'!J22+'All Other E&amp;G-4Yr'!J22</f>
        <v>529810.41999999993</v>
      </c>
      <c r="K22" s="55">
        <f>+'Tuition-4Yr'!K22+'State Appropriations-4Yr'!K22+'Local Appropriations-4Yr'!K22+'Fed Contracts Grnts-4Yr'!K22+'Other Contract Grnts-4Yr'!K22+'Investment Income-4Yr'!K22+'All Other E&amp;G-4Yr'!K22</f>
        <v>556836.26300000004</v>
      </c>
      <c r="L22" s="55">
        <f>+'Tuition-4Yr'!L22+'State Appropriations-4Yr'!L22+'Local Appropriations-4Yr'!L22+'Fed Contracts Grnts-4Yr'!L22+'Other Contract Grnts-4Yr'!L22+'Investment Income-4Yr'!L22+'All Other E&amp;G-4Yr'!L22</f>
        <v>586547.174</v>
      </c>
      <c r="M22" s="55">
        <f>+'Tuition-4Yr'!M22+'State Appropriations-4Yr'!M22+'Local Appropriations-4Yr'!M22+'Fed Contracts Grnts-4Yr'!M22+'Other Contract Grnts-4Yr'!M22+'Investment Income-4Yr'!M22+'All Other E&amp;G-4Yr'!M22</f>
        <v>609006.13600000006</v>
      </c>
      <c r="N22" s="55">
        <f>+'Tuition-4Yr'!N22+'State Appropriations-4Yr'!N22+'Local Appropriations-4Yr'!N22+'Fed Contracts Grnts-4Yr'!N22+'Other Contract Grnts-4Yr'!N22+'Investment Income-4Yr'!N22+'All Other E&amp;G-4Yr'!N22</f>
        <v>648522.02100000007</v>
      </c>
      <c r="O22" s="55">
        <f>+'Tuition-4Yr'!O22+'State Appropriations-4Yr'!O22+'Local Appropriations-4Yr'!O22+'Fed Contracts Grnts-4Yr'!O22+'Other Contract Grnts-4Yr'!O22+'Investment Income-4Yr'!O22+'All Other E&amp;G-4Yr'!O22</f>
        <v>672088.25170000002</v>
      </c>
      <c r="P22" s="55">
        <f>+'Tuition-4Yr'!P22+'State Appropriations-4Yr'!P22+'Local Appropriations-4Yr'!P22+'Fed Contracts Grnts-4Yr'!P22+'Other Contract Grnts-4Yr'!P22+'Investment Income-4Yr'!P22+'All Other E&amp;G-4Yr'!P22</f>
        <v>0</v>
      </c>
      <c r="Q22" s="55">
        <f>+'Tuition-4Yr'!Q22+'State Appropriations-4Yr'!Q22+'Local Appropriations-4Yr'!Q22+'Fed Contracts Grnts-4Yr'!Q22+'Other Contract Grnts-4Yr'!Q22+'Investment Income-4Yr'!Q22+'All Other E&amp;G-4Yr'!Q22</f>
        <v>0</v>
      </c>
      <c r="R22" s="55">
        <f>+'Tuition-4Yr'!R22+'State Appropriations-4Yr'!R22+'Local Appropriations-4Yr'!R22+'Fed Contracts Grnts-4Yr'!R22+'Other Contract Grnts-4Yr'!R22+'Investment Income-4Yr'!R22+'All Other E&amp;G-4Yr'!R22</f>
        <v>769700.04099999997</v>
      </c>
      <c r="S22" s="55">
        <f>+'Tuition-4Yr'!S22+'State Appropriations-4Yr'!S22+'Local Appropriations-4Yr'!S22+'Fed Contracts Grnts-4Yr'!S22+'Other Contract Grnts-4Yr'!S22+'Investment Income-4Yr'!S22+'All Other E&amp;G-4Yr'!S22</f>
        <v>834571.99800000014</v>
      </c>
      <c r="T22" s="55">
        <f>+'Tuition-4Yr'!T22+'State Appropriations-4Yr'!T22+'Local Appropriations-4Yr'!T22+'Fed Contracts Grnts-4Yr'!T22+'Other Contract Grnts-4Yr'!T22+'Investment Income-4Yr'!T22+'All Other E&amp;G-4Yr'!T22</f>
        <v>940098.31099999999</v>
      </c>
      <c r="U22" s="55">
        <f>+'Tuition-4Yr'!U22+'State Appropriations-4Yr'!U22+'Local Appropriations-4Yr'!U22+'Fed Contracts Grnts-4Yr'!U22+'Other Contract Grnts-4Yr'!U22+'Investment Income-4Yr'!U22+'All Other E&amp;G-4Yr'!U22</f>
        <v>910607.28700000001</v>
      </c>
      <c r="V22" s="55">
        <f>+'Tuition-4Yr'!V22+'State Appropriations-4Yr'!V22+'Local Appropriations-4Yr'!V22+'Fed Contracts Grnts-4Yr'!V22+'Other Contract Grnts-4Yr'!V22+'Investment Income-4Yr'!V22+'All Other E&amp;G-4Yr'!V22</f>
        <v>934651.32300000009</v>
      </c>
      <c r="W22" s="55">
        <f>+'Tuition-4Yr'!W22+'State Appropriations-4Yr'!W22+'Local Appropriations-4Yr'!W22+'Fed Contracts Grnts-4Yr'!W22+'Other Contract Grnts-4Yr'!W22+'Investment Income-4Yr'!W22+'All Other E&amp;G-4Yr'!W22</f>
        <v>1047578.2259999999</v>
      </c>
      <c r="X22" s="55">
        <f>+'Tuition-4Yr'!X22+'State Appropriations-4Yr'!X22+'Local Appropriations-4Yr'!X22+'Fed Contracts Grnts-4Yr'!X22+'Other Contract Grnts-4Yr'!X22+'Investment Income-4Yr'!X22+'All Other E&amp;G-4Yr'!X22</f>
        <v>1076767.9239999999</v>
      </c>
      <c r="Y22" s="55">
        <f>+'Tuition-4Yr'!Y22+'State Appropriations-4Yr'!Y22+'Local Appropriations-4Yr'!Y22+'Fed Contracts Grnts-4Yr'!Y22+'Other Contract Grnts-4Yr'!Y22+'Investment Income-4Yr'!Y22+'All Other E&amp;G-4Yr'!Y22</f>
        <v>1136384.3319999999</v>
      </c>
      <c r="Z22" s="55">
        <f>+'Tuition-4Yr'!Z22+'State Appropriations-4Yr'!Z22+'Local Appropriations-4Yr'!Z22+'Fed Contracts Grnts-4Yr'!Z22+'Other Contract Grnts-4Yr'!Z22+'Investment Income-4Yr'!Z22+'All Other E&amp;G-4Yr'!Z22</f>
        <v>1198937.1030000001</v>
      </c>
      <c r="AA22" s="55">
        <f>+'Tuition-4Yr'!AA22+'State Appropriations-4Yr'!AA22+'Local Appropriations-4Yr'!AA22+'Fed Contracts Grnts-4Yr'!AA22+'Other Contract Grnts-4Yr'!AA22+'Investment Income-4Yr'!AA22+'All Other E&amp;G-4Yr'!AA22</f>
        <v>1268461.3190000001</v>
      </c>
      <c r="AB22" s="55">
        <f>+'Tuition-4Yr'!AB22+'State Appropriations-4Yr'!AB22+'Local Appropriations-4Yr'!AB22+'Fed Contracts Grnts-4Yr'!AB22+'Other Contract Grnts-4Yr'!AB22+'Investment Income-4Yr'!AB22+'All Other E&amp;G-4Yr'!AB22</f>
        <v>1429649.4640000002</v>
      </c>
      <c r="AC22" s="55">
        <f>+'Tuition-4Yr'!AC22+'State Appropriations-4Yr'!AC22+'Local Appropriations-4Yr'!AC22+'Fed Contracts Grnts-4Yr'!AC22+'Other Contract Grnts-4Yr'!AC22+'Investment Income-4Yr'!AC22+'All Other E&amp;G-4Yr'!AC22</f>
        <v>1469437</v>
      </c>
      <c r="AD22" s="55">
        <f>+'Tuition-4Yr'!AD22+'State Appropriations-4Yr'!AD22+'Local Appropriations-4Yr'!AD22+'Fed Contracts Grnts-4Yr'!AD22+'Other Contract Grnts-4Yr'!AD22+'Investment Income-4Yr'!AD22+'All Other E&amp;G-4Yr'!AD22</f>
        <v>1487663.1530000002</v>
      </c>
      <c r="AE22" s="55">
        <f>+'Tuition-4Yr'!AE22+'State Appropriations-4Yr'!AE22+'Local Appropriations-4Yr'!AE22+'Fed Contracts Grnts-4Yr'!AE22+'Other Contract Grnts-4Yr'!AE22+'Investment Income-4Yr'!AE22+'All Other E&amp;G-4Yr'!AE22</f>
        <v>1487043.1420000002</v>
      </c>
      <c r="AF22" s="55">
        <f>+'Tuition-4Yr'!AF22+'State Appropriations-4Yr'!AF22+'Local Appropriations-4Yr'!AF22+'Fed Contracts Grnts-4Yr'!AF22+'Other Contract Grnts-4Yr'!AF22+'Investment Income-4Yr'!AF22+'All Other E&amp;G-4Yr'!AF22</f>
        <v>1506201.0869999998</v>
      </c>
      <c r="AG22" s="55">
        <f>+'Tuition-4Yr'!AG22+'State Appropriations-4Yr'!AG22+'Local Appropriations-4Yr'!AG22+'Fed Contracts Grnts-4Yr'!AG22+'Other Contract Grnts-4Yr'!AG22+'Investment Income-4Yr'!AG22+'All Other E&amp;G-4Yr'!AG22</f>
        <v>1503817.8270000003</v>
      </c>
      <c r="AH22" s="55">
        <f>+'Tuition-4Yr'!AH22+'State Appropriations-4Yr'!AH22+'Local Appropriations-4Yr'!AH22+'Fed Contracts Grnts-4Yr'!AH22+'Other Contract Grnts-4Yr'!AH22+'Investment Income-4Yr'!AH22+'All Other E&amp;G-4Yr'!AH22</f>
        <v>1533322.2790000003</v>
      </c>
      <c r="AI22" s="55">
        <f>+'Tuition-4Yr'!AI22+'State Appropriations-4Yr'!AI22+'Local Appropriations-4Yr'!AI22+'Fed Contracts Grnts-4Yr'!AI22+'Other Contract Grnts-4Yr'!AI22+'Investment Income-4Yr'!AI22+'All Other E&amp;G-4Yr'!AI22</f>
        <v>1605483.406</v>
      </c>
      <c r="AJ22" s="55">
        <f>+'Tuition-4Yr'!AJ22+'State Appropriations-4Yr'!AJ22+'Local Appropriations-4Yr'!AJ22+'Fed Contracts Grnts-4Yr'!AJ22+'Other Contract Grnts-4Yr'!AJ22+'Investment Income-4Yr'!AJ22+'All Other E&amp;G-4Yr'!AJ22</f>
        <v>0</v>
      </c>
      <c r="AK22" s="55">
        <f>+'Tuition-4Yr'!AK22+'State Appropriations-4Yr'!AK22+'Local Appropriations-4Yr'!AK22+'Fed Contracts Grnts-4Yr'!AK22+'Other Contract Grnts-4Yr'!AK22+'Investment Income-4Yr'!AK22+'All Other E&amp;G-4Yr'!AK22</f>
        <v>1810523.2550000001</v>
      </c>
      <c r="AL22" s="55">
        <f>+'Tuition-4Yr'!AL22+'State Appropriations-4Yr'!AL22+'Local Appropriations-4Yr'!AL22+'Fed Contracts Grnts-4Yr'!AL22+'Other Contract Grnts-4Yr'!AL22+'Investment Income-4Yr'!AL22+'All Other E&amp;G-4Yr'!AL22</f>
        <v>1794750.358</v>
      </c>
    </row>
    <row r="23" spans="1:38" ht="12.75" customHeight="1">
      <c r="A23" s="6" t="s">
        <v>38</v>
      </c>
      <c r="B23" s="51">
        <f>+'Tuition-4Yr'!B23+'State Appropriations-4Yr'!B23+'Local Appropriations-4Yr'!B23+'Fed Contracts Grnts-4Yr'!B23+'Other Contract Grnts-4Yr'!B23+'Investment Income-4Yr'!B23+'All Other E&amp;G-4Yr'!B23</f>
        <v>0</v>
      </c>
      <c r="C23" s="51">
        <f>+'Tuition-4Yr'!C23+'State Appropriations-4Yr'!C23+'Local Appropriations-4Yr'!C23+'Fed Contracts Grnts-4Yr'!C23+'Other Contract Grnts-4Yr'!C23+'Investment Income-4Yr'!C23+'All Other E&amp;G-4Yr'!C23</f>
        <v>0</v>
      </c>
      <c r="D23" s="51">
        <f>+'Tuition-4Yr'!D23+'State Appropriations-4Yr'!D23+'Local Appropriations-4Yr'!D23+'Fed Contracts Grnts-4Yr'!D23+'Other Contract Grnts-4Yr'!D23+'Investment Income-4Yr'!D23+'All Other E&amp;G-4Yr'!D23</f>
        <v>0</v>
      </c>
      <c r="E23" s="51">
        <f>+'Tuition-4Yr'!E23+'State Appropriations-4Yr'!E23+'Local Appropriations-4Yr'!E23+'Fed Contracts Grnts-4Yr'!E23+'Other Contract Grnts-4Yr'!E23+'Investment Income-4Yr'!E23+'All Other E&amp;G-4Yr'!E23</f>
        <v>0</v>
      </c>
      <c r="F23" s="51">
        <f>+'Tuition-4Yr'!F23+'State Appropriations-4Yr'!F23+'Local Appropriations-4Yr'!F23+'Fed Contracts Grnts-4Yr'!F23+'Other Contract Grnts-4Yr'!F23+'Investment Income-4Yr'!F23+'All Other E&amp;G-4Yr'!F23</f>
        <v>0</v>
      </c>
      <c r="G23" s="51">
        <f>+'Tuition-4Yr'!G23+'State Appropriations-4Yr'!G23+'Local Appropriations-4Yr'!G23+'Fed Contracts Grnts-4Yr'!G23+'Other Contract Grnts-4Yr'!G23+'Investment Income-4Yr'!G23+'All Other E&amp;G-4Yr'!G23</f>
        <v>0</v>
      </c>
      <c r="H23" s="51">
        <f>+'Tuition-4Yr'!H23+'State Appropriations-4Yr'!H23+'Local Appropriations-4Yr'!H23+'Fed Contracts Grnts-4Yr'!H23+'Other Contract Grnts-4Yr'!H23+'Investment Income-4Yr'!H23+'All Other E&amp;G-4Yr'!H23</f>
        <v>0</v>
      </c>
      <c r="I23" s="51">
        <f>+'Tuition-4Yr'!I23+'State Appropriations-4Yr'!I23+'Local Appropriations-4Yr'!I23+'Fed Contracts Grnts-4Yr'!I23+'Other Contract Grnts-4Yr'!I23+'Investment Income-4Yr'!I23+'All Other E&amp;G-4Yr'!I23</f>
        <v>0</v>
      </c>
      <c r="J23" s="51">
        <f>+'Tuition-4Yr'!J23+'State Appropriations-4Yr'!J23+'Local Appropriations-4Yr'!J23+'Fed Contracts Grnts-4Yr'!J23+'Other Contract Grnts-4Yr'!J23+'Investment Income-4Yr'!J23+'All Other E&amp;G-4Yr'!J23</f>
        <v>14990987.945000002</v>
      </c>
      <c r="K23" s="51">
        <f>+'Tuition-4Yr'!K23+'State Appropriations-4Yr'!K23+'Local Appropriations-4Yr'!K23+'Fed Contracts Grnts-4Yr'!K23+'Other Contract Grnts-4Yr'!K23+'Investment Income-4Yr'!K23+'All Other E&amp;G-4Yr'!K23</f>
        <v>0</v>
      </c>
      <c r="L23" s="51">
        <f>+'Tuition-4Yr'!L23+'State Appropriations-4Yr'!L23+'Local Appropriations-4Yr'!L23+'Fed Contracts Grnts-4Yr'!L23+'Other Contract Grnts-4Yr'!L23+'Investment Income-4Yr'!L23+'All Other E&amp;G-4Yr'!L23</f>
        <v>0</v>
      </c>
      <c r="M23" s="51">
        <f>+'Tuition-4Yr'!M23+'State Appropriations-4Yr'!M23+'Local Appropriations-4Yr'!M23+'Fed Contracts Grnts-4Yr'!M23+'Other Contract Grnts-4Yr'!M23+'Investment Income-4Yr'!M23+'All Other E&amp;G-4Yr'!M23</f>
        <v>16923985.539999995</v>
      </c>
      <c r="N23" s="51">
        <f>+'Tuition-4Yr'!N23+'State Appropriations-4Yr'!N23+'Local Appropriations-4Yr'!N23+'Fed Contracts Grnts-4Yr'!N23+'Other Contract Grnts-4Yr'!N23+'Investment Income-4Yr'!N23+'All Other E&amp;G-4Yr'!N23</f>
        <v>0</v>
      </c>
      <c r="O23" s="51">
        <f>+'Tuition-4Yr'!O23+'State Appropriations-4Yr'!O23+'Local Appropriations-4Yr'!O23+'Fed Contracts Grnts-4Yr'!O23+'Other Contract Grnts-4Yr'!O23+'Investment Income-4Yr'!O23+'All Other E&amp;G-4Yr'!O23</f>
        <v>19401372.650619999</v>
      </c>
      <c r="P23" s="51">
        <f>+'Tuition-4Yr'!P23+'State Appropriations-4Yr'!P23+'Local Appropriations-4Yr'!P23+'Fed Contracts Grnts-4Yr'!P23+'Other Contract Grnts-4Yr'!P23+'Investment Income-4Yr'!P23+'All Other E&amp;G-4Yr'!P23</f>
        <v>0</v>
      </c>
      <c r="Q23" s="51">
        <f>+'Tuition-4Yr'!Q23+'State Appropriations-4Yr'!Q23+'Local Appropriations-4Yr'!Q23+'Fed Contracts Grnts-4Yr'!Q23+'Other Contract Grnts-4Yr'!Q23+'Investment Income-4Yr'!Q23+'All Other E&amp;G-4Yr'!Q23</f>
        <v>0</v>
      </c>
      <c r="R23" s="51">
        <f>+'Tuition-4Yr'!R23+'State Appropriations-4Yr'!R23+'Local Appropriations-4Yr'!R23+'Fed Contracts Grnts-4Yr'!R23+'Other Contract Grnts-4Yr'!R23+'Investment Income-4Yr'!R23+'All Other E&amp;G-4Yr'!R23</f>
        <v>23826818.857000005</v>
      </c>
      <c r="S23" s="51">
        <f>+'Tuition-4Yr'!S23+'State Appropriations-4Yr'!S23+'Local Appropriations-4Yr'!S23+'Fed Contracts Grnts-4Yr'!S23+'Other Contract Grnts-4Yr'!S23+'Investment Income-4Yr'!S23+'All Other E&amp;G-4Yr'!S23</f>
        <v>25617203.285999998</v>
      </c>
      <c r="T23" s="51">
        <f>+'Tuition-4Yr'!T23+'State Appropriations-4Yr'!T23+'Local Appropriations-4Yr'!T23+'Fed Contracts Grnts-4Yr'!T23+'Other Contract Grnts-4Yr'!T23+'Investment Income-4Yr'!T23+'All Other E&amp;G-4Yr'!T23</f>
        <v>26641036.616999999</v>
      </c>
      <c r="U23" s="51">
        <f>+'Tuition-4Yr'!U23+'State Appropriations-4Yr'!U23+'Local Appropriations-4Yr'!U23+'Fed Contracts Grnts-4Yr'!U23+'Other Contract Grnts-4Yr'!U23+'Investment Income-4Yr'!U23+'All Other E&amp;G-4Yr'!U23</f>
        <v>27508356.150000002</v>
      </c>
      <c r="V23" s="51">
        <f>+'Tuition-4Yr'!V23+'State Appropriations-4Yr'!V23+'Local Appropriations-4Yr'!V23+'Fed Contracts Grnts-4Yr'!V23+'Other Contract Grnts-4Yr'!V23+'Investment Income-4Yr'!V23+'All Other E&amp;G-4Yr'!V23</f>
        <v>28481346.228999998</v>
      </c>
      <c r="W23" s="51">
        <f>+'Tuition-4Yr'!W23+'State Appropriations-4Yr'!W23+'Local Appropriations-4Yr'!W23+'Fed Contracts Grnts-4Yr'!W23+'Other Contract Grnts-4Yr'!W23+'Investment Income-4Yr'!W23+'All Other E&amp;G-4Yr'!W23</f>
        <v>32338621.011000004</v>
      </c>
      <c r="X23" s="51">
        <f>+'Tuition-4Yr'!X23+'State Appropriations-4Yr'!X23+'Local Appropriations-4Yr'!X23+'Fed Contracts Grnts-4Yr'!X23+'Other Contract Grnts-4Yr'!X23+'Investment Income-4Yr'!X23+'All Other E&amp;G-4Yr'!X23</f>
        <v>32484085.051999997</v>
      </c>
      <c r="Y23" s="51">
        <f>+'Tuition-4Yr'!Y23+'State Appropriations-4Yr'!Y23+'Local Appropriations-4Yr'!Y23+'Fed Contracts Grnts-4Yr'!Y23+'Other Contract Grnts-4Yr'!Y23+'Investment Income-4Yr'!Y23+'All Other E&amp;G-4Yr'!Y23</f>
        <v>35741592.902999997</v>
      </c>
      <c r="Z23" s="51">
        <f>+'Tuition-4Yr'!Z23+'State Appropriations-4Yr'!Z23+'Local Appropriations-4Yr'!Z23+'Fed Contracts Grnts-4Yr'!Z23+'Other Contract Grnts-4Yr'!Z23+'Investment Income-4Yr'!Z23+'All Other E&amp;G-4Yr'!Z23</f>
        <v>37689152.217</v>
      </c>
      <c r="AA23" s="51">
        <f>+'Tuition-4Yr'!AA23+'State Appropriations-4Yr'!AA23+'Local Appropriations-4Yr'!AA23+'Fed Contracts Grnts-4Yr'!AA23+'Other Contract Grnts-4Yr'!AA23+'Investment Income-4Yr'!AA23+'All Other E&amp;G-4Yr'!AA23</f>
        <v>36104103.116999999</v>
      </c>
      <c r="AB23" s="51">
        <f>+'Tuition-4Yr'!AB23+'State Appropriations-4Yr'!AB23+'Local Appropriations-4Yr'!AB23+'Fed Contracts Grnts-4Yr'!AB23+'Other Contract Grnts-4Yr'!AB23+'Investment Income-4Yr'!AB23+'All Other E&amp;G-4Yr'!AB23</f>
        <v>43595241.226000004</v>
      </c>
      <c r="AC23" s="51">
        <f>+'Tuition-4Yr'!AC23+'State Appropriations-4Yr'!AC23+'Local Appropriations-4Yr'!AC23+'Fed Contracts Grnts-4Yr'!AC23+'Other Contract Grnts-4Yr'!AC23+'Investment Income-4Yr'!AC23+'All Other E&amp;G-4Yr'!AC23</f>
        <v>47469458</v>
      </c>
      <c r="AD23" s="51">
        <f>+'Tuition-4Yr'!AD23+'State Appropriations-4Yr'!AD23+'Local Appropriations-4Yr'!AD23+'Fed Contracts Grnts-4Yr'!AD23+'Other Contract Grnts-4Yr'!AD23+'Investment Income-4Yr'!AD23+'All Other E&amp;G-4Yr'!AD23</f>
        <v>47873471.768999994</v>
      </c>
      <c r="AE23" s="51">
        <f>+'Tuition-4Yr'!AE23+'State Appropriations-4Yr'!AE23+'Local Appropriations-4Yr'!AE23+'Fed Contracts Grnts-4Yr'!AE23+'Other Contract Grnts-4Yr'!AE23+'Investment Income-4Yr'!AE23+'All Other E&amp;G-4Yr'!AE23</f>
        <v>49550129.243999995</v>
      </c>
      <c r="AF23" s="51">
        <f>+'Tuition-4Yr'!AF23+'State Appropriations-4Yr'!AF23+'Local Appropriations-4Yr'!AF23+'Fed Contracts Grnts-4Yr'!AF23+'Other Contract Grnts-4Yr'!AF23+'Investment Income-4Yr'!AF23+'All Other E&amp;G-4Yr'!AF23</f>
        <v>49112505.724999994</v>
      </c>
      <c r="AG23" s="51">
        <f>+'Tuition-4Yr'!AG23+'State Appropriations-4Yr'!AG23+'Local Appropriations-4Yr'!AG23+'Fed Contracts Grnts-4Yr'!AG23+'Other Contract Grnts-4Yr'!AG23+'Investment Income-4Yr'!AG23+'All Other E&amp;G-4Yr'!AG23</f>
        <v>55244935.440000005</v>
      </c>
      <c r="AH23" s="51">
        <f>+'Tuition-4Yr'!AH23+'State Appropriations-4Yr'!AH23+'Local Appropriations-4Yr'!AH23+'Fed Contracts Grnts-4Yr'!AH23+'Other Contract Grnts-4Yr'!AH23+'Investment Income-4Yr'!AH23+'All Other E&amp;G-4Yr'!AH23</f>
        <v>57805029.538999997</v>
      </c>
      <c r="AI23" s="51">
        <f>+'Tuition-4Yr'!AI23+'State Appropriations-4Yr'!AI23+'Local Appropriations-4Yr'!AI23+'Fed Contracts Grnts-4Yr'!AI23+'Other Contract Grnts-4Yr'!AI23+'Investment Income-4Yr'!AI23+'All Other E&amp;G-4Yr'!AI23</f>
        <v>60378636.906000011</v>
      </c>
      <c r="AJ23" s="51">
        <f>+'Tuition-4Yr'!AJ23+'State Appropriations-4Yr'!AJ23+'Local Appropriations-4Yr'!AJ23+'Fed Contracts Grnts-4Yr'!AJ23+'Other Contract Grnts-4Yr'!AJ23+'Investment Income-4Yr'!AJ23+'All Other E&amp;G-4Yr'!AJ23</f>
        <v>0</v>
      </c>
      <c r="AK23" s="51">
        <f>+'Tuition-4Yr'!AK23+'State Appropriations-4Yr'!AK23+'Local Appropriations-4Yr'!AK23+'Fed Contracts Grnts-4Yr'!AK23+'Other Contract Grnts-4Yr'!AK23+'Investment Income-4Yr'!AK23+'All Other E&amp;G-4Yr'!AK23</f>
        <v>70991153.434000015</v>
      </c>
      <c r="AL23" s="51">
        <f>+'Tuition-4Yr'!AL23+'State Appropriations-4Yr'!AL23+'Local Appropriations-4Yr'!AL23+'Fed Contracts Grnts-4Yr'!AL23+'Other Contract Grnts-4Yr'!AL23+'Investment Income-4Yr'!AL23+'All Other E&amp;G-4Yr'!AL23</f>
        <v>13583259343.674999</v>
      </c>
    </row>
    <row r="24" spans="1:38" ht="12.75" customHeight="1">
      <c r="A24" s="6" t="s">
        <v>94</v>
      </c>
      <c r="B24" s="51">
        <f>+'Tuition-4Yr'!B24+'State Appropriations-4Yr'!B24+'Local Appropriations-4Yr'!B24+'Fed Contracts Grnts-4Yr'!B24+'Other Contract Grnts-4Yr'!B24+'Investment Income-4Yr'!B24+'All Other E&amp;G-4Yr'!B24</f>
        <v>0</v>
      </c>
      <c r="C24" s="51">
        <f>+'Tuition-4Yr'!C24+'State Appropriations-4Yr'!C24+'Local Appropriations-4Yr'!C24+'Fed Contracts Grnts-4Yr'!C24+'Other Contract Grnts-4Yr'!C24+'Investment Income-4Yr'!C24+'All Other E&amp;G-4Yr'!C24</f>
        <v>0</v>
      </c>
      <c r="D24" s="51">
        <f>+'Tuition-4Yr'!D24+'State Appropriations-4Yr'!D24+'Local Appropriations-4Yr'!D24+'Fed Contracts Grnts-4Yr'!D24+'Other Contract Grnts-4Yr'!D24+'Investment Income-4Yr'!D24+'All Other E&amp;G-4Yr'!D24</f>
        <v>0</v>
      </c>
      <c r="E24" s="51">
        <f>+'Tuition-4Yr'!E24+'State Appropriations-4Yr'!E24+'Local Appropriations-4Yr'!E24+'Fed Contracts Grnts-4Yr'!E24+'Other Contract Grnts-4Yr'!E24+'Investment Income-4Yr'!E24+'All Other E&amp;G-4Yr'!E24</f>
        <v>0</v>
      </c>
      <c r="F24" s="51">
        <f>+'Tuition-4Yr'!F24+'State Appropriations-4Yr'!F24+'Local Appropriations-4Yr'!F24+'Fed Contracts Grnts-4Yr'!F24+'Other Contract Grnts-4Yr'!F24+'Investment Income-4Yr'!F24+'All Other E&amp;G-4Yr'!F24</f>
        <v>0</v>
      </c>
      <c r="G24" s="51">
        <f>+'Tuition-4Yr'!G24+'State Appropriations-4Yr'!G24+'Local Appropriations-4Yr'!G24+'Fed Contracts Grnts-4Yr'!G24+'Other Contract Grnts-4Yr'!G24+'Investment Income-4Yr'!G24+'All Other E&amp;G-4Yr'!G24</f>
        <v>0</v>
      </c>
      <c r="H24" s="51">
        <f>+'Tuition-4Yr'!H24+'State Appropriations-4Yr'!H24+'Local Appropriations-4Yr'!H24+'Fed Contracts Grnts-4Yr'!H24+'Other Contract Grnts-4Yr'!H24+'Investment Income-4Yr'!H24+'All Other E&amp;G-4Yr'!H24</f>
        <v>0</v>
      </c>
      <c r="I24" s="51">
        <f>+'Tuition-4Yr'!I24+'State Appropriations-4Yr'!I24+'Local Appropriations-4Yr'!I24+'Fed Contracts Grnts-4Yr'!I24+'Other Contract Grnts-4Yr'!I24+'Investment Income-4Yr'!I24+'All Other E&amp;G-4Yr'!I24</f>
        <v>0</v>
      </c>
      <c r="J24" s="51">
        <f>+'Tuition-4Yr'!J24+'State Appropriations-4Yr'!J24+'Local Appropriations-4Yr'!J24+'Fed Contracts Grnts-4Yr'!J24+'Other Contract Grnts-4Yr'!J24+'Investment Income-4Yr'!J24+'All Other E&amp;G-4Yr'!J24</f>
        <v>0</v>
      </c>
      <c r="K24" s="51">
        <f>+'Tuition-4Yr'!K24+'State Appropriations-4Yr'!K24+'Local Appropriations-4Yr'!K24+'Fed Contracts Grnts-4Yr'!K24+'Other Contract Grnts-4Yr'!K24+'Investment Income-4Yr'!K24+'All Other E&amp;G-4Yr'!K24</f>
        <v>0</v>
      </c>
      <c r="L24" s="51">
        <f>+'Tuition-4Yr'!L24+'State Appropriations-4Yr'!L24+'Local Appropriations-4Yr'!L24+'Fed Contracts Grnts-4Yr'!L24+'Other Contract Grnts-4Yr'!L24+'Investment Income-4Yr'!L24+'All Other E&amp;G-4Yr'!L24</f>
        <v>0</v>
      </c>
      <c r="M24" s="51">
        <f>+'Tuition-4Yr'!M24+'State Appropriations-4Yr'!M24+'Local Appropriations-4Yr'!M24+'Fed Contracts Grnts-4Yr'!M24+'Other Contract Grnts-4Yr'!M24+'Investment Income-4Yr'!M24+'All Other E&amp;G-4Yr'!M24</f>
        <v>0</v>
      </c>
      <c r="N24" s="51">
        <f>+'Tuition-4Yr'!N24+'State Appropriations-4Yr'!N24+'Local Appropriations-4Yr'!N24+'Fed Contracts Grnts-4Yr'!N24+'Other Contract Grnts-4Yr'!N24+'Investment Income-4Yr'!N24+'All Other E&amp;G-4Yr'!N24</f>
        <v>0</v>
      </c>
      <c r="O24" s="51">
        <f>+'Tuition-4Yr'!O24+'State Appropriations-4Yr'!O24+'Local Appropriations-4Yr'!O24+'Fed Contracts Grnts-4Yr'!O24+'Other Contract Grnts-4Yr'!O24+'Investment Income-4Yr'!O24+'All Other E&amp;G-4Yr'!O24</f>
        <v>0</v>
      </c>
      <c r="P24" s="51">
        <f>+'Tuition-4Yr'!P24+'State Appropriations-4Yr'!P24+'Local Appropriations-4Yr'!P24+'Fed Contracts Grnts-4Yr'!P24+'Other Contract Grnts-4Yr'!P24+'Investment Income-4Yr'!P24+'All Other E&amp;G-4Yr'!P24</f>
        <v>0</v>
      </c>
      <c r="Q24" s="51">
        <f>+'Tuition-4Yr'!Q24+'State Appropriations-4Yr'!Q24+'Local Appropriations-4Yr'!Q24+'Fed Contracts Grnts-4Yr'!Q24+'Other Contract Grnts-4Yr'!Q24+'Investment Income-4Yr'!Q24+'All Other E&amp;G-4Yr'!Q24</f>
        <v>0</v>
      </c>
      <c r="R24" s="51">
        <f>+'Tuition-4Yr'!R24+'State Appropriations-4Yr'!R24+'Local Appropriations-4Yr'!R24+'Fed Contracts Grnts-4Yr'!R24+'Other Contract Grnts-4Yr'!R24+'Investment Income-4Yr'!R24+'All Other E&amp;G-4Yr'!R24</f>
        <v>0</v>
      </c>
      <c r="S24" s="51">
        <f>+'Tuition-4Yr'!S24+'State Appropriations-4Yr'!S24+'Local Appropriations-4Yr'!S24+'Fed Contracts Grnts-4Yr'!S24+'Other Contract Grnts-4Yr'!S24+'Investment Income-4Yr'!S24+'All Other E&amp;G-4Yr'!S24</f>
        <v>0</v>
      </c>
      <c r="T24" s="51">
        <f>+'Tuition-4Yr'!T24+'State Appropriations-4Yr'!T24+'Local Appropriations-4Yr'!T24+'Fed Contracts Grnts-4Yr'!T24+'Other Contract Grnts-4Yr'!T24+'Investment Income-4Yr'!T24+'All Other E&amp;G-4Yr'!T24</f>
        <v>0</v>
      </c>
      <c r="U24" s="51">
        <f>+'Tuition-4Yr'!U24+'State Appropriations-4Yr'!U24+'Local Appropriations-4Yr'!U24+'Fed Contracts Grnts-4Yr'!U24+'Other Contract Grnts-4Yr'!U24+'Investment Income-4Yr'!U24+'All Other E&amp;G-4Yr'!U24</f>
        <v>0</v>
      </c>
      <c r="V24" s="51">
        <f>+'Tuition-4Yr'!V24+'State Appropriations-4Yr'!V24+'Local Appropriations-4Yr'!V24+'Fed Contracts Grnts-4Yr'!V24+'Other Contract Grnts-4Yr'!V24+'Investment Income-4Yr'!V24+'All Other E&amp;G-4Yr'!V24</f>
        <v>0</v>
      </c>
      <c r="W24" s="51">
        <f>+'Tuition-4Yr'!W24+'State Appropriations-4Yr'!W24+'Local Appropriations-4Yr'!W24+'Fed Contracts Grnts-4Yr'!W24+'Other Contract Grnts-4Yr'!W24+'Investment Income-4Yr'!W24+'All Other E&amp;G-4Yr'!W24</f>
        <v>0</v>
      </c>
      <c r="X24" s="51">
        <f>+'Tuition-4Yr'!X24+'State Appropriations-4Yr'!X24+'Local Appropriations-4Yr'!X24+'Fed Contracts Grnts-4Yr'!X24+'Other Contract Grnts-4Yr'!X24+'Investment Income-4Yr'!X24+'All Other E&amp;G-4Yr'!X24</f>
        <v>0</v>
      </c>
      <c r="Y24" s="51">
        <f>+'Tuition-4Yr'!Y24+'State Appropriations-4Yr'!Y24+'Local Appropriations-4Yr'!Y24+'Fed Contracts Grnts-4Yr'!Y24+'Other Contract Grnts-4Yr'!Y24+'Investment Income-4Yr'!Y24+'All Other E&amp;G-4Yr'!Y24</f>
        <v>0</v>
      </c>
      <c r="Z24" s="51">
        <f>+'Tuition-4Yr'!Z24+'State Appropriations-4Yr'!Z24+'Local Appropriations-4Yr'!Z24+'Fed Contracts Grnts-4Yr'!Z24+'Other Contract Grnts-4Yr'!Z24+'Investment Income-4Yr'!Z24+'All Other E&amp;G-4Yr'!Z24</f>
        <v>0</v>
      </c>
      <c r="AA24" s="51">
        <f>+'Tuition-4Yr'!AA24+'State Appropriations-4Yr'!AA24+'Local Appropriations-4Yr'!AA24+'Fed Contracts Grnts-4Yr'!AA24+'Other Contract Grnts-4Yr'!AA24+'Investment Income-4Yr'!AA24+'All Other E&amp;G-4Yr'!AA24</f>
        <v>0</v>
      </c>
      <c r="AB24" s="51">
        <f>+'Tuition-4Yr'!AB24+'State Appropriations-4Yr'!AB24+'Local Appropriations-4Yr'!AB24+'Fed Contracts Grnts-4Yr'!AB24+'Other Contract Grnts-4Yr'!AB24+'Investment Income-4Yr'!AB24+'All Other E&amp;G-4Yr'!AB24</f>
        <v>0</v>
      </c>
      <c r="AC24" s="51">
        <f>+'Tuition-4Yr'!AC24+'State Appropriations-4Yr'!AC24+'Local Appropriations-4Yr'!AC24+'Fed Contracts Grnts-4Yr'!AC24+'Other Contract Grnts-4Yr'!AC24+'Investment Income-4Yr'!AC24+'All Other E&amp;G-4Yr'!AC24</f>
        <v>0</v>
      </c>
      <c r="AD24" s="51">
        <f>+'Tuition-4Yr'!AD24+'State Appropriations-4Yr'!AD24+'Local Appropriations-4Yr'!AD24+'Fed Contracts Grnts-4Yr'!AD24+'Other Contract Grnts-4Yr'!AD24+'Investment Income-4Yr'!AD24+'All Other E&amp;G-4Yr'!AD24</f>
        <v>0</v>
      </c>
      <c r="AE24" s="51">
        <f>+'Tuition-4Yr'!AE24+'State Appropriations-4Yr'!AE24+'Local Appropriations-4Yr'!AE24+'Fed Contracts Grnts-4Yr'!AE24+'Other Contract Grnts-4Yr'!AE24+'Investment Income-4Yr'!AE24+'All Other E&amp;G-4Yr'!AE24</f>
        <v>0</v>
      </c>
      <c r="AF24" s="51">
        <f>+'Tuition-4Yr'!AF24+'State Appropriations-4Yr'!AF24+'Local Appropriations-4Yr'!AF24+'Fed Contracts Grnts-4Yr'!AF24+'Other Contract Grnts-4Yr'!AF24+'Investment Income-4Yr'!AF24+'All Other E&amp;G-4Yr'!AF24</f>
        <v>0</v>
      </c>
      <c r="AG24" s="51">
        <f>+'Tuition-4Yr'!AG24+'State Appropriations-4Yr'!AG24+'Local Appropriations-4Yr'!AG24+'Fed Contracts Grnts-4Yr'!AG24+'Other Contract Grnts-4Yr'!AG24+'Investment Income-4Yr'!AG24+'All Other E&amp;G-4Yr'!AG24</f>
        <v>0</v>
      </c>
      <c r="AH24" s="51">
        <f>+'Tuition-4Yr'!AH24+'State Appropriations-4Yr'!AH24+'Local Appropriations-4Yr'!AH24+'Fed Contracts Grnts-4Yr'!AH24+'Other Contract Grnts-4Yr'!AH24+'Investment Income-4Yr'!AH24+'All Other E&amp;G-4Yr'!AH24</f>
        <v>0</v>
      </c>
      <c r="AI24" s="51">
        <f>+'Tuition-4Yr'!AI24+'State Appropriations-4Yr'!AI24+'Local Appropriations-4Yr'!AI24+'Fed Contracts Grnts-4Yr'!AI24+'Other Contract Grnts-4Yr'!AI24+'Investment Income-4Yr'!AI24+'All Other E&amp;G-4Yr'!AI24</f>
        <v>0</v>
      </c>
      <c r="AJ24" s="51">
        <f>+'Tuition-4Yr'!AJ24+'State Appropriations-4Yr'!AJ24+'Local Appropriations-4Yr'!AJ24+'Fed Contracts Grnts-4Yr'!AJ24+'Other Contract Grnts-4Yr'!AJ24+'Investment Income-4Yr'!AJ24+'All Other E&amp;G-4Yr'!AJ24</f>
        <v>0</v>
      </c>
      <c r="AK24" s="51">
        <f>+'Tuition-4Yr'!AK24+'State Appropriations-4Yr'!AK24+'Local Appropriations-4Yr'!AK24+'Fed Contracts Grnts-4Yr'!AK24+'Other Contract Grnts-4Yr'!AK24+'Investment Income-4Yr'!AK24+'All Other E&amp;G-4Yr'!AK24</f>
        <v>0</v>
      </c>
      <c r="AL24" s="51">
        <f>+'Tuition-4Yr'!AL24+'State Appropriations-4Yr'!AL24+'Local Appropriations-4Yr'!AL24+'Fed Contracts Grnts-4Yr'!AL24+'Other Contract Grnts-4Yr'!AL24+'Investment Income-4Yr'!AL24+'All Other E&amp;G-4Yr'!AL24</f>
        <v>0</v>
      </c>
    </row>
    <row r="25" spans="1:38" ht="12.75" customHeight="1">
      <c r="A25" s="1" t="s">
        <v>39</v>
      </c>
      <c r="B25" s="51">
        <f>+'Tuition-4Yr'!B25+'State Appropriations-4Yr'!B25+'Local Appropriations-4Yr'!B25+'Fed Contracts Grnts-4Yr'!B25+'Other Contract Grnts-4Yr'!B25+'Investment Income-4Yr'!B25+'All Other E&amp;G-4Yr'!B25</f>
        <v>0</v>
      </c>
      <c r="C25" s="51">
        <f>+'Tuition-4Yr'!C25+'State Appropriations-4Yr'!C25+'Local Appropriations-4Yr'!C25+'Fed Contracts Grnts-4Yr'!C25+'Other Contract Grnts-4Yr'!C25+'Investment Income-4Yr'!C25+'All Other E&amp;G-4Yr'!C25</f>
        <v>0</v>
      </c>
      <c r="D25" s="51">
        <f>+'Tuition-4Yr'!D25+'State Appropriations-4Yr'!D25+'Local Appropriations-4Yr'!D25+'Fed Contracts Grnts-4Yr'!D25+'Other Contract Grnts-4Yr'!D25+'Investment Income-4Yr'!D25+'All Other E&amp;G-4Yr'!D25</f>
        <v>0</v>
      </c>
      <c r="E25" s="51">
        <f>+'Tuition-4Yr'!E25+'State Appropriations-4Yr'!E25+'Local Appropriations-4Yr'!E25+'Fed Contracts Grnts-4Yr'!E25+'Other Contract Grnts-4Yr'!E25+'Investment Income-4Yr'!E25+'All Other E&amp;G-4Yr'!E25</f>
        <v>0</v>
      </c>
      <c r="F25" s="51">
        <f>+'Tuition-4Yr'!F25+'State Appropriations-4Yr'!F25+'Local Appropriations-4Yr'!F25+'Fed Contracts Grnts-4Yr'!F25+'Other Contract Grnts-4Yr'!F25+'Investment Income-4Yr'!F25+'All Other E&amp;G-4Yr'!F25</f>
        <v>0</v>
      </c>
      <c r="G25" s="51">
        <f>+'Tuition-4Yr'!G25+'State Appropriations-4Yr'!G25+'Local Appropriations-4Yr'!G25+'Fed Contracts Grnts-4Yr'!G25+'Other Contract Grnts-4Yr'!G25+'Investment Income-4Yr'!G25+'All Other E&amp;G-4Yr'!G25</f>
        <v>0</v>
      </c>
      <c r="H25" s="51">
        <f>+'Tuition-4Yr'!H25+'State Appropriations-4Yr'!H25+'Local Appropriations-4Yr'!H25+'Fed Contracts Grnts-4Yr'!H25+'Other Contract Grnts-4Yr'!H25+'Investment Income-4Yr'!H25+'All Other E&amp;G-4Yr'!H25</f>
        <v>0</v>
      </c>
      <c r="I25" s="51">
        <f>+'Tuition-4Yr'!I25+'State Appropriations-4Yr'!I25+'Local Appropriations-4Yr'!I25+'Fed Contracts Grnts-4Yr'!I25+'Other Contract Grnts-4Yr'!I25+'Investment Income-4Yr'!I25+'All Other E&amp;G-4Yr'!I25</f>
        <v>0</v>
      </c>
      <c r="J25" s="51">
        <f>+'Tuition-4Yr'!J25+'State Appropriations-4Yr'!J25+'Local Appropriations-4Yr'!J25+'Fed Contracts Grnts-4Yr'!J25+'Other Contract Grnts-4Yr'!J25+'Investment Income-4Yr'!J25+'All Other E&amp;G-4Yr'!J25</f>
        <v>268291.11800000002</v>
      </c>
      <c r="K25" s="51">
        <f>+'Tuition-4Yr'!K25+'State Appropriations-4Yr'!K25+'Local Appropriations-4Yr'!K25+'Fed Contracts Grnts-4Yr'!K25+'Other Contract Grnts-4Yr'!K25+'Investment Income-4Yr'!K25+'All Other E&amp;G-4Yr'!K25</f>
        <v>0</v>
      </c>
      <c r="L25" s="51">
        <f>+'Tuition-4Yr'!L25+'State Appropriations-4Yr'!L25+'Local Appropriations-4Yr'!L25+'Fed Contracts Grnts-4Yr'!L25+'Other Contract Grnts-4Yr'!L25+'Investment Income-4Yr'!L25+'All Other E&amp;G-4Yr'!L25</f>
        <v>0</v>
      </c>
      <c r="M25" s="51">
        <f>+'Tuition-4Yr'!M25+'State Appropriations-4Yr'!M25+'Local Appropriations-4Yr'!M25+'Fed Contracts Grnts-4Yr'!M25+'Other Contract Grnts-4Yr'!M25+'Investment Income-4Yr'!M25+'All Other E&amp;G-4Yr'!M25</f>
        <v>305692.36800000002</v>
      </c>
      <c r="N25" s="51">
        <f>+'Tuition-4Yr'!N25+'State Appropriations-4Yr'!N25+'Local Appropriations-4Yr'!N25+'Fed Contracts Grnts-4Yr'!N25+'Other Contract Grnts-4Yr'!N25+'Investment Income-4Yr'!N25+'All Other E&amp;G-4Yr'!N25</f>
        <v>0</v>
      </c>
      <c r="O25" s="51">
        <f>+'Tuition-4Yr'!O25+'State Appropriations-4Yr'!O25+'Local Appropriations-4Yr'!O25+'Fed Contracts Grnts-4Yr'!O25+'Other Contract Grnts-4Yr'!O25+'Investment Income-4Yr'!O25+'All Other E&amp;G-4Yr'!O25</f>
        <v>321928.26400000002</v>
      </c>
      <c r="P25" s="51">
        <f>+'Tuition-4Yr'!P25+'State Appropriations-4Yr'!P25+'Local Appropriations-4Yr'!P25+'Fed Contracts Grnts-4Yr'!P25+'Other Contract Grnts-4Yr'!P25+'Investment Income-4Yr'!P25+'All Other E&amp;G-4Yr'!P25</f>
        <v>0</v>
      </c>
      <c r="Q25" s="51">
        <f>+'Tuition-4Yr'!Q25+'State Appropriations-4Yr'!Q25+'Local Appropriations-4Yr'!Q25+'Fed Contracts Grnts-4Yr'!Q25+'Other Contract Grnts-4Yr'!Q25+'Investment Income-4Yr'!Q25+'All Other E&amp;G-4Yr'!Q25</f>
        <v>0</v>
      </c>
      <c r="R25" s="51">
        <f>+'Tuition-4Yr'!R25+'State Appropriations-4Yr'!R25+'Local Appropriations-4Yr'!R25+'Fed Contracts Grnts-4Yr'!R25+'Other Contract Grnts-4Yr'!R25+'Investment Income-4Yr'!R25+'All Other E&amp;G-4Yr'!R25</f>
        <v>333861.99500000005</v>
      </c>
      <c r="S25" s="51">
        <f>+'Tuition-4Yr'!S25+'State Appropriations-4Yr'!S25+'Local Appropriations-4Yr'!S25+'Fed Contracts Grnts-4Yr'!S25+'Other Contract Grnts-4Yr'!S25+'Investment Income-4Yr'!S25+'All Other E&amp;G-4Yr'!S25</f>
        <v>366459.30599999998</v>
      </c>
      <c r="T25" s="51">
        <f>+'Tuition-4Yr'!T25+'State Appropriations-4Yr'!T25+'Local Appropriations-4Yr'!T25+'Fed Contracts Grnts-4Yr'!T25+'Other Contract Grnts-4Yr'!T25+'Investment Income-4Yr'!T25+'All Other E&amp;G-4Yr'!T25</f>
        <v>398166.85600000003</v>
      </c>
      <c r="U25" s="51">
        <f>+'Tuition-4Yr'!U25+'State Appropriations-4Yr'!U25+'Local Appropriations-4Yr'!U25+'Fed Contracts Grnts-4Yr'!U25+'Other Contract Grnts-4Yr'!U25+'Investment Income-4Yr'!U25+'All Other E&amp;G-4Yr'!U25</f>
        <v>433328.68900000001</v>
      </c>
      <c r="V25" s="51">
        <f>+'Tuition-4Yr'!V25+'State Appropriations-4Yr'!V25+'Local Appropriations-4Yr'!V25+'Fed Contracts Grnts-4Yr'!V25+'Other Contract Grnts-4Yr'!V25+'Investment Income-4Yr'!V25+'All Other E&amp;G-4Yr'!V25</f>
        <v>458651.1970000001</v>
      </c>
      <c r="W25" s="51">
        <f>+'Tuition-4Yr'!W25+'State Appropriations-4Yr'!W25+'Local Appropriations-4Yr'!W25+'Fed Contracts Grnts-4Yr'!W25+'Other Contract Grnts-4Yr'!W25+'Investment Income-4Yr'!W25+'All Other E&amp;G-4Yr'!W25</f>
        <v>494864.89500000002</v>
      </c>
      <c r="X25" s="51">
        <f>+'Tuition-4Yr'!X25+'State Appropriations-4Yr'!X25+'Local Appropriations-4Yr'!X25+'Fed Contracts Grnts-4Yr'!X25+'Other Contract Grnts-4Yr'!X25+'Investment Income-4Yr'!X25+'All Other E&amp;G-4Yr'!X25</f>
        <v>527062.92700000003</v>
      </c>
      <c r="Y25" s="51">
        <f>+'Tuition-4Yr'!Y25+'State Appropriations-4Yr'!Y25+'Local Appropriations-4Yr'!Y25+'Fed Contracts Grnts-4Yr'!Y25+'Other Contract Grnts-4Yr'!Y25+'Investment Income-4Yr'!Y25+'All Other E&amp;G-4Yr'!Y25</f>
        <v>566316.73199999996</v>
      </c>
      <c r="Z25" s="51">
        <f>+'Tuition-4Yr'!Z25+'State Appropriations-4Yr'!Z25+'Local Appropriations-4Yr'!Z25+'Fed Contracts Grnts-4Yr'!Z25+'Other Contract Grnts-4Yr'!Z25+'Investment Income-4Yr'!Z25+'All Other E&amp;G-4Yr'!Z25</f>
        <v>608670.01600000006</v>
      </c>
      <c r="AA25" s="51">
        <f>+'Tuition-4Yr'!AA25+'State Appropriations-4Yr'!AA25+'Local Appropriations-4Yr'!AA25+'Fed Contracts Grnts-4Yr'!AA25+'Other Contract Grnts-4Yr'!AA25+'Investment Income-4Yr'!AA25+'All Other E&amp;G-4Yr'!AA25</f>
        <v>636794.57899999991</v>
      </c>
      <c r="AB25" s="51">
        <f>+'Tuition-4Yr'!AB25+'State Appropriations-4Yr'!AB25+'Local Appropriations-4Yr'!AB25+'Fed Contracts Grnts-4Yr'!AB25+'Other Contract Grnts-4Yr'!AB25+'Investment Income-4Yr'!AB25+'All Other E&amp;G-4Yr'!AB25</f>
        <v>660912.30700000003</v>
      </c>
      <c r="AC25" s="51">
        <f>+'Tuition-4Yr'!AC25+'State Appropriations-4Yr'!AC25+'Local Appropriations-4Yr'!AC25+'Fed Contracts Grnts-4Yr'!AC25+'Other Contract Grnts-4Yr'!AC25+'Investment Income-4Yr'!AC25+'All Other E&amp;G-4Yr'!AC25</f>
        <v>704220</v>
      </c>
      <c r="AD25" s="51">
        <f>+'Tuition-4Yr'!AD25+'State Appropriations-4Yr'!AD25+'Local Appropriations-4Yr'!AD25+'Fed Contracts Grnts-4Yr'!AD25+'Other Contract Grnts-4Yr'!AD25+'Investment Income-4Yr'!AD25+'All Other E&amp;G-4Yr'!AD25</f>
        <v>711259.62800000003</v>
      </c>
      <c r="AE25" s="51">
        <f>+'Tuition-4Yr'!AE25+'State Appropriations-4Yr'!AE25+'Local Appropriations-4Yr'!AE25+'Fed Contracts Grnts-4Yr'!AE25+'Other Contract Grnts-4Yr'!AE25+'Investment Income-4Yr'!AE25+'All Other E&amp;G-4Yr'!AE25</f>
        <v>760764.10699999996</v>
      </c>
      <c r="AF25" s="51">
        <f>+'Tuition-4Yr'!AF25+'State Appropriations-4Yr'!AF25+'Local Appropriations-4Yr'!AF25+'Fed Contracts Grnts-4Yr'!AF25+'Other Contract Grnts-4Yr'!AF25+'Investment Income-4Yr'!AF25+'All Other E&amp;G-4Yr'!AF25</f>
        <v>738487.55300000007</v>
      </c>
      <c r="AG25" s="51">
        <f>+'Tuition-4Yr'!AG25+'State Appropriations-4Yr'!AG25+'Local Appropriations-4Yr'!AG25+'Fed Contracts Grnts-4Yr'!AG25+'Other Contract Grnts-4Yr'!AG25+'Investment Income-4Yr'!AG25+'All Other E&amp;G-4Yr'!AG25</f>
        <v>742127.89700000011</v>
      </c>
      <c r="AH25" s="51">
        <f>+'Tuition-4Yr'!AH25+'State Appropriations-4Yr'!AH25+'Local Appropriations-4Yr'!AH25+'Fed Contracts Grnts-4Yr'!AH25+'Other Contract Grnts-4Yr'!AH25+'Investment Income-4Yr'!AH25+'All Other E&amp;G-4Yr'!AH25</f>
        <v>728430.696</v>
      </c>
      <c r="AI25" s="51">
        <f>+'Tuition-4Yr'!AI25+'State Appropriations-4Yr'!AI25+'Local Appropriations-4Yr'!AI25+'Fed Contracts Grnts-4Yr'!AI25+'Other Contract Grnts-4Yr'!AI25+'Investment Income-4Yr'!AI25+'All Other E&amp;G-4Yr'!AI25</f>
        <v>701656.31700000004</v>
      </c>
      <c r="AJ25" s="51">
        <f>+'Tuition-4Yr'!AJ25+'State Appropriations-4Yr'!AJ25+'Local Appropriations-4Yr'!AJ25+'Fed Contracts Grnts-4Yr'!AJ25+'Other Contract Grnts-4Yr'!AJ25+'Investment Income-4Yr'!AJ25+'All Other E&amp;G-4Yr'!AJ25</f>
        <v>0</v>
      </c>
      <c r="AK25" s="51">
        <f>+'Tuition-4Yr'!AK25+'State Appropriations-4Yr'!AK25+'Local Appropriations-4Yr'!AK25+'Fed Contracts Grnts-4Yr'!AK25+'Other Contract Grnts-4Yr'!AK25+'Investment Income-4Yr'!AK25+'All Other E&amp;G-4Yr'!AK25</f>
        <v>736062.80700000003</v>
      </c>
      <c r="AL25" s="51">
        <f>+'Tuition-4Yr'!AL25+'State Appropriations-4Yr'!AL25+'Local Appropriations-4Yr'!AL25+'Fed Contracts Grnts-4Yr'!AL25+'Other Contract Grnts-4Yr'!AL25+'Investment Income-4Yr'!AL25+'All Other E&amp;G-4Yr'!AL25</f>
        <v>159217104.72099999</v>
      </c>
    </row>
    <row r="26" spans="1:38" ht="12.75" customHeight="1">
      <c r="A26" s="1" t="s">
        <v>40</v>
      </c>
      <c r="B26" s="51">
        <f>+'Tuition-4Yr'!B26+'State Appropriations-4Yr'!B26+'Local Appropriations-4Yr'!B26+'Fed Contracts Grnts-4Yr'!B26+'Other Contract Grnts-4Yr'!B26+'Investment Income-4Yr'!B26+'All Other E&amp;G-4Yr'!B26</f>
        <v>0</v>
      </c>
      <c r="C26" s="51">
        <f>+'Tuition-4Yr'!C26+'State Appropriations-4Yr'!C26+'Local Appropriations-4Yr'!C26+'Fed Contracts Grnts-4Yr'!C26+'Other Contract Grnts-4Yr'!C26+'Investment Income-4Yr'!C26+'All Other E&amp;G-4Yr'!C26</f>
        <v>0</v>
      </c>
      <c r="D26" s="51">
        <f>+'Tuition-4Yr'!D26+'State Appropriations-4Yr'!D26+'Local Appropriations-4Yr'!D26+'Fed Contracts Grnts-4Yr'!D26+'Other Contract Grnts-4Yr'!D26+'Investment Income-4Yr'!D26+'All Other E&amp;G-4Yr'!D26</f>
        <v>0</v>
      </c>
      <c r="E26" s="51">
        <f>+'Tuition-4Yr'!E26+'State Appropriations-4Yr'!E26+'Local Appropriations-4Yr'!E26+'Fed Contracts Grnts-4Yr'!E26+'Other Contract Grnts-4Yr'!E26+'Investment Income-4Yr'!E26+'All Other E&amp;G-4Yr'!E26</f>
        <v>0</v>
      </c>
      <c r="F26" s="51">
        <f>+'Tuition-4Yr'!F26+'State Appropriations-4Yr'!F26+'Local Appropriations-4Yr'!F26+'Fed Contracts Grnts-4Yr'!F26+'Other Contract Grnts-4Yr'!F26+'Investment Income-4Yr'!F26+'All Other E&amp;G-4Yr'!F26</f>
        <v>0</v>
      </c>
      <c r="G26" s="51">
        <f>+'Tuition-4Yr'!G26+'State Appropriations-4Yr'!G26+'Local Appropriations-4Yr'!G26+'Fed Contracts Grnts-4Yr'!G26+'Other Contract Grnts-4Yr'!G26+'Investment Income-4Yr'!G26+'All Other E&amp;G-4Yr'!G26</f>
        <v>0</v>
      </c>
      <c r="H26" s="51">
        <f>+'Tuition-4Yr'!H26+'State Appropriations-4Yr'!H26+'Local Appropriations-4Yr'!H26+'Fed Contracts Grnts-4Yr'!H26+'Other Contract Grnts-4Yr'!H26+'Investment Income-4Yr'!H26+'All Other E&amp;G-4Yr'!H26</f>
        <v>0</v>
      </c>
      <c r="I26" s="51">
        <f>+'Tuition-4Yr'!I26+'State Appropriations-4Yr'!I26+'Local Appropriations-4Yr'!I26+'Fed Contracts Grnts-4Yr'!I26+'Other Contract Grnts-4Yr'!I26+'Investment Income-4Yr'!I26+'All Other E&amp;G-4Yr'!I26</f>
        <v>0</v>
      </c>
      <c r="J26" s="51">
        <f>+'Tuition-4Yr'!J26+'State Appropriations-4Yr'!J26+'Local Appropriations-4Yr'!J26+'Fed Contracts Grnts-4Yr'!J26+'Other Contract Grnts-4Yr'!J26+'Investment Income-4Yr'!J26+'All Other E&amp;G-4Yr'!J26</f>
        <v>1139162.0050000001</v>
      </c>
      <c r="K26" s="51">
        <f>+'Tuition-4Yr'!K26+'State Appropriations-4Yr'!K26+'Local Appropriations-4Yr'!K26+'Fed Contracts Grnts-4Yr'!K26+'Other Contract Grnts-4Yr'!K26+'Investment Income-4Yr'!K26+'All Other E&amp;G-4Yr'!K26</f>
        <v>0</v>
      </c>
      <c r="L26" s="51">
        <f>+'Tuition-4Yr'!L26+'State Appropriations-4Yr'!L26+'Local Appropriations-4Yr'!L26+'Fed Contracts Grnts-4Yr'!L26+'Other Contract Grnts-4Yr'!L26+'Investment Income-4Yr'!L26+'All Other E&amp;G-4Yr'!L26</f>
        <v>0</v>
      </c>
      <c r="M26" s="51">
        <f>+'Tuition-4Yr'!M26+'State Appropriations-4Yr'!M26+'Local Appropriations-4Yr'!M26+'Fed Contracts Grnts-4Yr'!M26+'Other Contract Grnts-4Yr'!M26+'Investment Income-4Yr'!M26+'All Other E&amp;G-4Yr'!M26</f>
        <v>1348026.449</v>
      </c>
      <c r="N26" s="51">
        <f>+'Tuition-4Yr'!N26+'State Appropriations-4Yr'!N26+'Local Appropriations-4Yr'!N26+'Fed Contracts Grnts-4Yr'!N26+'Other Contract Grnts-4Yr'!N26+'Investment Income-4Yr'!N26+'All Other E&amp;G-4Yr'!N26</f>
        <v>0</v>
      </c>
      <c r="O26" s="51">
        <f>+'Tuition-4Yr'!O26+'State Appropriations-4Yr'!O26+'Local Appropriations-4Yr'!O26+'Fed Contracts Grnts-4Yr'!O26+'Other Contract Grnts-4Yr'!O26+'Investment Income-4Yr'!O26+'All Other E&amp;G-4Yr'!O26</f>
        <v>1454724.3160000001</v>
      </c>
      <c r="P26" s="51">
        <f>+'Tuition-4Yr'!P26+'State Appropriations-4Yr'!P26+'Local Appropriations-4Yr'!P26+'Fed Contracts Grnts-4Yr'!P26+'Other Contract Grnts-4Yr'!P26+'Investment Income-4Yr'!P26+'All Other E&amp;G-4Yr'!P26</f>
        <v>0</v>
      </c>
      <c r="Q26" s="51">
        <f>+'Tuition-4Yr'!Q26+'State Appropriations-4Yr'!Q26+'Local Appropriations-4Yr'!Q26+'Fed Contracts Grnts-4Yr'!Q26+'Other Contract Grnts-4Yr'!Q26+'Investment Income-4Yr'!Q26+'All Other E&amp;G-4Yr'!Q26</f>
        <v>0</v>
      </c>
      <c r="R26" s="51">
        <f>+'Tuition-4Yr'!R26+'State Appropriations-4Yr'!R26+'Local Appropriations-4Yr'!R26+'Fed Contracts Grnts-4Yr'!R26+'Other Contract Grnts-4Yr'!R26+'Investment Income-4Yr'!R26+'All Other E&amp;G-4Yr'!R26</f>
        <v>1758353.1099999999</v>
      </c>
      <c r="S26" s="51">
        <f>+'Tuition-4Yr'!S26+'State Appropriations-4Yr'!S26+'Local Appropriations-4Yr'!S26+'Fed Contracts Grnts-4Yr'!S26+'Other Contract Grnts-4Yr'!S26+'Investment Income-4Yr'!S26+'All Other E&amp;G-4Yr'!S26</f>
        <v>1859336.2929999998</v>
      </c>
      <c r="T26" s="51">
        <f>+'Tuition-4Yr'!T26+'State Appropriations-4Yr'!T26+'Local Appropriations-4Yr'!T26+'Fed Contracts Grnts-4Yr'!T26+'Other Contract Grnts-4Yr'!T26+'Investment Income-4Yr'!T26+'All Other E&amp;G-4Yr'!T26</f>
        <v>1926069.9219999998</v>
      </c>
      <c r="U26" s="51">
        <f>+'Tuition-4Yr'!U26+'State Appropriations-4Yr'!U26+'Local Appropriations-4Yr'!U26+'Fed Contracts Grnts-4Yr'!U26+'Other Contract Grnts-4Yr'!U26+'Investment Income-4Yr'!U26+'All Other E&amp;G-4Yr'!U26</f>
        <v>1947886.2860000001</v>
      </c>
      <c r="V26" s="51">
        <f>+'Tuition-4Yr'!V26+'State Appropriations-4Yr'!V26+'Local Appropriations-4Yr'!V26+'Fed Contracts Grnts-4Yr'!V26+'Other Contract Grnts-4Yr'!V26+'Investment Income-4Yr'!V26+'All Other E&amp;G-4Yr'!V26</f>
        <v>2117044.156</v>
      </c>
      <c r="W26" s="51">
        <f>+'Tuition-4Yr'!W26+'State Appropriations-4Yr'!W26+'Local Appropriations-4Yr'!W26+'Fed Contracts Grnts-4Yr'!W26+'Other Contract Grnts-4Yr'!W26+'Investment Income-4Yr'!W26+'All Other E&amp;G-4Yr'!W26</f>
        <v>2441309.5420000004</v>
      </c>
      <c r="X26" s="51">
        <f>+'Tuition-4Yr'!X26+'State Appropriations-4Yr'!X26+'Local Appropriations-4Yr'!X26+'Fed Contracts Grnts-4Yr'!X26+'Other Contract Grnts-4Yr'!X26+'Investment Income-4Yr'!X26+'All Other E&amp;G-4Yr'!X26</f>
        <v>2487325.2009999999</v>
      </c>
      <c r="Y26" s="51">
        <f>+'Tuition-4Yr'!Y26+'State Appropriations-4Yr'!Y26+'Local Appropriations-4Yr'!Y26+'Fed Contracts Grnts-4Yr'!Y26+'Other Contract Grnts-4Yr'!Y26+'Investment Income-4Yr'!Y26+'All Other E&amp;G-4Yr'!Y26</f>
        <v>2767062.855</v>
      </c>
      <c r="Z26" s="51">
        <f>+'Tuition-4Yr'!Z26+'State Appropriations-4Yr'!Z26+'Local Appropriations-4Yr'!Z26+'Fed Contracts Grnts-4Yr'!Z26+'Other Contract Grnts-4Yr'!Z26+'Investment Income-4Yr'!Z26+'All Other E&amp;G-4Yr'!Z26</f>
        <v>2928341.878</v>
      </c>
      <c r="AA26" s="51">
        <f>+'Tuition-4Yr'!AA26+'State Appropriations-4Yr'!AA26+'Local Appropriations-4Yr'!AA26+'Fed Contracts Grnts-4Yr'!AA26+'Other Contract Grnts-4Yr'!AA26+'Investment Income-4Yr'!AA26+'All Other E&amp;G-4Yr'!AA26</f>
        <v>3260822.1159999999</v>
      </c>
      <c r="AB26" s="51">
        <f>+'Tuition-4Yr'!AB26+'State Appropriations-4Yr'!AB26+'Local Appropriations-4Yr'!AB26+'Fed Contracts Grnts-4Yr'!AB26+'Other Contract Grnts-4Yr'!AB26+'Investment Income-4Yr'!AB26+'All Other E&amp;G-4Yr'!AB26</f>
        <v>3530070.0649999995</v>
      </c>
      <c r="AC26" s="51">
        <f>+'Tuition-4Yr'!AC26+'State Appropriations-4Yr'!AC26+'Local Appropriations-4Yr'!AC26+'Fed Contracts Grnts-4Yr'!AC26+'Other Contract Grnts-4Yr'!AC26+'Investment Income-4Yr'!AC26+'All Other E&amp;G-4Yr'!AC26</f>
        <v>3790204</v>
      </c>
      <c r="AD26" s="51">
        <f>+'Tuition-4Yr'!AD26+'State Appropriations-4Yr'!AD26+'Local Appropriations-4Yr'!AD26+'Fed Contracts Grnts-4Yr'!AD26+'Other Contract Grnts-4Yr'!AD26+'Investment Income-4Yr'!AD26+'All Other E&amp;G-4Yr'!AD26</f>
        <v>3883312.8879999998</v>
      </c>
      <c r="AE26" s="51">
        <f>+'Tuition-4Yr'!AE26+'State Appropriations-4Yr'!AE26+'Local Appropriations-4Yr'!AE26+'Fed Contracts Grnts-4Yr'!AE26+'Other Contract Grnts-4Yr'!AE26+'Investment Income-4Yr'!AE26+'All Other E&amp;G-4Yr'!AE26</f>
        <v>4087951.9720000001</v>
      </c>
      <c r="AF26" s="51">
        <f>+'Tuition-4Yr'!AF26+'State Appropriations-4Yr'!AF26+'Local Appropriations-4Yr'!AF26+'Fed Contracts Grnts-4Yr'!AF26+'Other Contract Grnts-4Yr'!AF26+'Investment Income-4Yr'!AF26+'All Other E&amp;G-4Yr'!AF26</f>
        <v>4197195.87</v>
      </c>
      <c r="AG26" s="51">
        <f>+'Tuition-4Yr'!AG26+'State Appropriations-4Yr'!AG26+'Local Appropriations-4Yr'!AG26+'Fed Contracts Grnts-4Yr'!AG26+'Other Contract Grnts-4Yr'!AG26+'Investment Income-4Yr'!AG26+'All Other E&amp;G-4Yr'!AG26</f>
        <v>4732558.8720000004</v>
      </c>
      <c r="AH26" s="51">
        <f>+'Tuition-4Yr'!AH26+'State Appropriations-4Yr'!AH26+'Local Appropriations-4Yr'!AH26+'Fed Contracts Grnts-4Yr'!AH26+'Other Contract Grnts-4Yr'!AH26+'Investment Income-4Yr'!AH26+'All Other E&amp;G-4Yr'!AH26</f>
        <v>4989915.7110000001</v>
      </c>
      <c r="AI26" s="51">
        <f>+'Tuition-4Yr'!AI26+'State Appropriations-4Yr'!AI26+'Local Appropriations-4Yr'!AI26+'Fed Contracts Grnts-4Yr'!AI26+'Other Contract Grnts-4Yr'!AI26+'Investment Income-4Yr'!AI26+'All Other E&amp;G-4Yr'!AI26</f>
        <v>5267755.8450000007</v>
      </c>
      <c r="AJ26" s="51">
        <f>+'Tuition-4Yr'!AJ26+'State Appropriations-4Yr'!AJ26+'Local Appropriations-4Yr'!AJ26+'Fed Contracts Grnts-4Yr'!AJ26+'Other Contract Grnts-4Yr'!AJ26+'Investment Income-4Yr'!AJ26+'All Other E&amp;G-4Yr'!AJ26</f>
        <v>0</v>
      </c>
      <c r="AK26" s="51">
        <f>+'Tuition-4Yr'!AK26+'State Appropriations-4Yr'!AK26+'Local Appropriations-4Yr'!AK26+'Fed Contracts Grnts-4Yr'!AK26+'Other Contract Grnts-4Yr'!AK26+'Investment Income-4Yr'!AK26+'All Other E&amp;G-4Yr'!AK26</f>
        <v>6205960.8169999998</v>
      </c>
      <c r="AL26" s="51">
        <f>+'Tuition-4Yr'!AL26+'State Appropriations-4Yr'!AL26+'Local Appropriations-4Yr'!AL26+'Fed Contracts Grnts-4Yr'!AL26+'Other Contract Grnts-4Yr'!AL26+'Investment Income-4Yr'!AL26+'All Other E&amp;G-4Yr'!AL26</f>
        <v>1043566042.2959999</v>
      </c>
    </row>
    <row r="27" spans="1:38" ht="12.75" customHeight="1">
      <c r="A27" s="1" t="s">
        <v>41</v>
      </c>
      <c r="B27" s="51">
        <f>+'Tuition-4Yr'!B27+'State Appropriations-4Yr'!B27+'Local Appropriations-4Yr'!B27+'Fed Contracts Grnts-4Yr'!B27+'Other Contract Grnts-4Yr'!B27+'Investment Income-4Yr'!B27+'All Other E&amp;G-4Yr'!B27</f>
        <v>0</v>
      </c>
      <c r="C27" s="51">
        <f>+'Tuition-4Yr'!C27+'State Appropriations-4Yr'!C27+'Local Appropriations-4Yr'!C27+'Fed Contracts Grnts-4Yr'!C27+'Other Contract Grnts-4Yr'!C27+'Investment Income-4Yr'!C27+'All Other E&amp;G-4Yr'!C27</f>
        <v>0</v>
      </c>
      <c r="D27" s="51">
        <f>+'Tuition-4Yr'!D27+'State Appropriations-4Yr'!D27+'Local Appropriations-4Yr'!D27+'Fed Contracts Grnts-4Yr'!D27+'Other Contract Grnts-4Yr'!D27+'Investment Income-4Yr'!D27+'All Other E&amp;G-4Yr'!D27</f>
        <v>0</v>
      </c>
      <c r="E27" s="51">
        <f>+'Tuition-4Yr'!E27+'State Appropriations-4Yr'!E27+'Local Appropriations-4Yr'!E27+'Fed Contracts Grnts-4Yr'!E27+'Other Contract Grnts-4Yr'!E27+'Investment Income-4Yr'!E27+'All Other E&amp;G-4Yr'!E27</f>
        <v>0</v>
      </c>
      <c r="F27" s="51">
        <f>+'Tuition-4Yr'!F27+'State Appropriations-4Yr'!F27+'Local Appropriations-4Yr'!F27+'Fed Contracts Grnts-4Yr'!F27+'Other Contract Grnts-4Yr'!F27+'Investment Income-4Yr'!F27+'All Other E&amp;G-4Yr'!F27</f>
        <v>0</v>
      </c>
      <c r="G27" s="51">
        <f>+'Tuition-4Yr'!G27+'State Appropriations-4Yr'!G27+'Local Appropriations-4Yr'!G27+'Fed Contracts Grnts-4Yr'!G27+'Other Contract Grnts-4Yr'!G27+'Investment Income-4Yr'!G27+'All Other E&amp;G-4Yr'!G27</f>
        <v>0</v>
      </c>
      <c r="H27" s="51">
        <f>+'Tuition-4Yr'!H27+'State Appropriations-4Yr'!H27+'Local Appropriations-4Yr'!H27+'Fed Contracts Grnts-4Yr'!H27+'Other Contract Grnts-4Yr'!H27+'Investment Income-4Yr'!H27+'All Other E&amp;G-4Yr'!H27</f>
        <v>0</v>
      </c>
      <c r="I27" s="51">
        <f>+'Tuition-4Yr'!I27+'State Appropriations-4Yr'!I27+'Local Appropriations-4Yr'!I27+'Fed Contracts Grnts-4Yr'!I27+'Other Contract Grnts-4Yr'!I27+'Investment Income-4Yr'!I27+'All Other E&amp;G-4Yr'!I27</f>
        <v>0</v>
      </c>
      <c r="J27" s="51">
        <f>+'Tuition-4Yr'!J27+'State Appropriations-4Yr'!J27+'Local Appropriations-4Yr'!J27+'Fed Contracts Grnts-4Yr'!J27+'Other Contract Grnts-4Yr'!J27+'Investment Income-4Yr'!J27+'All Other E&amp;G-4Yr'!J27</f>
        <v>7176053.9850000003</v>
      </c>
      <c r="K27" s="51">
        <f>+'Tuition-4Yr'!K27+'State Appropriations-4Yr'!K27+'Local Appropriations-4Yr'!K27+'Fed Contracts Grnts-4Yr'!K27+'Other Contract Grnts-4Yr'!K27+'Investment Income-4Yr'!K27+'All Other E&amp;G-4Yr'!K27</f>
        <v>0</v>
      </c>
      <c r="L27" s="51">
        <f>+'Tuition-4Yr'!L27+'State Appropriations-4Yr'!L27+'Local Appropriations-4Yr'!L27+'Fed Contracts Grnts-4Yr'!L27+'Other Contract Grnts-4Yr'!L27+'Investment Income-4Yr'!L27+'All Other E&amp;G-4Yr'!L27</f>
        <v>0</v>
      </c>
      <c r="M27" s="51">
        <f>+'Tuition-4Yr'!M27+'State Appropriations-4Yr'!M27+'Local Appropriations-4Yr'!M27+'Fed Contracts Grnts-4Yr'!M27+'Other Contract Grnts-4Yr'!M27+'Investment Income-4Yr'!M27+'All Other E&amp;G-4Yr'!M27</f>
        <v>7836576.6790000005</v>
      </c>
      <c r="N27" s="51">
        <f>+'Tuition-4Yr'!N27+'State Appropriations-4Yr'!N27+'Local Appropriations-4Yr'!N27+'Fed Contracts Grnts-4Yr'!N27+'Other Contract Grnts-4Yr'!N27+'Investment Income-4Yr'!N27+'All Other E&amp;G-4Yr'!N27</f>
        <v>0</v>
      </c>
      <c r="O27" s="51">
        <f>+'Tuition-4Yr'!O27+'State Appropriations-4Yr'!O27+'Local Appropriations-4Yr'!O27+'Fed Contracts Grnts-4Yr'!O27+'Other Contract Grnts-4Yr'!O27+'Investment Income-4Yr'!O27+'All Other E&amp;G-4Yr'!O27</f>
        <v>9311294</v>
      </c>
      <c r="P27" s="51">
        <f>+'Tuition-4Yr'!P27+'State Appropriations-4Yr'!P27+'Local Appropriations-4Yr'!P27+'Fed Contracts Grnts-4Yr'!P27+'Other Contract Grnts-4Yr'!P27+'Investment Income-4Yr'!P27+'All Other E&amp;G-4Yr'!P27</f>
        <v>0</v>
      </c>
      <c r="Q27" s="51">
        <f>+'Tuition-4Yr'!Q27+'State Appropriations-4Yr'!Q27+'Local Appropriations-4Yr'!Q27+'Fed Contracts Grnts-4Yr'!Q27+'Other Contract Grnts-4Yr'!Q27+'Investment Income-4Yr'!Q27+'All Other E&amp;G-4Yr'!Q27</f>
        <v>0</v>
      </c>
      <c r="R27" s="51">
        <f>+'Tuition-4Yr'!R27+'State Appropriations-4Yr'!R27+'Local Appropriations-4Yr'!R27+'Fed Contracts Grnts-4Yr'!R27+'Other Contract Grnts-4Yr'!R27+'Investment Income-4Yr'!R27+'All Other E&amp;G-4Yr'!R27</f>
        <v>11676145.779999999</v>
      </c>
      <c r="S27" s="51">
        <f>+'Tuition-4Yr'!S27+'State Appropriations-4Yr'!S27+'Local Appropriations-4Yr'!S27+'Fed Contracts Grnts-4Yr'!S27+'Other Contract Grnts-4Yr'!S27+'Investment Income-4Yr'!S27+'All Other E&amp;G-4Yr'!S27</f>
        <v>12586190.295000002</v>
      </c>
      <c r="T27" s="51">
        <f>+'Tuition-4Yr'!T27+'State Appropriations-4Yr'!T27+'Local Appropriations-4Yr'!T27+'Fed Contracts Grnts-4Yr'!T27+'Other Contract Grnts-4Yr'!T27+'Investment Income-4Yr'!T27+'All Other E&amp;G-4Yr'!T27</f>
        <v>12393017.449000001</v>
      </c>
      <c r="U27" s="51">
        <f>+'Tuition-4Yr'!U27+'State Appropriations-4Yr'!U27+'Local Appropriations-4Yr'!U27+'Fed Contracts Grnts-4Yr'!U27+'Other Contract Grnts-4Yr'!U27+'Investment Income-4Yr'!U27+'All Other E&amp;G-4Yr'!U27</f>
        <v>12724716.711999999</v>
      </c>
      <c r="V27" s="51">
        <f>+'Tuition-4Yr'!V27+'State Appropriations-4Yr'!V27+'Local Appropriations-4Yr'!V27+'Fed Contracts Grnts-4Yr'!V27+'Other Contract Grnts-4Yr'!V27+'Investment Income-4Yr'!V27+'All Other E&amp;G-4Yr'!V27</f>
        <v>13335664.460999999</v>
      </c>
      <c r="W27" s="51">
        <f>+'Tuition-4Yr'!W27+'State Appropriations-4Yr'!W27+'Local Appropriations-4Yr'!W27+'Fed Contracts Grnts-4Yr'!W27+'Other Contract Grnts-4Yr'!W27+'Investment Income-4Yr'!W27+'All Other E&amp;G-4Yr'!W27</f>
        <v>14401821.647</v>
      </c>
      <c r="X27" s="51">
        <f>+'Tuition-4Yr'!X27+'State Appropriations-4Yr'!X27+'Local Appropriations-4Yr'!X27+'Fed Contracts Grnts-4Yr'!X27+'Other Contract Grnts-4Yr'!X27+'Investment Income-4Yr'!X27+'All Other E&amp;G-4Yr'!X27</f>
        <v>14503730.699000001</v>
      </c>
      <c r="Y27" s="51">
        <f>+'Tuition-4Yr'!Y27+'State Appropriations-4Yr'!Y27+'Local Appropriations-4Yr'!Y27+'Fed Contracts Grnts-4Yr'!Y27+'Other Contract Grnts-4Yr'!Y27+'Investment Income-4Yr'!Y27+'All Other E&amp;G-4Yr'!Y27</f>
        <v>15962848.52</v>
      </c>
      <c r="Z27" s="51">
        <f>+'Tuition-4Yr'!Z27+'State Appropriations-4Yr'!Z27+'Local Appropriations-4Yr'!Z27+'Fed Contracts Grnts-4Yr'!Z27+'Other Contract Grnts-4Yr'!Z27+'Investment Income-4Yr'!Z27+'All Other E&amp;G-4Yr'!Z27</f>
        <v>17985737.438999999</v>
      </c>
      <c r="AA27" s="51">
        <f>+'Tuition-4Yr'!AA27+'State Appropriations-4Yr'!AA27+'Local Appropriations-4Yr'!AA27+'Fed Contracts Grnts-4Yr'!AA27+'Other Contract Grnts-4Yr'!AA27+'Investment Income-4Yr'!AA27+'All Other E&amp;G-4Yr'!AA27</f>
        <v>16894682.603</v>
      </c>
      <c r="AB27" s="51">
        <f>+'Tuition-4Yr'!AB27+'State Appropriations-4Yr'!AB27+'Local Appropriations-4Yr'!AB27+'Fed Contracts Grnts-4Yr'!AB27+'Other Contract Grnts-4Yr'!AB27+'Investment Income-4Yr'!AB27+'All Other E&amp;G-4Yr'!AB27</f>
        <v>20796378.644000001</v>
      </c>
      <c r="AC27" s="51">
        <f>+'Tuition-4Yr'!AC27+'State Appropriations-4Yr'!AC27+'Local Appropriations-4Yr'!AC27+'Fed Contracts Grnts-4Yr'!AC27+'Other Contract Grnts-4Yr'!AC27+'Investment Income-4Yr'!AC27+'All Other E&amp;G-4Yr'!AC27</f>
        <v>22872378</v>
      </c>
      <c r="AD27" s="51">
        <f>+'Tuition-4Yr'!AD27+'State Appropriations-4Yr'!AD27+'Local Appropriations-4Yr'!AD27+'Fed Contracts Grnts-4Yr'!AD27+'Other Contract Grnts-4Yr'!AD27+'Investment Income-4Yr'!AD27+'All Other E&amp;G-4Yr'!AD27</f>
        <v>23639261.844000001</v>
      </c>
      <c r="AE27" s="51">
        <f>+'Tuition-4Yr'!AE27+'State Appropriations-4Yr'!AE27+'Local Appropriations-4Yr'!AE27+'Fed Contracts Grnts-4Yr'!AE27+'Other Contract Grnts-4Yr'!AE27+'Investment Income-4Yr'!AE27+'All Other E&amp;G-4Yr'!AE27</f>
        <v>23847267.041000001</v>
      </c>
      <c r="AF27" s="51">
        <f>+'Tuition-4Yr'!AF27+'State Appropriations-4Yr'!AF27+'Local Appropriations-4Yr'!AF27+'Fed Contracts Grnts-4Yr'!AF27+'Other Contract Grnts-4Yr'!AF27+'Investment Income-4Yr'!AF27+'All Other E&amp;G-4Yr'!AF27</f>
        <v>23199517.417999998</v>
      </c>
      <c r="AG27" s="51">
        <f>+'Tuition-4Yr'!AG27+'State Appropriations-4Yr'!AG27+'Local Appropriations-4Yr'!AG27+'Fed Contracts Grnts-4Yr'!AG27+'Other Contract Grnts-4Yr'!AG27+'Investment Income-4Yr'!AG27+'All Other E&amp;G-4Yr'!AG27</f>
        <v>27146332.923999995</v>
      </c>
      <c r="AH27" s="51">
        <f>+'Tuition-4Yr'!AH27+'State Appropriations-4Yr'!AH27+'Local Appropriations-4Yr'!AH27+'Fed Contracts Grnts-4Yr'!AH27+'Other Contract Grnts-4Yr'!AH27+'Investment Income-4Yr'!AH27+'All Other E&amp;G-4Yr'!AH27</f>
        <v>28395537.447999995</v>
      </c>
      <c r="AI27" s="51">
        <f>+'Tuition-4Yr'!AI27+'State Appropriations-4Yr'!AI27+'Local Appropriations-4Yr'!AI27+'Fed Contracts Grnts-4Yr'!AI27+'Other Contract Grnts-4Yr'!AI27+'Investment Income-4Yr'!AI27+'All Other E&amp;G-4Yr'!AI27</f>
        <v>29589267.877000004</v>
      </c>
      <c r="AJ27" s="51">
        <f>+'Tuition-4Yr'!AJ27+'State Appropriations-4Yr'!AJ27+'Local Appropriations-4Yr'!AJ27+'Fed Contracts Grnts-4Yr'!AJ27+'Other Contract Grnts-4Yr'!AJ27+'Investment Income-4Yr'!AJ27+'All Other E&amp;G-4Yr'!AJ27</f>
        <v>0</v>
      </c>
      <c r="AK27" s="51">
        <f>+'Tuition-4Yr'!AK27+'State Appropriations-4Yr'!AK27+'Local Appropriations-4Yr'!AK27+'Fed Contracts Grnts-4Yr'!AK27+'Other Contract Grnts-4Yr'!AK27+'Investment Income-4Yr'!AK27+'All Other E&amp;G-4Yr'!AK27</f>
        <v>36056484.068999998</v>
      </c>
      <c r="AL27" s="51">
        <f>+'Tuition-4Yr'!AL27+'State Appropriations-4Yr'!AL27+'Local Appropriations-4Yr'!AL27+'Fed Contracts Grnts-4Yr'!AL27+'Other Contract Grnts-4Yr'!AL27+'Investment Income-4Yr'!AL27+'All Other E&amp;G-4Yr'!AL27</f>
        <v>6255247492.7059994</v>
      </c>
    </row>
    <row r="28" spans="1:38" ht="12.75" customHeight="1">
      <c r="A28" s="1" t="s">
        <v>42</v>
      </c>
      <c r="B28" s="51">
        <f>+'Tuition-4Yr'!B28+'State Appropriations-4Yr'!B28+'Local Appropriations-4Yr'!B28+'Fed Contracts Grnts-4Yr'!B28+'Other Contract Grnts-4Yr'!B28+'Investment Income-4Yr'!B28+'All Other E&amp;G-4Yr'!B28</f>
        <v>0</v>
      </c>
      <c r="C28" s="51">
        <f>+'Tuition-4Yr'!C28+'State Appropriations-4Yr'!C28+'Local Appropriations-4Yr'!C28+'Fed Contracts Grnts-4Yr'!C28+'Other Contract Grnts-4Yr'!C28+'Investment Income-4Yr'!C28+'All Other E&amp;G-4Yr'!C28</f>
        <v>0</v>
      </c>
      <c r="D28" s="51">
        <f>+'Tuition-4Yr'!D28+'State Appropriations-4Yr'!D28+'Local Appropriations-4Yr'!D28+'Fed Contracts Grnts-4Yr'!D28+'Other Contract Grnts-4Yr'!D28+'Investment Income-4Yr'!D28+'All Other E&amp;G-4Yr'!D28</f>
        <v>0</v>
      </c>
      <c r="E28" s="51">
        <f>+'Tuition-4Yr'!E28+'State Appropriations-4Yr'!E28+'Local Appropriations-4Yr'!E28+'Fed Contracts Grnts-4Yr'!E28+'Other Contract Grnts-4Yr'!E28+'Investment Income-4Yr'!E28+'All Other E&amp;G-4Yr'!E28</f>
        <v>0</v>
      </c>
      <c r="F28" s="51">
        <f>+'Tuition-4Yr'!F28+'State Appropriations-4Yr'!F28+'Local Appropriations-4Yr'!F28+'Fed Contracts Grnts-4Yr'!F28+'Other Contract Grnts-4Yr'!F28+'Investment Income-4Yr'!F28+'All Other E&amp;G-4Yr'!F28</f>
        <v>0</v>
      </c>
      <c r="G28" s="51">
        <f>+'Tuition-4Yr'!G28+'State Appropriations-4Yr'!G28+'Local Appropriations-4Yr'!G28+'Fed Contracts Grnts-4Yr'!G28+'Other Contract Grnts-4Yr'!G28+'Investment Income-4Yr'!G28+'All Other E&amp;G-4Yr'!G28</f>
        <v>0</v>
      </c>
      <c r="H28" s="51">
        <f>+'Tuition-4Yr'!H28+'State Appropriations-4Yr'!H28+'Local Appropriations-4Yr'!H28+'Fed Contracts Grnts-4Yr'!H28+'Other Contract Grnts-4Yr'!H28+'Investment Income-4Yr'!H28+'All Other E&amp;G-4Yr'!H28</f>
        <v>0</v>
      </c>
      <c r="I28" s="51">
        <f>+'Tuition-4Yr'!I28+'State Appropriations-4Yr'!I28+'Local Appropriations-4Yr'!I28+'Fed Contracts Grnts-4Yr'!I28+'Other Contract Grnts-4Yr'!I28+'Investment Income-4Yr'!I28+'All Other E&amp;G-4Yr'!I28</f>
        <v>0</v>
      </c>
      <c r="J28" s="51">
        <f>+'Tuition-4Yr'!J28+'State Appropriations-4Yr'!J28+'Local Appropriations-4Yr'!J28+'Fed Contracts Grnts-4Yr'!J28+'Other Contract Grnts-4Yr'!J28+'Investment Income-4Yr'!J28+'All Other E&amp;G-4Yr'!J28</f>
        <v>1233543.2990000001</v>
      </c>
      <c r="K28" s="51">
        <f>+'Tuition-4Yr'!K28+'State Appropriations-4Yr'!K28+'Local Appropriations-4Yr'!K28+'Fed Contracts Grnts-4Yr'!K28+'Other Contract Grnts-4Yr'!K28+'Investment Income-4Yr'!K28+'All Other E&amp;G-4Yr'!K28</f>
        <v>0</v>
      </c>
      <c r="L28" s="51">
        <f>+'Tuition-4Yr'!L28+'State Appropriations-4Yr'!L28+'Local Appropriations-4Yr'!L28+'Fed Contracts Grnts-4Yr'!L28+'Other Contract Grnts-4Yr'!L28+'Investment Income-4Yr'!L28+'All Other E&amp;G-4Yr'!L28</f>
        <v>0</v>
      </c>
      <c r="M28" s="51">
        <f>+'Tuition-4Yr'!M28+'State Appropriations-4Yr'!M28+'Local Appropriations-4Yr'!M28+'Fed Contracts Grnts-4Yr'!M28+'Other Contract Grnts-4Yr'!M28+'Investment Income-4Yr'!M28+'All Other E&amp;G-4Yr'!M28</f>
        <v>1444862.929</v>
      </c>
      <c r="N28" s="51">
        <f>+'Tuition-4Yr'!N28+'State Appropriations-4Yr'!N28+'Local Appropriations-4Yr'!N28+'Fed Contracts Grnts-4Yr'!N28+'Other Contract Grnts-4Yr'!N28+'Investment Income-4Yr'!N28+'All Other E&amp;G-4Yr'!N28</f>
        <v>0</v>
      </c>
      <c r="O28" s="51">
        <f>+'Tuition-4Yr'!O28+'State Appropriations-4Yr'!O28+'Local Appropriations-4Yr'!O28+'Fed Contracts Grnts-4Yr'!O28+'Other Contract Grnts-4Yr'!O28+'Investment Income-4Yr'!O28+'All Other E&amp;G-4Yr'!O28</f>
        <v>1616892.6903000001</v>
      </c>
      <c r="P28" s="51">
        <f>+'Tuition-4Yr'!P28+'State Appropriations-4Yr'!P28+'Local Appropriations-4Yr'!P28+'Fed Contracts Grnts-4Yr'!P28+'Other Contract Grnts-4Yr'!P28+'Investment Income-4Yr'!P28+'All Other E&amp;G-4Yr'!P28</f>
        <v>0</v>
      </c>
      <c r="Q28" s="51">
        <f>+'Tuition-4Yr'!Q28+'State Appropriations-4Yr'!Q28+'Local Appropriations-4Yr'!Q28+'Fed Contracts Grnts-4Yr'!Q28+'Other Contract Grnts-4Yr'!Q28+'Investment Income-4Yr'!Q28+'All Other E&amp;G-4Yr'!Q28</f>
        <v>0</v>
      </c>
      <c r="R28" s="51">
        <f>+'Tuition-4Yr'!R28+'State Appropriations-4Yr'!R28+'Local Appropriations-4Yr'!R28+'Fed Contracts Grnts-4Yr'!R28+'Other Contract Grnts-4Yr'!R28+'Investment Income-4Yr'!R28+'All Other E&amp;G-4Yr'!R28</f>
        <v>1982340.92</v>
      </c>
      <c r="S28" s="51">
        <f>+'Tuition-4Yr'!S28+'State Appropriations-4Yr'!S28+'Local Appropriations-4Yr'!S28+'Fed Contracts Grnts-4Yr'!S28+'Other Contract Grnts-4Yr'!S28+'Investment Income-4Yr'!S28+'All Other E&amp;G-4Yr'!S28</f>
        <v>2153815.7560000001</v>
      </c>
      <c r="T28" s="51">
        <f>+'Tuition-4Yr'!T28+'State Appropriations-4Yr'!T28+'Local Appropriations-4Yr'!T28+'Fed Contracts Grnts-4Yr'!T28+'Other Contract Grnts-4Yr'!T28+'Investment Income-4Yr'!T28+'All Other E&amp;G-4Yr'!T28</f>
        <v>2216153.605</v>
      </c>
      <c r="U28" s="51">
        <f>+'Tuition-4Yr'!U28+'State Appropriations-4Yr'!U28+'Local Appropriations-4Yr'!U28+'Fed Contracts Grnts-4Yr'!U28+'Other Contract Grnts-4Yr'!U28+'Investment Income-4Yr'!U28+'All Other E&amp;G-4Yr'!U28</f>
        <v>2144763.0130000003</v>
      </c>
      <c r="V28" s="51">
        <f>+'Tuition-4Yr'!V28+'State Appropriations-4Yr'!V28+'Local Appropriations-4Yr'!V28+'Fed Contracts Grnts-4Yr'!V28+'Other Contract Grnts-4Yr'!V28+'Investment Income-4Yr'!V28+'All Other E&amp;G-4Yr'!V28</f>
        <v>1789474.1770000001</v>
      </c>
      <c r="W28" s="51">
        <f>+'Tuition-4Yr'!W28+'State Appropriations-4Yr'!W28+'Local Appropriations-4Yr'!W28+'Fed Contracts Grnts-4Yr'!W28+'Other Contract Grnts-4Yr'!W28+'Investment Income-4Yr'!W28+'All Other E&amp;G-4Yr'!W28</f>
        <v>2911344.1150000002</v>
      </c>
      <c r="X28" s="51">
        <f>+'Tuition-4Yr'!X28+'State Appropriations-4Yr'!X28+'Local Appropriations-4Yr'!X28+'Fed Contracts Grnts-4Yr'!X28+'Other Contract Grnts-4Yr'!X28+'Investment Income-4Yr'!X28+'All Other E&amp;G-4Yr'!X28</f>
        <v>2480118.2949999999</v>
      </c>
      <c r="Y28" s="51">
        <f>+'Tuition-4Yr'!Y28+'State Appropriations-4Yr'!Y28+'Local Appropriations-4Yr'!Y28+'Fed Contracts Grnts-4Yr'!Y28+'Other Contract Grnts-4Yr'!Y28+'Investment Income-4Yr'!Y28+'All Other E&amp;G-4Yr'!Y28</f>
        <v>2646646.3759999997</v>
      </c>
      <c r="Z28" s="51">
        <f>+'Tuition-4Yr'!Z28+'State Appropriations-4Yr'!Z28+'Local Appropriations-4Yr'!Z28+'Fed Contracts Grnts-4Yr'!Z28+'Other Contract Grnts-4Yr'!Z28+'Investment Income-4Yr'!Z28+'All Other E&amp;G-4Yr'!Z28</f>
        <v>2852672.2080000001</v>
      </c>
      <c r="AA28" s="51">
        <f>+'Tuition-4Yr'!AA28+'State Appropriations-4Yr'!AA28+'Local Appropriations-4Yr'!AA28+'Fed Contracts Grnts-4Yr'!AA28+'Other Contract Grnts-4Yr'!AA28+'Investment Income-4Yr'!AA28+'All Other E&amp;G-4Yr'!AA28</f>
        <v>3203984.344</v>
      </c>
      <c r="AB28" s="51">
        <f>+'Tuition-4Yr'!AB28+'State Appropriations-4Yr'!AB28+'Local Appropriations-4Yr'!AB28+'Fed Contracts Grnts-4Yr'!AB28+'Other Contract Grnts-4Yr'!AB28+'Investment Income-4Yr'!AB28+'All Other E&amp;G-4Yr'!AB28</f>
        <v>3617455.8539999998</v>
      </c>
      <c r="AC28" s="51">
        <f>+'Tuition-4Yr'!AC28+'State Appropriations-4Yr'!AC28+'Local Appropriations-4Yr'!AC28+'Fed Contracts Grnts-4Yr'!AC28+'Other Contract Grnts-4Yr'!AC28+'Investment Income-4Yr'!AC28+'All Other E&amp;G-4Yr'!AC28</f>
        <v>3847283</v>
      </c>
      <c r="AD28" s="51">
        <f>+'Tuition-4Yr'!AD28+'State Appropriations-4Yr'!AD28+'Local Appropriations-4Yr'!AD28+'Fed Contracts Grnts-4Yr'!AD28+'Other Contract Grnts-4Yr'!AD28+'Investment Income-4Yr'!AD28+'All Other E&amp;G-4Yr'!AD28</f>
        <v>3989517.9010000001</v>
      </c>
      <c r="AE28" s="51">
        <f>+'Tuition-4Yr'!AE28+'State Appropriations-4Yr'!AE28+'Local Appropriations-4Yr'!AE28+'Fed Contracts Grnts-4Yr'!AE28+'Other Contract Grnts-4Yr'!AE28+'Investment Income-4Yr'!AE28+'All Other E&amp;G-4Yr'!AE28</f>
        <v>4016865.8260000004</v>
      </c>
      <c r="AF28" s="51">
        <f>+'Tuition-4Yr'!AF28+'State Appropriations-4Yr'!AF28+'Local Appropriations-4Yr'!AF28+'Fed Contracts Grnts-4Yr'!AF28+'Other Contract Grnts-4Yr'!AF28+'Investment Income-4Yr'!AF28+'All Other E&amp;G-4Yr'!AF28</f>
        <v>4038400.6529999999</v>
      </c>
      <c r="AG28" s="51">
        <f>+'Tuition-4Yr'!AG28+'State Appropriations-4Yr'!AG28+'Local Appropriations-4Yr'!AG28+'Fed Contracts Grnts-4Yr'!AG28+'Other Contract Grnts-4Yr'!AG28+'Investment Income-4Yr'!AG28+'All Other E&amp;G-4Yr'!AG28</f>
        <v>4511932.8379999995</v>
      </c>
      <c r="AH28" s="51">
        <f>+'Tuition-4Yr'!AH28+'State Appropriations-4Yr'!AH28+'Local Appropriations-4Yr'!AH28+'Fed Contracts Grnts-4Yr'!AH28+'Other Contract Grnts-4Yr'!AH28+'Investment Income-4Yr'!AH28+'All Other E&amp;G-4Yr'!AH28</f>
        <v>4960257.8189999992</v>
      </c>
      <c r="AI28" s="51">
        <f>+'Tuition-4Yr'!AI28+'State Appropriations-4Yr'!AI28+'Local Appropriations-4Yr'!AI28+'Fed Contracts Grnts-4Yr'!AI28+'Other Contract Grnts-4Yr'!AI28+'Investment Income-4Yr'!AI28+'All Other E&amp;G-4Yr'!AI28</f>
        <v>5244069.8720000004</v>
      </c>
      <c r="AJ28" s="51">
        <f>+'Tuition-4Yr'!AJ28+'State Appropriations-4Yr'!AJ28+'Local Appropriations-4Yr'!AJ28+'Fed Contracts Grnts-4Yr'!AJ28+'Other Contract Grnts-4Yr'!AJ28+'Investment Income-4Yr'!AJ28+'All Other E&amp;G-4Yr'!AJ28</f>
        <v>0</v>
      </c>
      <c r="AK28" s="51">
        <f>+'Tuition-4Yr'!AK28+'State Appropriations-4Yr'!AK28+'Local Appropriations-4Yr'!AK28+'Fed Contracts Grnts-4Yr'!AK28+'Other Contract Grnts-4Yr'!AK28+'Investment Income-4Yr'!AK28+'All Other E&amp;G-4Yr'!AK28</f>
        <v>6067688.4550000001</v>
      </c>
      <c r="AL28" s="51">
        <f>+'Tuition-4Yr'!AL28+'State Appropriations-4Yr'!AL28+'Local Appropriations-4Yr'!AL28+'Fed Contracts Grnts-4Yr'!AL28+'Other Contract Grnts-4Yr'!AL28+'Investment Income-4Yr'!AL28+'All Other E&amp;G-4Yr'!AL28</f>
        <v>1426503191.4009998</v>
      </c>
    </row>
    <row r="29" spans="1:38" ht="12.75" customHeight="1">
      <c r="A29" s="1" t="s">
        <v>43</v>
      </c>
      <c r="B29" s="51">
        <f>+'Tuition-4Yr'!B29+'State Appropriations-4Yr'!B29+'Local Appropriations-4Yr'!B29+'Fed Contracts Grnts-4Yr'!B29+'Other Contract Grnts-4Yr'!B29+'Investment Income-4Yr'!B29+'All Other E&amp;G-4Yr'!B29</f>
        <v>0</v>
      </c>
      <c r="C29" s="51">
        <f>+'Tuition-4Yr'!C29+'State Appropriations-4Yr'!C29+'Local Appropriations-4Yr'!C29+'Fed Contracts Grnts-4Yr'!C29+'Other Contract Grnts-4Yr'!C29+'Investment Income-4Yr'!C29+'All Other E&amp;G-4Yr'!C29</f>
        <v>0</v>
      </c>
      <c r="D29" s="51">
        <f>+'Tuition-4Yr'!D29+'State Appropriations-4Yr'!D29+'Local Appropriations-4Yr'!D29+'Fed Contracts Grnts-4Yr'!D29+'Other Contract Grnts-4Yr'!D29+'Investment Income-4Yr'!D29+'All Other E&amp;G-4Yr'!D29</f>
        <v>0</v>
      </c>
      <c r="E29" s="51">
        <f>+'Tuition-4Yr'!E29+'State Appropriations-4Yr'!E29+'Local Appropriations-4Yr'!E29+'Fed Contracts Grnts-4Yr'!E29+'Other Contract Grnts-4Yr'!E29+'Investment Income-4Yr'!E29+'All Other E&amp;G-4Yr'!E29</f>
        <v>0</v>
      </c>
      <c r="F29" s="51">
        <f>+'Tuition-4Yr'!F29+'State Appropriations-4Yr'!F29+'Local Appropriations-4Yr'!F29+'Fed Contracts Grnts-4Yr'!F29+'Other Contract Grnts-4Yr'!F29+'Investment Income-4Yr'!F29+'All Other E&amp;G-4Yr'!F29</f>
        <v>0</v>
      </c>
      <c r="G29" s="51">
        <f>+'Tuition-4Yr'!G29+'State Appropriations-4Yr'!G29+'Local Appropriations-4Yr'!G29+'Fed Contracts Grnts-4Yr'!G29+'Other Contract Grnts-4Yr'!G29+'Investment Income-4Yr'!G29+'All Other E&amp;G-4Yr'!G29</f>
        <v>0</v>
      </c>
      <c r="H29" s="51">
        <f>+'Tuition-4Yr'!H29+'State Appropriations-4Yr'!H29+'Local Appropriations-4Yr'!H29+'Fed Contracts Grnts-4Yr'!H29+'Other Contract Grnts-4Yr'!H29+'Investment Income-4Yr'!H29+'All Other E&amp;G-4Yr'!H29</f>
        <v>0</v>
      </c>
      <c r="I29" s="51">
        <f>+'Tuition-4Yr'!I29+'State Appropriations-4Yr'!I29+'Local Appropriations-4Yr'!I29+'Fed Contracts Grnts-4Yr'!I29+'Other Contract Grnts-4Yr'!I29+'Investment Income-4Yr'!I29+'All Other E&amp;G-4Yr'!I29</f>
        <v>0</v>
      </c>
      <c r="J29" s="51">
        <f>+'Tuition-4Yr'!J29+'State Appropriations-4Yr'!J29+'Local Appropriations-4Yr'!J29+'Fed Contracts Grnts-4Yr'!J29+'Other Contract Grnts-4Yr'!J29+'Investment Income-4Yr'!J29+'All Other E&amp;G-4Yr'!J29</f>
        <v>408309.13099999999</v>
      </c>
      <c r="K29" s="51">
        <f>+'Tuition-4Yr'!K29+'State Appropriations-4Yr'!K29+'Local Appropriations-4Yr'!K29+'Fed Contracts Grnts-4Yr'!K29+'Other Contract Grnts-4Yr'!K29+'Investment Income-4Yr'!K29+'All Other E&amp;G-4Yr'!K29</f>
        <v>0</v>
      </c>
      <c r="L29" s="51">
        <f>+'Tuition-4Yr'!L29+'State Appropriations-4Yr'!L29+'Local Appropriations-4Yr'!L29+'Fed Contracts Grnts-4Yr'!L29+'Other Contract Grnts-4Yr'!L29+'Investment Income-4Yr'!L29+'All Other E&amp;G-4Yr'!L29</f>
        <v>0</v>
      </c>
      <c r="M29" s="51">
        <f>+'Tuition-4Yr'!M29+'State Appropriations-4Yr'!M29+'Local Appropriations-4Yr'!M29+'Fed Contracts Grnts-4Yr'!M29+'Other Contract Grnts-4Yr'!M29+'Investment Income-4Yr'!M29+'All Other E&amp;G-4Yr'!M29</f>
        <v>445984.53700000007</v>
      </c>
      <c r="N29" s="51">
        <f>+'Tuition-4Yr'!N29+'State Appropriations-4Yr'!N29+'Local Appropriations-4Yr'!N29+'Fed Contracts Grnts-4Yr'!N29+'Other Contract Grnts-4Yr'!N29+'Investment Income-4Yr'!N29+'All Other E&amp;G-4Yr'!N29</f>
        <v>0</v>
      </c>
      <c r="O29" s="51">
        <f>+'Tuition-4Yr'!O29+'State Appropriations-4Yr'!O29+'Local Appropriations-4Yr'!O29+'Fed Contracts Grnts-4Yr'!O29+'Other Contract Grnts-4Yr'!O29+'Investment Income-4Yr'!O29+'All Other E&amp;G-4Yr'!O29</f>
        <v>415496.86299999995</v>
      </c>
      <c r="P29" s="51">
        <f>+'Tuition-4Yr'!P29+'State Appropriations-4Yr'!P29+'Local Appropriations-4Yr'!P29+'Fed Contracts Grnts-4Yr'!P29+'Other Contract Grnts-4Yr'!P29+'Investment Income-4Yr'!P29+'All Other E&amp;G-4Yr'!P29</f>
        <v>0</v>
      </c>
      <c r="Q29" s="51">
        <f>+'Tuition-4Yr'!Q29+'State Appropriations-4Yr'!Q29+'Local Appropriations-4Yr'!Q29+'Fed Contracts Grnts-4Yr'!Q29+'Other Contract Grnts-4Yr'!Q29+'Investment Income-4Yr'!Q29+'All Other E&amp;G-4Yr'!Q29</f>
        <v>0</v>
      </c>
      <c r="R29" s="51">
        <f>+'Tuition-4Yr'!R29+'State Appropriations-4Yr'!R29+'Local Appropriations-4Yr'!R29+'Fed Contracts Grnts-4Yr'!R29+'Other Contract Grnts-4Yr'!R29+'Investment Income-4Yr'!R29+'All Other E&amp;G-4Yr'!R29</f>
        <v>435486.11100000003</v>
      </c>
      <c r="S29" s="51">
        <f>+'Tuition-4Yr'!S29+'State Appropriations-4Yr'!S29+'Local Appropriations-4Yr'!S29+'Fed Contracts Grnts-4Yr'!S29+'Other Contract Grnts-4Yr'!S29+'Investment Income-4Yr'!S29+'All Other E&amp;G-4Yr'!S29</f>
        <v>499086.58900000004</v>
      </c>
      <c r="T29" s="51">
        <f>+'Tuition-4Yr'!T29+'State Appropriations-4Yr'!T29+'Local Appropriations-4Yr'!T29+'Fed Contracts Grnts-4Yr'!T29+'Other Contract Grnts-4Yr'!T29+'Investment Income-4Yr'!T29+'All Other E&amp;G-4Yr'!T29</f>
        <v>506701.46900000004</v>
      </c>
      <c r="U29" s="51">
        <f>+'Tuition-4Yr'!U29+'State Appropriations-4Yr'!U29+'Local Appropriations-4Yr'!U29+'Fed Contracts Grnts-4Yr'!U29+'Other Contract Grnts-4Yr'!U29+'Investment Income-4Yr'!U29+'All Other E&amp;G-4Yr'!U29</f>
        <v>640131.06999999995</v>
      </c>
      <c r="V29" s="51">
        <f>+'Tuition-4Yr'!V29+'State Appropriations-4Yr'!V29+'Local Appropriations-4Yr'!V29+'Fed Contracts Grnts-4Yr'!V29+'Other Contract Grnts-4Yr'!V29+'Investment Income-4Yr'!V29+'All Other E&amp;G-4Yr'!V29</f>
        <v>657612.06799999997</v>
      </c>
      <c r="W29" s="51">
        <f>+'Tuition-4Yr'!W29+'State Appropriations-4Yr'!W29+'Local Appropriations-4Yr'!W29+'Fed Contracts Grnts-4Yr'!W29+'Other Contract Grnts-4Yr'!W29+'Investment Income-4Yr'!W29+'All Other E&amp;G-4Yr'!W29</f>
        <v>767749.69500000007</v>
      </c>
      <c r="X29" s="51">
        <f>+'Tuition-4Yr'!X29+'State Appropriations-4Yr'!X29+'Local Appropriations-4Yr'!X29+'Fed Contracts Grnts-4Yr'!X29+'Other Contract Grnts-4Yr'!X29+'Investment Income-4Yr'!X29+'All Other E&amp;G-4Yr'!X29</f>
        <v>754980.94099999988</v>
      </c>
      <c r="Y29" s="51">
        <f>+'Tuition-4Yr'!Y29+'State Appropriations-4Yr'!Y29+'Local Appropriations-4Yr'!Y29+'Fed Contracts Grnts-4Yr'!Y29+'Other Contract Grnts-4Yr'!Y29+'Investment Income-4Yr'!Y29+'All Other E&amp;G-4Yr'!Y29</f>
        <v>803714.17699999991</v>
      </c>
      <c r="Z29" s="51">
        <f>+'Tuition-4Yr'!Z29+'State Appropriations-4Yr'!Z29+'Local Appropriations-4Yr'!Z29+'Fed Contracts Grnts-4Yr'!Z29+'Other Contract Grnts-4Yr'!Z29+'Investment Income-4Yr'!Z29+'All Other E&amp;G-4Yr'!Z29</f>
        <v>922536.299</v>
      </c>
      <c r="AA29" s="51">
        <f>+'Tuition-4Yr'!AA29+'State Appropriations-4Yr'!AA29+'Local Appropriations-4Yr'!AA29+'Fed Contracts Grnts-4Yr'!AA29+'Other Contract Grnts-4Yr'!AA29+'Investment Income-4Yr'!AA29+'All Other E&amp;G-4Yr'!AA29</f>
        <v>927638.66500000004</v>
      </c>
      <c r="AB29" s="51">
        <f>+'Tuition-4Yr'!AB29+'State Appropriations-4Yr'!AB29+'Local Appropriations-4Yr'!AB29+'Fed Contracts Grnts-4Yr'!AB29+'Other Contract Grnts-4Yr'!AB29+'Investment Income-4Yr'!AB29+'All Other E&amp;G-4Yr'!AB29</f>
        <v>919624.68799999997</v>
      </c>
      <c r="AC29" s="51">
        <f>+'Tuition-4Yr'!AC29+'State Appropriations-4Yr'!AC29+'Local Appropriations-4Yr'!AC29+'Fed Contracts Grnts-4Yr'!AC29+'Other Contract Grnts-4Yr'!AC29+'Investment Income-4Yr'!AC29+'All Other E&amp;G-4Yr'!AC29</f>
        <v>990026</v>
      </c>
      <c r="AD29" s="51">
        <f>+'Tuition-4Yr'!AD29+'State Appropriations-4Yr'!AD29+'Local Appropriations-4Yr'!AD29+'Fed Contracts Grnts-4Yr'!AD29+'Other Contract Grnts-4Yr'!AD29+'Investment Income-4Yr'!AD29+'All Other E&amp;G-4Yr'!AD29</f>
        <v>998336.14599999995</v>
      </c>
      <c r="AE29" s="51">
        <f>+'Tuition-4Yr'!AE29+'State Appropriations-4Yr'!AE29+'Local Appropriations-4Yr'!AE29+'Fed Contracts Grnts-4Yr'!AE29+'Other Contract Grnts-4Yr'!AE29+'Investment Income-4Yr'!AE29+'All Other E&amp;G-4Yr'!AE29</f>
        <v>1034806.26</v>
      </c>
      <c r="AF29" s="51">
        <f>+'Tuition-4Yr'!AF29+'State Appropriations-4Yr'!AF29+'Local Appropriations-4Yr'!AF29+'Fed Contracts Grnts-4Yr'!AF29+'Other Contract Grnts-4Yr'!AF29+'Investment Income-4Yr'!AF29+'All Other E&amp;G-4Yr'!AF29</f>
        <v>1056148.9570000002</v>
      </c>
      <c r="AG29" s="51">
        <f>+'Tuition-4Yr'!AG29+'State Appropriations-4Yr'!AG29+'Local Appropriations-4Yr'!AG29+'Fed Contracts Grnts-4Yr'!AG29+'Other Contract Grnts-4Yr'!AG29+'Investment Income-4Yr'!AG29+'All Other E&amp;G-4Yr'!AG29</f>
        <v>1066263.328</v>
      </c>
      <c r="AH29" s="51">
        <f>+'Tuition-4Yr'!AH29+'State Appropriations-4Yr'!AH29+'Local Appropriations-4Yr'!AH29+'Fed Contracts Grnts-4Yr'!AH29+'Other Contract Grnts-4Yr'!AH29+'Investment Income-4Yr'!AH29+'All Other E&amp;G-4Yr'!AH29</f>
        <v>1101565.5009999999</v>
      </c>
      <c r="AI29" s="51">
        <f>+'Tuition-4Yr'!AI29+'State Appropriations-4Yr'!AI29+'Local Appropriations-4Yr'!AI29+'Fed Contracts Grnts-4Yr'!AI29+'Other Contract Grnts-4Yr'!AI29+'Investment Income-4Yr'!AI29+'All Other E&amp;G-4Yr'!AI29</f>
        <v>1129389.7420000001</v>
      </c>
      <c r="AJ29" s="51">
        <f>+'Tuition-4Yr'!AJ29+'State Appropriations-4Yr'!AJ29+'Local Appropriations-4Yr'!AJ29+'Fed Contracts Grnts-4Yr'!AJ29+'Other Contract Grnts-4Yr'!AJ29+'Investment Income-4Yr'!AJ29+'All Other E&amp;G-4Yr'!AJ29</f>
        <v>0</v>
      </c>
      <c r="AK29" s="51">
        <f>+'Tuition-4Yr'!AK29+'State Appropriations-4Yr'!AK29+'Local Appropriations-4Yr'!AK29+'Fed Contracts Grnts-4Yr'!AK29+'Other Contract Grnts-4Yr'!AK29+'Investment Income-4Yr'!AK29+'All Other E&amp;G-4Yr'!AK29</f>
        <v>1208644.736</v>
      </c>
      <c r="AL29" s="51">
        <f>+'Tuition-4Yr'!AL29+'State Appropriations-4Yr'!AL29+'Local Appropriations-4Yr'!AL29+'Fed Contracts Grnts-4Yr'!AL29+'Other Contract Grnts-4Yr'!AL29+'Investment Income-4Yr'!AL29+'All Other E&amp;G-4Yr'!AL29</f>
        <v>262101095.10099998</v>
      </c>
    </row>
    <row r="30" spans="1:38" ht="12.75" customHeight="1">
      <c r="A30" s="1" t="s">
        <v>44</v>
      </c>
      <c r="B30" s="51">
        <f>+'Tuition-4Yr'!B30+'State Appropriations-4Yr'!B30+'Local Appropriations-4Yr'!B30+'Fed Contracts Grnts-4Yr'!B30+'Other Contract Grnts-4Yr'!B30+'Investment Income-4Yr'!B30+'All Other E&amp;G-4Yr'!B30</f>
        <v>0</v>
      </c>
      <c r="C30" s="51">
        <f>+'Tuition-4Yr'!C30+'State Appropriations-4Yr'!C30+'Local Appropriations-4Yr'!C30+'Fed Contracts Grnts-4Yr'!C30+'Other Contract Grnts-4Yr'!C30+'Investment Income-4Yr'!C30+'All Other E&amp;G-4Yr'!C30</f>
        <v>0</v>
      </c>
      <c r="D30" s="51">
        <f>+'Tuition-4Yr'!D30+'State Appropriations-4Yr'!D30+'Local Appropriations-4Yr'!D30+'Fed Contracts Grnts-4Yr'!D30+'Other Contract Grnts-4Yr'!D30+'Investment Income-4Yr'!D30+'All Other E&amp;G-4Yr'!D30</f>
        <v>0</v>
      </c>
      <c r="E30" s="51">
        <f>+'Tuition-4Yr'!E30+'State Appropriations-4Yr'!E30+'Local Appropriations-4Yr'!E30+'Fed Contracts Grnts-4Yr'!E30+'Other Contract Grnts-4Yr'!E30+'Investment Income-4Yr'!E30+'All Other E&amp;G-4Yr'!E30</f>
        <v>0</v>
      </c>
      <c r="F30" s="51">
        <f>+'Tuition-4Yr'!F30+'State Appropriations-4Yr'!F30+'Local Appropriations-4Yr'!F30+'Fed Contracts Grnts-4Yr'!F30+'Other Contract Grnts-4Yr'!F30+'Investment Income-4Yr'!F30+'All Other E&amp;G-4Yr'!F30</f>
        <v>0</v>
      </c>
      <c r="G30" s="51">
        <f>+'Tuition-4Yr'!G30+'State Appropriations-4Yr'!G30+'Local Appropriations-4Yr'!G30+'Fed Contracts Grnts-4Yr'!G30+'Other Contract Grnts-4Yr'!G30+'Investment Income-4Yr'!G30+'All Other E&amp;G-4Yr'!G30</f>
        <v>0</v>
      </c>
      <c r="H30" s="51">
        <f>+'Tuition-4Yr'!H30+'State Appropriations-4Yr'!H30+'Local Appropriations-4Yr'!H30+'Fed Contracts Grnts-4Yr'!H30+'Other Contract Grnts-4Yr'!H30+'Investment Income-4Yr'!H30+'All Other E&amp;G-4Yr'!H30</f>
        <v>0</v>
      </c>
      <c r="I30" s="51">
        <f>+'Tuition-4Yr'!I30+'State Appropriations-4Yr'!I30+'Local Appropriations-4Yr'!I30+'Fed Contracts Grnts-4Yr'!I30+'Other Contract Grnts-4Yr'!I30+'Investment Income-4Yr'!I30+'All Other E&amp;G-4Yr'!I30</f>
        <v>0</v>
      </c>
      <c r="J30" s="51">
        <f>+'Tuition-4Yr'!J30+'State Appropriations-4Yr'!J30+'Local Appropriations-4Yr'!J30+'Fed Contracts Grnts-4Yr'!J30+'Other Contract Grnts-4Yr'!J30+'Investment Income-4Yr'!J30+'All Other E&amp;G-4Yr'!J30</f>
        <v>334891.109</v>
      </c>
      <c r="K30" s="51">
        <f>+'Tuition-4Yr'!K30+'State Appropriations-4Yr'!K30+'Local Appropriations-4Yr'!K30+'Fed Contracts Grnts-4Yr'!K30+'Other Contract Grnts-4Yr'!K30+'Investment Income-4Yr'!K30+'All Other E&amp;G-4Yr'!K30</f>
        <v>0</v>
      </c>
      <c r="L30" s="51">
        <f>+'Tuition-4Yr'!L30+'State Appropriations-4Yr'!L30+'Local Appropriations-4Yr'!L30+'Fed Contracts Grnts-4Yr'!L30+'Other Contract Grnts-4Yr'!L30+'Investment Income-4Yr'!L30+'All Other E&amp;G-4Yr'!L30</f>
        <v>0</v>
      </c>
      <c r="M30" s="51">
        <f>+'Tuition-4Yr'!M30+'State Appropriations-4Yr'!M30+'Local Appropriations-4Yr'!M30+'Fed Contracts Grnts-4Yr'!M30+'Other Contract Grnts-4Yr'!M30+'Investment Income-4Yr'!M30+'All Other E&amp;G-4Yr'!M30</f>
        <v>402893.57900000003</v>
      </c>
      <c r="N30" s="51">
        <f>+'Tuition-4Yr'!N30+'State Appropriations-4Yr'!N30+'Local Appropriations-4Yr'!N30+'Fed Contracts Grnts-4Yr'!N30+'Other Contract Grnts-4Yr'!N30+'Investment Income-4Yr'!N30+'All Other E&amp;G-4Yr'!N30</f>
        <v>0</v>
      </c>
      <c r="O30" s="51">
        <f>+'Tuition-4Yr'!O30+'State Appropriations-4Yr'!O30+'Local Appropriations-4Yr'!O30+'Fed Contracts Grnts-4Yr'!O30+'Other Contract Grnts-4Yr'!O30+'Investment Income-4Yr'!O30+'All Other E&amp;G-4Yr'!O30</f>
        <v>436635.23</v>
      </c>
      <c r="P30" s="51">
        <f>+'Tuition-4Yr'!P30+'State Appropriations-4Yr'!P30+'Local Appropriations-4Yr'!P30+'Fed Contracts Grnts-4Yr'!P30+'Other Contract Grnts-4Yr'!P30+'Investment Income-4Yr'!P30+'All Other E&amp;G-4Yr'!P30</f>
        <v>0</v>
      </c>
      <c r="Q30" s="51">
        <f>+'Tuition-4Yr'!Q30+'State Appropriations-4Yr'!Q30+'Local Appropriations-4Yr'!Q30+'Fed Contracts Grnts-4Yr'!Q30+'Other Contract Grnts-4Yr'!Q30+'Investment Income-4Yr'!Q30+'All Other E&amp;G-4Yr'!Q30</f>
        <v>0</v>
      </c>
      <c r="R30" s="51">
        <f>+'Tuition-4Yr'!R30+'State Appropriations-4Yr'!R30+'Local Appropriations-4Yr'!R30+'Fed Contracts Grnts-4Yr'!R30+'Other Contract Grnts-4Yr'!R30+'Investment Income-4Yr'!R30+'All Other E&amp;G-4Yr'!R30</f>
        <v>529939.89599999995</v>
      </c>
      <c r="S30" s="51">
        <f>+'Tuition-4Yr'!S30+'State Appropriations-4Yr'!S30+'Local Appropriations-4Yr'!S30+'Fed Contracts Grnts-4Yr'!S30+'Other Contract Grnts-4Yr'!S30+'Investment Income-4Yr'!S30+'All Other E&amp;G-4Yr'!S30</f>
        <v>578920.74300000002</v>
      </c>
      <c r="T30" s="51">
        <f>+'Tuition-4Yr'!T30+'State Appropriations-4Yr'!T30+'Local Appropriations-4Yr'!T30+'Fed Contracts Grnts-4Yr'!T30+'Other Contract Grnts-4Yr'!T30+'Investment Income-4Yr'!T30+'All Other E&amp;G-4Yr'!T30</f>
        <v>630464.29799999995</v>
      </c>
      <c r="U30" s="51">
        <f>+'Tuition-4Yr'!U30+'State Appropriations-4Yr'!U30+'Local Appropriations-4Yr'!U30+'Fed Contracts Grnts-4Yr'!U30+'Other Contract Grnts-4Yr'!U30+'Investment Income-4Yr'!U30+'All Other E&amp;G-4Yr'!U30</f>
        <v>612710.46000000008</v>
      </c>
      <c r="V30" s="51">
        <f>+'Tuition-4Yr'!V30+'State Appropriations-4Yr'!V30+'Local Appropriations-4Yr'!V30+'Fed Contracts Grnts-4Yr'!V30+'Other Contract Grnts-4Yr'!V30+'Investment Income-4Yr'!V30+'All Other E&amp;G-4Yr'!V30</f>
        <v>637300.97999999986</v>
      </c>
      <c r="W30" s="51">
        <f>+'Tuition-4Yr'!W30+'State Appropriations-4Yr'!W30+'Local Appropriations-4Yr'!W30+'Fed Contracts Grnts-4Yr'!W30+'Other Contract Grnts-4Yr'!W30+'Investment Income-4Yr'!W30+'All Other E&amp;G-4Yr'!W30</f>
        <v>724836.50699999998</v>
      </c>
      <c r="X30" s="51">
        <f>+'Tuition-4Yr'!X30+'State Appropriations-4Yr'!X30+'Local Appropriations-4Yr'!X30+'Fed Contracts Grnts-4Yr'!X30+'Other Contract Grnts-4Yr'!X30+'Investment Income-4Yr'!X30+'All Other E&amp;G-4Yr'!X30</f>
        <v>720980.22699999996</v>
      </c>
      <c r="Y30" s="51">
        <f>+'Tuition-4Yr'!Y30+'State Appropriations-4Yr'!Y30+'Local Appropriations-4Yr'!Y30+'Fed Contracts Grnts-4Yr'!Y30+'Other Contract Grnts-4Yr'!Y30+'Investment Income-4Yr'!Y30+'All Other E&amp;G-4Yr'!Y30</f>
        <v>740343.79399999999</v>
      </c>
      <c r="Z30" s="51">
        <f>+'Tuition-4Yr'!Z30+'State Appropriations-4Yr'!Z30+'Local Appropriations-4Yr'!Z30+'Fed Contracts Grnts-4Yr'!Z30+'Other Contract Grnts-4Yr'!Z30+'Investment Income-4Yr'!Z30+'All Other E&amp;G-4Yr'!Z30</f>
        <v>788497.88199999998</v>
      </c>
      <c r="AA30" s="51">
        <f>+'Tuition-4Yr'!AA30+'State Appropriations-4Yr'!AA30+'Local Appropriations-4Yr'!AA30+'Fed Contracts Grnts-4Yr'!AA30+'Other Contract Grnts-4Yr'!AA30+'Investment Income-4Yr'!AA30+'All Other E&amp;G-4Yr'!AA30</f>
        <v>843107.85099999991</v>
      </c>
      <c r="AB30" s="51">
        <f>+'Tuition-4Yr'!AB30+'State Appropriations-4Yr'!AB30+'Local Appropriations-4Yr'!AB30+'Fed Contracts Grnts-4Yr'!AB30+'Other Contract Grnts-4Yr'!AB30+'Investment Income-4Yr'!AB30+'All Other E&amp;G-4Yr'!AB30</f>
        <v>865529.65800000005</v>
      </c>
      <c r="AC30" s="51">
        <f>+'Tuition-4Yr'!AC30+'State Appropriations-4Yr'!AC30+'Local Appropriations-4Yr'!AC30+'Fed Contracts Grnts-4Yr'!AC30+'Other Contract Grnts-4Yr'!AC30+'Investment Income-4Yr'!AC30+'All Other E&amp;G-4Yr'!AC30</f>
        <v>926425</v>
      </c>
      <c r="AD30" s="51">
        <f>+'Tuition-4Yr'!AD30+'State Appropriations-4Yr'!AD30+'Local Appropriations-4Yr'!AD30+'Fed Contracts Grnts-4Yr'!AD30+'Other Contract Grnts-4Yr'!AD30+'Investment Income-4Yr'!AD30+'All Other E&amp;G-4Yr'!AD30</f>
        <v>929187.30700000003</v>
      </c>
      <c r="AE30" s="51">
        <f>+'Tuition-4Yr'!AE30+'State Appropriations-4Yr'!AE30+'Local Appropriations-4Yr'!AE30+'Fed Contracts Grnts-4Yr'!AE30+'Other Contract Grnts-4Yr'!AE30+'Investment Income-4Yr'!AE30+'All Other E&amp;G-4Yr'!AE30</f>
        <v>966355.42299999995</v>
      </c>
      <c r="AF30" s="51">
        <f>+'Tuition-4Yr'!AF30+'State Appropriations-4Yr'!AF30+'Local Appropriations-4Yr'!AF30+'Fed Contracts Grnts-4Yr'!AF30+'Other Contract Grnts-4Yr'!AF30+'Investment Income-4Yr'!AF30+'All Other E&amp;G-4Yr'!AF30</f>
        <v>957101.93800000008</v>
      </c>
      <c r="AG30" s="51">
        <f>+'Tuition-4Yr'!AG30+'State Appropriations-4Yr'!AG30+'Local Appropriations-4Yr'!AG30+'Fed Contracts Grnts-4Yr'!AG30+'Other Contract Grnts-4Yr'!AG30+'Investment Income-4Yr'!AG30+'All Other E&amp;G-4Yr'!AG30</f>
        <v>1009800.613</v>
      </c>
      <c r="AH30" s="51">
        <f>+'Tuition-4Yr'!AH30+'State Appropriations-4Yr'!AH30+'Local Appropriations-4Yr'!AH30+'Fed Contracts Grnts-4Yr'!AH30+'Other Contract Grnts-4Yr'!AH30+'Investment Income-4Yr'!AH30+'All Other E&amp;G-4Yr'!AH30</f>
        <v>1040357.3850000001</v>
      </c>
      <c r="AI30" s="51">
        <f>+'Tuition-4Yr'!AI30+'State Appropriations-4Yr'!AI30+'Local Appropriations-4Yr'!AI30+'Fed Contracts Grnts-4Yr'!AI30+'Other Contract Grnts-4Yr'!AI30+'Investment Income-4Yr'!AI30+'All Other E&amp;G-4Yr'!AI30</f>
        <v>1070313.9210000001</v>
      </c>
      <c r="AJ30" s="51">
        <f>+'Tuition-4Yr'!AJ30+'State Appropriations-4Yr'!AJ30+'Local Appropriations-4Yr'!AJ30+'Fed Contracts Grnts-4Yr'!AJ30+'Other Contract Grnts-4Yr'!AJ30+'Investment Income-4Yr'!AJ30+'All Other E&amp;G-4Yr'!AJ30</f>
        <v>0</v>
      </c>
      <c r="AK30" s="51">
        <f>+'Tuition-4Yr'!AK30+'State Appropriations-4Yr'!AK30+'Local Appropriations-4Yr'!AK30+'Fed Contracts Grnts-4Yr'!AK30+'Other Contract Grnts-4Yr'!AK30+'Investment Income-4Yr'!AK30+'All Other E&amp;G-4Yr'!AK30</f>
        <v>1205348.5019999999</v>
      </c>
      <c r="AL30" s="51">
        <f>+'Tuition-4Yr'!AL30+'State Appropriations-4Yr'!AL30+'Local Appropriations-4Yr'!AL30+'Fed Contracts Grnts-4Yr'!AL30+'Other Contract Grnts-4Yr'!AL30+'Investment Income-4Yr'!AL30+'All Other E&amp;G-4Yr'!AL30</f>
        <v>189290051.23900002</v>
      </c>
    </row>
    <row r="31" spans="1:38" ht="12.75" customHeight="1">
      <c r="A31" s="1" t="s">
        <v>45</v>
      </c>
      <c r="B31" s="51">
        <f>+'Tuition-4Yr'!B31+'State Appropriations-4Yr'!B31+'Local Appropriations-4Yr'!B31+'Fed Contracts Grnts-4Yr'!B31+'Other Contract Grnts-4Yr'!B31+'Investment Income-4Yr'!B31+'All Other E&amp;G-4Yr'!B31</f>
        <v>0</v>
      </c>
      <c r="C31" s="51">
        <f>+'Tuition-4Yr'!C31+'State Appropriations-4Yr'!C31+'Local Appropriations-4Yr'!C31+'Fed Contracts Grnts-4Yr'!C31+'Other Contract Grnts-4Yr'!C31+'Investment Income-4Yr'!C31+'All Other E&amp;G-4Yr'!C31</f>
        <v>0</v>
      </c>
      <c r="D31" s="51">
        <f>+'Tuition-4Yr'!D31+'State Appropriations-4Yr'!D31+'Local Appropriations-4Yr'!D31+'Fed Contracts Grnts-4Yr'!D31+'Other Contract Grnts-4Yr'!D31+'Investment Income-4Yr'!D31+'All Other E&amp;G-4Yr'!D31</f>
        <v>0</v>
      </c>
      <c r="E31" s="51">
        <f>+'Tuition-4Yr'!E31+'State Appropriations-4Yr'!E31+'Local Appropriations-4Yr'!E31+'Fed Contracts Grnts-4Yr'!E31+'Other Contract Grnts-4Yr'!E31+'Investment Income-4Yr'!E31+'All Other E&amp;G-4Yr'!E31</f>
        <v>0</v>
      </c>
      <c r="F31" s="51">
        <f>+'Tuition-4Yr'!F31+'State Appropriations-4Yr'!F31+'Local Appropriations-4Yr'!F31+'Fed Contracts Grnts-4Yr'!F31+'Other Contract Grnts-4Yr'!F31+'Investment Income-4Yr'!F31+'All Other E&amp;G-4Yr'!F31</f>
        <v>0</v>
      </c>
      <c r="G31" s="51">
        <f>+'Tuition-4Yr'!G31+'State Appropriations-4Yr'!G31+'Local Appropriations-4Yr'!G31+'Fed Contracts Grnts-4Yr'!G31+'Other Contract Grnts-4Yr'!G31+'Investment Income-4Yr'!G31+'All Other E&amp;G-4Yr'!G31</f>
        <v>0</v>
      </c>
      <c r="H31" s="51">
        <f>+'Tuition-4Yr'!H31+'State Appropriations-4Yr'!H31+'Local Appropriations-4Yr'!H31+'Fed Contracts Grnts-4Yr'!H31+'Other Contract Grnts-4Yr'!H31+'Investment Income-4Yr'!H31+'All Other E&amp;G-4Yr'!H31</f>
        <v>0</v>
      </c>
      <c r="I31" s="51">
        <f>+'Tuition-4Yr'!I31+'State Appropriations-4Yr'!I31+'Local Appropriations-4Yr'!I31+'Fed Contracts Grnts-4Yr'!I31+'Other Contract Grnts-4Yr'!I31+'Investment Income-4Yr'!I31+'All Other E&amp;G-4Yr'!I31</f>
        <v>0</v>
      </c>
      <c r="J31" s="51">
        <f>+'Tuition-4Yr'!J31+'State Appropriations-4Yr'!J31+'Local Appropriations-4Yr'!J31+'Fed Contracts Grnts-4Yr'!J31+'Other Contract Grnts-4Yr'!J31+'Investment Income-4Yr'!J31+'All Other E&amp;G-4Yr'!J31</f>
        <v>252037.79599999997</v>
      </c>
      <c r="K31" s="51">
        <f>+'Tuition-4Yr'!K31+'State Appropriations-4Yr'!K31+'Local Appropriations-4Yr'!K31+'Fed Contracts Grnts-4Yr'!K31+'Other Contract Grnts-4Yr'!K31+'Investment Income-4Yr'!K31+'All Other E&amp;G-4Yr'!K31</f>
        <v>0</v>
      </c>
      <c r="L31" s="51">
        <f>+'Tuition-4Yr'!L31+'State Appropriations-4Yr'!L31+'Local Appropriations-4Yr'!L31+'Fed Contracts Grnts-4Yr'!L31+'Other Contract Grnts-4Yr'!L31+'Investment Income-4Yr'!L31+'All Other E&amp;G-4Yr'!L31</f>
        <v>0</v>
      </c>
      <c r="M31" s="51">
        <f>+'Tuition-4Yr'!M31+'State Appropriations-4Yr'!M31+'Local Appropriations-4Yr'!M31+'Fed Contracts Grnts-4Yr'!M31+'Other Contract Grnts-4Yr'!M31+'Investment Income-4Yr'!M31+'All Other E&amp;G-4Yr'!M31</f>
        <v>293490.88199999998</v>
      </c>
      <c r="N31" s="51">
        <f>+'Tuition-4Yr'!N31+'State Appropriations-4Yr'!N31+'Local Appropriations-4Yr'!N31+'Fed Contracts Grnts-4Yr'!N31+'Other Contract Grnts-4Yr'!N31+'Investment Income-4Yr'!N31+'All Other E&amp;G-4Yr'!N31</f>
        <v>0</v>
      </c>
      <c r="O31" s="51">
        <f>+'Tuition-4Yr'!O31+'State Appropriations-4Yr'!O31+'Local Appropriations-4Yr'!O31+'Fed Contracts Grnts-4Yr'!O31+'Other Contract Grnts-4Yr'!O31+'Investment Income-4Yr'!O31+'All Other E&amp;G-4Yr'!O31</f>
        <v>353858.43400000001</v>
      </c>
      <c r="P31" s="51">
        <f>+'Tuition-4Yr'!P31+'State Appropriations-4Yr'!P31+'Local Appropriations-4Yr'!P31+'Fed Contracts Grnts-4Yr'!P31+'Other Contract Grnts-4Yr'!P31+'Investment Income-4Yr'!P31+'All Other E&amp;G-4Yr'!P31</f>
        <v>0</v>
      </c>
      <c r="Q31" s="51">
        <f>+'Tuition-4Yr'!Q31+'State Appropriations-4Yr'!Q31+'Local Appropriations-4Yr'!Q31+'Fed Contracts Grnts-4Yr'!Q31+'Other Contract Grnts-4Yr'!Q31+'Investment Income-4Yr'!Q31+'All Other E&amp;G-4Yr'!Q31</f>
        <v>0</v>
      </c>
      <c r="R31" s="51">
        <f>+'Tuition-4Yr'!R31+'State Appropriations-4Yr'!R31+'Local Appropriations-4Yr'!R31+'Fed Contracts Grnts-4Yr'!R31+'Other Contract Grnts-4Yr'!R31+'Investment Income-4Yr'!R31+'All Other E&amp;G-4Yr'!R31</f>
        <v>420522.74800000002</v>
      </c>
      <c r="S31" s="51">
        <f>+'Tuition-4Yr'!S31+'State Appropriations-4Yr'!S31+'Local Appropriations-4Yr'!S31+'Fed Contracts Grnts-4Yr'!S31+'Other Contract Grnts-4Yr'!S31+'Investment Income-4Yr'!S31+'All Other E&amp;G-4Yr'!S31</f>
        <v>444526.60599999997</v>
      </c>
      <c r="T31" s="51">
        <f>+'Tuition-4Yr'!T31+'State Appropriations-4Yr'!T31+'Local Appropriations-4Yr'!T31+'Fed Contracts Grnts-4Yr'!T31+'Other Contract Grnts-4Yr'!T31+'Investment Income-4Yr'!T31+'All Other E&amp;G-4Yr'!T31</f>
        <v>489543.93599999999</v>
      </c>
      <c r="U31" s="51">
        <f>+'Tuition-4Yr'!U31+'State Appropriations-4Yr'!U31+'Local Appropriations-4Yr'!U31+'Fed Contracts Grnts-4Yr'!U31+'Other Contract Grnts-4Yr'!U31+'Investment Income-4Yr'!U31+'All Other E&amp;G-4Yr'!U31</f>
        <v>525293.16099999996</v>
      </c>
      <c r="V31" s="51">
        <f>+'Tuition-4Yr'!V31+'State Appropriations-4Yr'!V31+'Local Appropriations-4Yr'!V31+'Fed Contracts Grnts-4Yr'!V31+'Other Contract Grnts-4Yr'!V31+'Investment Income-4Yr'!V31+'All Other E&amp;G-4Yr'!V31</f>
        <v>538415.24600000004</v>
      </c>
      <c r="W31" s="51">
        <f>+'Tuition-4Yr'!W31+'State Appropriations-4Yr'!W31+'Local Appropriations-4Yr'!W31+'Fed Contracts Grnts-4Yr'!W31+'Other Contract Grnts-4Yr'!W31+'Investment Income-4Yr'!W31+'All Other E&amp;G-4Yr'!W31</f>
        <v>603510.61899999995</v>
      </c>
      <c r="X31" s="51">
        <f>+'Tuition-4Yr'!X31+'State Appropriations-4Yr'!X31+'Local Appropriations-4Yr'!X31+'Fed Contracts Grnts-4Yr'!X31+'Other Contract Grnts-4Yr'!X31+'Investment Income-4Yr'!X31+'All Other E&amp;G-4Yr'!X31</f>
        <v>612933.804</v>
      </c>
      <c r="Y31" s="51">
        <f>+'Tuition-4Yr'!Y31+'State Appropriations-4Yr'!Y31+'Local Appropriations-4Yr'!Y31+'Fed Contracts Grnts-4Yr'!Y31+'Other Contract Grnts-4Yr'!Y31+'Investment Income-4Yr'!Y31+'All Other E&amp;G-4Yr'!Y31</f>
        <v>642662.32699999993</v>
      </c>
      <c r="Z31" s="51">
        <f>+'Tuition-4Yr'!Z31+'State Appropriations-4Yr'!Z31+'Local Appropriations-4Yr'!Z31+'Fed Contracts Grnts-4Yr'!Z31+'Other Contract Grnts-4Yr'!Z31+'Investment Income-4Yr'!Z31+'All Other E&amp;G-4Yr'!Z31</f>
        <v>657915.81700000016</v>
      </c>
      <c r="AA31" s="51">
        <f>+'Tuition-4Yr'!AA31+'State Appropriations-4Yr'!AA31+'Local Appropriations-4Yr'!AA31+'Fed Contracts Grnts-4Yr'!AA31+'Other Contract Grnts-4Yr'!AA31+'Investment Income-4Yr'!AA31+'All Other E&amp;G-4Yr'!AA31</f>
        <v>725765.35199999996</v>
      </c>
      <c r="AB31" s="51">
        <f>+'Tuition-4Yr'!AB31+'State Appropriations-4Yr'!AB31+'Local Appropriations-4Yr'!AB31+'Fed Contracts Grnts-4Yr'!AB31+'Other Contract Grnts-4Yr'!AB31+'Investment Income-4Yr'!AB31+'All Other E&amp;G-4Yr'!AB31</f>
        <v>775643.61599999992</v>
      </c>
      <c r="AC31" s="51">
        <f>+'Tuition-4Yr'!AC31+'State Appropriations-4Yr'!AC31+'Local Appropriations-4Yr'!AC31+'Fed Contracts Grnts-4Yr'!AC31+'Other Contract Grnts-4Yr'!AC31+'Investment Income-4Yr'!AC31+'All Other E&amp;G-4Yr'!AC31</f>
        <v>805690</v>
      </c>
      <c r="AD31" s="51">
        <f>+'Tuition-4Yr'!AD31+'State Appropriations-4Yr'!AD31+'Local Appropriations-4Yr'!AD31+'Fed Contracts Grnts-4Yr'!AD31+'Other Contract Grnts-4Yr'!AD31+'Investment Income-4Yr'!AD31+'All Other E&amp;G-4Yr'!AD31</f>
        <v>822457.59100000001</v>
      </c>
      <c r="AE31" s="51">
        <f>+'Tuition-4Yr'!AE31+'State Appropriations-4Yr'!AE31+'Local Appropriations-4Yr'!AE31+'Fed Contracts Grnts-4Yr'!AE31+'Other Contract Grnts-4Yr'!AE31+'Investment Income-4Yr'!AE31+'All Other E&amp;G-4Yr'!AE31</f>
        <v>829971.67</v>
      </c>
      <c r="AF31" s="51">
        <f>+'Tuition-4Yr'!AF31+'State Appropriations-4Yr'!AF31+'Local Appropriations-4Yr'!AF31+'Fed Contracts Grnts-4Yr'!AF31+'Other Contract Grnts-4Yr'!AF31+'Investment Income-4Yr'!AF31+'All Other E&amp;G-4Yr'!AF31</f>
        <v>809204.42099999997</v>
      </c>
      <c r="AG31" s="51">
        <f>+'Tuition-4Yr'!AG31+'State Appropriations-4Yr'!AG31+'Local Appropriations-4Yr'!AG31+'Fed Contracts Grnts-4Yr'!AG31+'Other Contract Grnts-4Yr'!AG31+'Investment Income-4Yr'!AG31+'All Other E&amp;G-4Yr'!AG31</f>
        <v>878339.08299999998</v>
      </c>
      <c r="AH31" s="51">
        <f>+'Tuition-4Yr'!AH31+'State Appropriations-4Yr'!AH31+'Local Appropriations-4Yr'!AH31+'Fed Contracts Grnts-4Yr'!AH31+'Other Contract Grnts-4Yr'!AH31+'Investment Income-4Yr'!AH31+'All Other E&amp;G-4Yr'!AH31</f>
        <v>899918.9709999999</v>
      </c>
      <c r="AI31" s="51">
        <f>+'Tuition-4Yr'!AI31+'State Appropriations-4Yr'!AI31+'Local Appropriations-4Yr'!AI31+'Fed Contracts Grnts-4Yr'!AI31+'Other Contract Grnts-4Yr'!AI31+'Investment Income-4Yr'!AI31+'All Other E&amp;G-4Yr'!AI31</f>
        <v>936445.13400000008</v>
      </c>
      <c r="AJ31" s="51">
        <f>+'Tuition-4Yr'!AJ31+'State Appropriations-4Yr'!AJ31+'Local Appropriations-4Yr'!AJ31+'Fed Contracts Grnts-4Yr'!AJ31+'Other Contract Grnts-4Yr'!AJ31+'Investment Income-4Yr'!AJ31+'All Other E&amp;G-4Yr'!AJ31</f>
        <v>0</v>
      </c>
      <c r="AK31" s="51">
        <f>+'Tuition-4Yr'!AK31+'State Appropriations-4Yr'!AK31+'Local Appropriations-4Yr'!AK31+'Fed Contracts Grnts-4Yr'!AK31+'Other Contract Grnts-4Yr'!AK31+'Investment Income-4Yr'!AK31+'All Other E&amp;G-4Yr'!AK31</f>
        <v>1020461.59</v>
      </c>
      <c r="AL31" s="51">
        <f>+'Tuition-4Yr'!AL31+'State Appropriations-4Yr'!AL31+'Local Appropriations-4Yr'!AL31+'Fed Contracts Grnts-4Yr'!AL31+'Other Contract Grnts-4Yr'!AL31+'Investment Income-4Yr'!AL31+'All Other E&amp;G-4Yr'!AL31</f>
        <v>218039638.08899999</v>
      </c>
    </row>
    <row r="32" spans="1:38" ht="12.75" customHeight="1">
      <c r="A32" s="1" t="s">
        <v>46</v>
      </c>
      <c r="B32" s="51">
        <f>+'Tuition-4Yr'!B32+'State Appropriations-4Yr'!B32+'Local Appropriations-4Yr'!B32+'Fed Contracts Grnts-4Yr'!B32+'Other Contract Grnts-4Yr'!B32+'Investment Income-4Yr'!B32+'All Other E&amp;G-4Yr'!B32</f>
        <v>0</v>
      </c>
      <c r="C32" s="51">
        <f>+'Tuition-4Yr'!C32+'State Appropriations-4Yr'!C32+'Local Appropriations-4Yr'!C32+'Fed Contracts Grnts-4Yr'!C32+'Other Contract Grnts-4Yr'!C32+'Investment Income-4Yr'!C32+'All Other E&amp;G-4Yr'!C32</f>
        <v>0</v>
      </c>
      <c r="D32" s="51">
        <f>+'Tuition-4Yr'!D32+'State Appropriations-4Yr'!D32+'Local Appropriations-4Yr'!D32+'Fed Contracts Grnts-4Yr'!D32+'Other Contract Grnts-4Yr'!D32+'Investment Income-4Yr'!D32+'All Other E&amp;G-4Yr'!D32</f>
        <v>0</v>
      </c>
      <c r="E32" s="51">
        <f>+'Tuition-4Yr'!E32+'State Appropriations-4Yr'!E32+'Local Appropriations-4Yr'!E32+'Fed Contracts Grnts-4Yr'!E32+'Other Contract Grnts-4Yr'!E32+'Investment Income-4Yr'!E32+'All Other E&amp;G-4Yr'!E32</f>
        <v>0</v>
      </c>
      <c r="F32" s="51">
        <f>+'Tuition-4Yr'!F32+'State Appropriations-4Yr'!F32+'Local Appropriations-4Yr'!F32+'Fed Contracts Grnts-4Yr'!F32+'Other Contract Grnts-4Yr'!F32+'Investment Income-4Yr'!F32+'All Other E&amp;G-4Yr'!F32</f>
        <v>0</v>
      </c>
      <c r="G32" s="51">
        <f>+'Tuition-4Yr'!G32+'State Appropriations-4Yr'!G32+'Local Appropriations-4Yr'!G32+'Fed Contracts Grnts-4Yr'!G32+'Other Contract Grnts-4Yr'!G32+'Investment Income-4Yr'!G32+'All Other E&amp;G-4Yr'!G32</f>
        <v>0</v>
      </c>
      <c r="H32" s="51">
        <f>+'Tuition-4Yr'!H32+'State Appropriations-4Yr'!H32+'Local Appropriations-4Yr'!H32+'Fed Contracts Grnts-4Yr'!H32+'Other Contract Grnts-4Yr'!H32+'Investment Income-4Yr'!H32+'All Other E&amp;G-4Yr'!H32</f>
        <v>0</v>
      </c>
      <c r="I32" s="51">
        <f>+'Tuition-4Yr'!I32+'State Appropriations-4Yr'!I32+'Local Appropriations-4Yr'!I32+'Fed Contracts Grnts-4Yr'!I32+'Other Contract Grnts-4Yr'!I32+'Investment Income-4Yr'!I32+'All Other E&amp;G-4Yr'!I32</f>
        <v>0</v>
      </c>
      <c r="J32" s="51">
        <f>+'Tuition-4Yr'!J32+'State Appropriations-4Yr'!J32+'Local Appropriations-4Yr'!J32+'Fed Contracts Grnts-4Yr'!J32+'Other Contract Grnts-4Yr'!J32+'Investment Income-4Yr'!J32+'All Other E&amp;G-4Yr'!J32</f>
        <v>282632.57900000003</v>
      </c>
      <c r="K32" s="51">
        <f>+'Tuition-4Yr'!K32+'State Appropriations-4Yr'!K32+'Local Appropriations-4Yr'!K32+'Fed Contracts Grnts-4Yr'!K32+'Other Contract Grnts-4Yr'!K32+'Investment Income-4Yr'!K32+'All Other E&amp;G-4Yr'!K32</f>
        <v>0</v>
      </c>
      <c r="L32" s="51">
        <f>+'Tuition-4Yr'!L32+'State Appropriations-4Yr'!L32+'Local Appropriations-4Yr'!L32+'Fed Contracts Grnts-4Yr'!L32+'Other Contract Grnts-4Yr'!L32+'Investment Income-4Yr'!L32+'All Other E&amp;G-4Yr'!L32</f>
        <v>0</v>
      </c>
      <c r="M32" s="51">
        <f>+'Tuition-4Yr'!M32+'State Appropriations-4Yr'!M32+'Local Appropriations-4Yr'!M32+'Fed Contracts Grnts-4Yr'!M32+'Other Contract Grnts-4Yr'!M32+'Investment Income-4Yr'!M32+'All Other E&amp;G-4Yr'!M32</f>
        <v>347688.58400000003</v>
      </c>
      <c r="N32" s="51">
        <f>+'Tuition-4Yr'!N32+'State Appropriations-4Yr'!N32+'Local Appropriations-4Yr'!N32+'Fed Contracts Grnts-4Yr'!N32+'Other Contract Grnts-4Yr'!N32+'Investment Income-4Yr'!N32+'All Other E&amp;G-4Yr'!N32</f>
        <v>0</v>
      </c>
      <c r="O32" s="51">
        <f>+'Tuition-4Yr'!O32+'State Appropriations-4Yr'!O32+'Local Appropriations-4Yr'!O32+'Fed Contracts Grnts-4Yr'!O32+'Other Contract Grnts-4Yr'!O32+'Investment Income-4Yr'!O32+'All Other E&amp;G-4Yr'!O32</f>
        <v>392534.42600000009</v>
      </c>
      <c r="P32" s="51">
        <f>+'Tuition-4Yr'!P32+'State Appropriations-4Yr'!P32+'Local Appropriations-4Yr'!P32+'Fed Contracts Grnts-4Yr'!P32+'Other Contract Grnts-4Yr'!P32+'Investment Income-4Yr'!P32+'All Other E&amp;G-4Yr'!P32</f>
        <v>0</v>
      </c>
      <c r="Q32" s="51">
        <f>+'Tuition-4Yr'!Q32+'State Appropriations-4Yr'!Q32+'Local Appropriations-4Yr'!Q32+'Fed Contracts Grnts-4Yr'!Q32+'Other Contract Grnts-4Yr'!Q32+'Investment Income-4Yr'!Q32+'All Other E&amp;G-4Yr'!Q32</f>
        <v>0</v>
      </c>
      <c r="R32" s="51">
        <f>+'Tuition-4Yr'!R32+'State Appropriations-4Yr'!R32+'Local Appropriations-4Yr'!R32+'Fed Contracts Grnts-4Yr'!R32+'Other Contract Grnts-4Yr'!R32+'Investment Income-4Yr'!R32+'All Other E&amp;G-4Yr'!R32</f>
        <v>475376.56899999996</v>
      </c>
      <c r="S32" s="51">
        <f>+'Tuition-4Yr'!S32+'State Appropriations-4Yr'!S32+'Local Appropriations-4Yr'!S32+'Fed Contracts Grnts-4Yr'!S32+'Other Contract Grnts-4Yr'!S32+'Investment Income-4Yr'!S32+'All Other E&amp;G-4Yr'!S32</f>
        <v>527871.60400000005</v>
      </c>
      <c r="T32" s="51">
        <f>+'Tuition-4Yr'!T32+'State Appropriations-4Yr'!T32+'Local Appropriations-4Yr'!T32+'Fed Contracts Grnts-4Yr'!T32+'Other Contract Grnts-4Yr'!T32+'Investment Income-4Yr'!T32+'All Other E&amp;G-4Yr'!T32</f>
        <v>604488.87700000009</v>
      </c>
      <c r="U32" s="51">
        <f>+'Tuition-4Yr'!U32+'State Appropriations-4Yr'!U32+'Local Appropriations-4Yr'!U32+'Fed Contracts Grnts-4Yr'!U32+'Other Contract Grnts-4Yr'!U32+'Investment Income-4Yr'!U32+'All Other E&amp;G-4Yr'!U32</f>
        <v>642400.19000000006</v>
      </c>
      <c r="V32" s="51">
        <f>+'Tuition-4Yr'!V32+'State Appropriations-4Yr'!V32+'Local Appropriations-4Yr'!V32+'Fed Contracts Grnts-4Yr'!V32+'Other Contract Grnts-4Yr'!V32+'Investment Income-4Yr'!V32+'All Other E&amp;G-4Yr'!V32</f>
        <v>883645.68400000001</v>
      </c>
      <c r="W32" s="51">
        <f>+'Tuition-4Yr'!W32+'State Appropriations-4Yr'!W32+'Local Appropriations-4Yr'!W32+'Fed Contracts Grnts-4Yr'!W32+'Other Contract Grnts-4Yr'!W32+'Investment Income-4Yr'!W32+'All Other E&amp;G-4Yr'!W32</f>
        <v>1000894.023</v>
      </c>
      <c r="X32" s="51">
        <f>+'Tuition-4Yr'!X32+'State Appropriations-4Yr'!X32+'Local Appropriations-4Yr'!X32+'Fed Contracts Grnts-4Yr'!X32+'Other Contract Grnts-4Yr'!X32+'Investment Income-4Yr'!X32+'All Other E&amp;G-4Yr'!X32</f>
        <v>1084128.523</v>
      </c>
      <c r="Y32" s="51">
        <f>+'Tuition-4Yr'!Y32+'State Appropriations-4Yr'!Y32+'Local Appropriations-4Yr'!Y32+'Fed Contracts Grnts-4Yr'!Y32+'Other Contract Grnts-4Yr'!Y32+'Investment Income-4Yr'!Y32+'All Other E&amp;G-4Yr'!Y32</f>
        <v>1167448.4800000002</v>
      </c>
      <c r="Z32" s="51">
        <f>+'Tuition-4Yr'!Z32+'State Appropriations-4Yr'!Z32+'Local Appropriations-4Yr'!Z32+'Fed Contracts Grnts-4Yr'!Z32+'Other Contract Grnts-4Yr'!Z32+'Investment Income-4Yr'!Z32+'All Other E&amp;G-4Yr'!Z32</f>
        <v>1208514.1339999998</v>
      </c>
      <c r="AA32" s="51">
        <f>+'Tuition-4Yr'!AA32+'State Appropriations-4Yr'!AA32+'Local Appropriations-4Yr'!AA32+'Fed Contracts Grnts-4Yr'!AA32+'Other Contract Grnts-4Yr'!AA32+'Investment Income-4Yr'!AA32+'All Other E&amp;G-4Yr'!AA32</f>
        <v>997015.10100000014</v>
      </c>
      <c r="AB32" s="51">
        <f>+'Tuition-4Yr'!AB32+'State Appropriations-4Yr'!AB32+'Local Appropriations-4Yr'!AB32+'Fed Contracts Grnts-4Yr'!AB32+'Other Contract Grnts-4Yr'!AB32+'Investment Income-4Yr'!AB32+'All Other E&amp;G-4Yr'!AB32</f>
        <v>1062123.2510000002</v>
      </c>
      <c r="AC32" s="51">
        <f>+'Tuition-4Yr'!AC32+'State Appropriations-4Yr'!AC32+'Local Appropriations-4Yr'!AC32+'Fed Contracts Grnts-4Yr'!AC32+'Other Contract Grnts-4Yr'!AC32+'Investment Income-4Yr'!AC32+'All Other E&amp;G-4Yr'!AC32</f>
        <v>1087636</v>
      </c>
      <c r="AD32" s="51">
        <f>+'Tuition-4Yr'!AD32+'State Appropriations-4Yr'!AD32+'Local Appropriations-4Yr'!AD32+'Fed Contracts Grnts-4Yr'!AD32+'Other Contract Grnts-4Yr'!AD32+'Investment Income-4Yr'!AD32+'All Other E&amp;G-4Yr'!AD32</f>
        <v>991272.79099999997</v>
      </c>
      <c r="AE32" s="51">
        <f>+'Tuition-4Yr'!AE32+'State Appropriations-4Yr'!AE32+'Local Appropriations-4Yr'!AE32+'Fed Contracts Grnts-4Yr'!AE32+'Other Contract Grnts-4Yr'!AE32+'Investment Income-4Yr'!AE32+'All Other E&amp;G-4Yr'!AE32</f>
        <v>1116342.118</v>
      </c>
      <c r="AF32" s="51">
        <f>+'Tuition-4Yr'!AF32+'State Appropriations-4Yr'!AF32+'Local Appropriations-4Yr'!AF32+'Fed Contracts Grnts-4Yr'!AF32+'Other Contract Grnts-4Yr'!AF32+'Investment Income-4Yr'!AF32+'All Other E&amp;G-4Yr'!AF32</f>
        <v>1109254.4569999999</v>
      </c>
      <c r="AG32" s="51">
        <f>+'Tuition-4Yr'!AG32+'State Appropriations-4Yr'!AG32+'Local Appropriations-4Yr'!AG32+'Fed Contracts Grnts-4Yr'!AG32+'Other Contract Grnts-4Yr'!AG32+'Investment Income-4Yr'!AG32+'All Other E&amp;G-4Yr'!AG32</f>
        <v>1144367.3219999999</v>
      </c>
      <c r="AH32" s="51">
        <f>+'Tuition-4Yr'!AH32+'State Appropriations-4Yr'!AH32+'Local Appropriations-4Yr'!AH32+'Fed Contracts Grnts-4Yr'!AH32+'Other Contract Grnts-4Yr'!AH32+'Investment Income-4Yr'!AH32+'All Other E&amp;G-4Yr'!AH32</f>
        <v>1253686.7889999999</v>
      </c>
      <c r="AI32" s="51">
        <f>+'Tuition-4Yr'!AI32+'State Appropriations-4Yr'!AI32+'Local Appropriations-4Yr'!AI32+'Fed Contracts Grnts-4Yr'!AI32+'Other Contract Grnts-4Yr'!AI32+'Investment Income-4Yr'!AI32+'All Other E&amp;G-4Yr'!AI32</f>
        <v>1376712.9180000003</v>
      </c>
      <c r="AJ32" s="51">
        <f>+'Tuition-4Yr'!AJ32+'State Appropriations-4Yr'!AJ32+'Local Appropriations-4Yr'!AJ32+'Fed Contracts Grnts-4Yr'!AJ32+'Other Contract Grnts-4Yr'!AJ32+'Investment Income-4Yr'!AJ32+'All Other E&amp;G-4Yr'!AJ32</f>
        <v>0</v>
      </c>
      <c r="AK32" s="51">
        <f>+'Tuition-4Yr'!AK32+'State Appropriations-4Yr'!AK32+'Local Appropriations-4Yr'!AK32+'Fed Contracts Grnts-4Yr'!AK32+'Other Contract Grnts-4Yr'!AK32+'Investment Income-4Yr'!AK32+'All Other E&amp;G-4Yr'!AK32</f>
        <v>1566138.6690000002</v>
      </c>
      <c r="AL32" s="51">
        <f>+'Tuition-4Yr'!AL32+'State Appropriations-4Yr'!AL32+'Local Appropriations-4Yr'!AL32+'Fed Contracts Grnts-4Yr'!AL32+'Other Contract Grnts-4Yr'!AL32+'Investment Income-4Yr'!AL32+'All Other E&amp;G-4Yr'!AL32</f>
        <v>253572259.32899997</v>
      </c>
    </row>
    <row r="33" spans="1:38" ht="12.75" customHeight="1">
      <c r="A33" s="1" t="s">
        <v>47</v>
      </c>
      <c r="B33" s="51">
        <f>+'Tuition-4Yr'!B33+'State Appropriations-4Yr'!B33+'Local Appropriations-4Yr'!B33+'Fed Contracts Grnts-4Yr'!B33+'Other Contract Grnts-4Yr'!B33+'Investment Income-4Yr'!B33+'All Other E&amp;G-4Yr'!B33</f>
        <v>0</v>
      </c>
      <c r="C33" s="51">
        <f>+'Tuition-4Yr'!C33+'State Appropriations-4Yr'!C33+'Local Appropriations-4Yr'!C33+'Fed Contracts Grnts-4Yr'!C33+'Other Contract Grnts-4Yr'!C33+'Investment Income-4Yr'!C33+'All Other E&amp;G-4Yr'!C33</f>
        <v>0</v>
      </c>
      <c r="D33" s="51">
        <f>+'Tuition-4Yr'!D33+'State Appropriations-4Yr'!D33+'Local Appropriations-4Yr'!D33+'Fed Contracts Grnts-4Yr'!D33+'Other Contract Grnts-4Yr'!D33+'Investment Income-4Yr'!D33+'All Other E&amp;G-4Yr'!D33</f>
        <v>0</v>
      </c>
      <c r="E33" s="51">
        <f>+'Tuition-4Yr'!E33+'State Appropriations-4Yr'!E33+'Local Appropriations-4Yr'!E33+'Fed Contracts Grnts-4Yr'!E33+'Other Contract Grnts-4Yr'!E33+'Investment Income-4Yr'!E33+'All Other E&amp;G-4Yr'!E33</f>
        <v>0</v>
      </c>
      <c r="F33" s="51">
        <f>+'Tuition-4Yr'!F33+'State Appropriations-4Yr'!F33+'Local Appropriations-4Yr'!F33+'Fed Contracts Grnts-4Yr'!F33+'Other Contract Grnts-4Yr'!F33+'Investment Income-4Yr'!F33+'All Other E&amp;G-4Yr'!F33</f>
        <v>0</v>
      </c>
      <c r="G33" s="51">
        <f>+'Tuition-4Yr'!G33+'State Appropriations-4Yr'!G33+'Local Appropriations-4Yr'!G33+'Fed Contracts Grnts-4Yr'!G33+'Other Contract Grnts-4Yr'!G33+'Investment Income-4Yr'!G33+'All Other E&amp;G-4Yr'!G33</f>
        <v>0</v>
      </c>
      <c r="H33" s="51">
        <f>+'Tuition-4Yr'!H33+'State Appropriations-4Yr'!H33+'Local Appropriations-4Yr'!H33+'Fed Contracts Grnts-4Yr'!H33+'Other Contract Grnts-4Yr'!H33+'Investment Income-4Yr'!H33+'All Other E&amp;G-4Yr'!H33</f>
        <v>0</v>
      </c>
      <c r="I33" s="51">
        <f>+'Tuition-4Yr'!I33+'State Appropriations-4Yr'!I33+'Local Appropriations-4Yr'!I33+'Fed Contracts Grnts-4Yr'!I33+'Other Contract Grnts-4Yr'!I33+'Investment Income-4Yr'!I33+'All Other E&amp;G-4Yr'!I33</f>
        <v>0</v>
      </c>
      <c r="J33" s="51">
        <f>+'Tuition-4Yr'!J33+'State Appropriations-4Yr'!J33+'Local Appropriations-4Yr'!J33+'Fed Contracts Grnts-4Yr'!J33+'Other Contract Grnts-4Yr'!J33+'Investment Income-4Yr'!J33+'All Other E&amp;G-4Yr'!J33</f>
        <v>706673.53200000001</v>
      </c>
      <c r="K33" s="51">
        <f>+'Tuition-4Yr'!K33+'State Appropriations-4Yr'!K33+'Local Appropriations-4Yr'!K33+'Fed Contracts Grnts-4Yr'!K33+'Other Contract Grnts-4Yr'!K33+'Investment Income-4Yr'!K33+'All Other E&amp;G-4Yr'!K33</f>
        <v>0</v>
      </c>
      <c r="L33" s="51">
        <f>+'Tuition-4Yr'!L33+'State Appropriations-4Yr'!L33+'Local Appropriations-4Yr'!L33+'Fed Contracts Grnts-4Yr'!L33+'Other Contract Grnts-4Yr'!L33+'Investment Income-4Yr'!L33+'All Other E&amp;G-4Yr'!L33</f>
        <v>0</v>
      </c>
      <c r="M33" s="51">
        <f>+'Tuition-4Yr'!M33+'State Appropriations-4Yr'!M33+'Local Appropriations-4Yr'!M33+'Fed Contracts Grnts-4Yr'!M33+'Other Contract Grnts-4Yr'!M33+'Investment Income-4Yr'!M33+'All Other E&amp;G-4Yr'!M33</f>
        <v>793843.18</v>
      </c>
      <c r="N33" s="51">
        <f>+'Tuition-4Yr'!N33+'State Appropriations-4Yr'!N33+'Local Appropriations-4Yr'!N33+'Fed Contracts Grnts-4Yr'!N33+'Other Contract Grnts-4Yr'!N33+'Investment Income-4Yr'!N33+'All Other E&amp;G-4Yr'!N33</f>
        <v>0</v>
      </c>
      <c r="O33" s="51">
        <f>+'Tuition-4Yr'!O33+'State Appropriations-4Yr'!O33+'Local Appropriations-4Yr'!O33+'Fed Contracts Grnts-4Yr'!O33+'Other Contract Grnts-4Yr'!O33+'Investment Income-4Yr'!O33+'All Other E&amp;G-4Yr'!O33</f>
        <v>940614.19431999989</v>
      </c>
      <c r="P33" s="51">
        <f>+'Tuition-4Yr'!P33+'State Appropriations-4Yr'!P33+'Local Appropriations-4Yr'!P33+'Fed Contracts Grnts-4Yr'!P33+'Other Contract Grnts-4Yr'!P33+'Investment Income-4Yr'!P33+'All Other E&amp;G-4Yr'!P33</f>
        <v>0</v>
      </c>
      <c r="Q33" s="51">
        <f>+'Tuition-4Yr'!Q33+'State Appropriations-4Yr'!Q33+'Local Appropriations-4Yr'!Q33+'Fed Contracts Grnts-4Yr'!Q33+'Other Contract Grnts-4Yr'!Q33+'Investment Income-4Yr'!Q33+'All Other E&amp;G-4Yr'!Q33</f>
        <v>0</v>
      </c>
      <c r="R33" s="51">
        <f>+'Tuition-4Yr'!R33+'State Appropriations-4Yr'!R33+'Local Appropriations-4Yr'!R33+'Fed Contracts Grnts-4Yr'!R33+'Other Contract Grnts-4Yr'!R33+'Investment Income-4Yr'!R33+'All Other E&amp;G-4Yr'!R33</f>
        <v>1094147.7039999999</v>
      </c>
      <c r="S33" s="51">
        <f>+'Tuition-4Yr'!S33+'State Appropriations-4Yr'!S33+'Local Appropriations-4Yr'!S33+'Fed Contracts Grnts-4Yr'!S33+'Other Contract Grnts-4Yr'!S33+'Investment Income-4Yr'!S33+'All Other E&amp;G-4Yr'!S33</f>
        <v>1091128.9620000001</v>
      </c>
      <c r="T33" s="51">
        <f>+'Tuition-4Yr'!T33+'State Appropriations-4Yr'!T33+'Local Appropriations-4Yr'!T33+'Fed Contracts Grnts-4Yr'!T33+'Other Contract Grnts-4Yr'!T33+'Investment Income-4Yr'!T33+'All Other E&amp;G-4Yr'!T33</f>
        <v>1166687.2379999999</v>
      </c>
      <c r="U33" s="51">
        <f>+'Tuition-4Yr'!U33+'State Appropriations-4Yr'!U33+'Local Appropriations-4Yr'!U33+'Fed Contracts Grnts-4Yr'!U33+'Other Contract Grnts-4Yr'!U33+'Investment Income-4Yr'!U33+'All Other E&amp;G-4Yr'!U33</f>
        <v>1248177.9980000004</v>
      </c>
      <c r="V33" s="51">
        <f>+'Tuition-4Yr'!V33+'State Appropriations-4Yr'!V33+'Local Appropriations-4Yr'!V33+'Fed Contracts Grnts-4Yr'!V33+'Other Contract Grnts-4Yr'!V33+'Investment Income-4Yr'!V33+'All Other E&amp;G-4Yr'!V33</f>
        <v>1326240.3729999999</v>
      </c>
      <c r="W33" s="51">
        <f>+'Tuition-4Yr'!W33+'State Appropriations-4Yr'!W33+'Local Appropriations-4Yr'!W33+'Fed Contracts Grnts-4Yr'!W33+'Other Contract Grnts-4Yr'!W33+'Investment Income-4Yr'!W33+'All Other E&amp;G-4Yr'!W33</f>
        <v>1461411.298</v>
      </c>
      <c r="X33" s="51">
        <f>+'Tuition-4Yr'!X33+'State Appropriations-4Yr'!X33+'Local Appropriations-4Yr'!X33+'Fed Contracts Grnts-4Yr'!X33+'Other Contract Grnts-4Yr'!X33+'Investment Income-4Yr'!X33+'All Other E&amp;G-4Yr'!X33</f>
        <v>1527424.3190000001</v>
      </c>
      <c r="Y33" s="51">
        <f>+'Tuition-4Yr'!Y33+'State Appropriations-4Yr'!Y33+'Local Appropriations-4Yr'!Y33+'Fed Contracts Grnts-4Yr'!Y33+'Other Contract Grnts-4Yr'!Y33+'Investment Income-4Yr'!Y33+'All Other E&amp;G-4Yr'!Y33</f>
        <v>1654289.9580000001</v>
      </c>
      <c r="Z33" s="51">
        <f>+'Tuition-4Yr'!Z33+'State Appropriations-4Yr'!Z33+'Local Appropriations-4Yr'!Z33+'Fed Contracts Grnts-4Yr'!Z33+'Other Contract Grnts-4Yr'!Z33+'Investment Income-4Yr'!Z33+'All Other E&amp;G-4Yr'!Z33</f>
        <v>1728677.0019999999</v>
      </c>
      <c r="AA33" s="51">
        <f>+'Tuition-4Yr'!AA33+'State Appropriations-4Yr'!AA33+'Local Appropriations-4Yr'!AA33+'Fed Contracts Grnts-4Yr'!AA33+'Other Contract Grnts-4Yr'!AA33+'Investment Income-4Yr'!AA33+'All Other E&amp;G-4Yr'!AA33</f>
        <v>1631042.4680000001</v>
      </c>
      <c r="AB33" s="51">
        <f>+'Tuition-4Yr'!AB33+'State Appropriations-4Yr'!AB33+'Local Appropriations-4Yr'!AB33+'Fed Contracts Grnts-4Yr'!AB33+'Other Contract Grnts-4Yr'!AB33+'Investment Income-4Yr'!AB33+'All Other E&amp;G-4Yr'!AB33</f>
        <v>1858112.5409999997</v>
      </c>
      <c r="AC33" s="51">
        <f>+'Tuition-4Yr'!AC33+'State Appropriations-4Yr'!AC33+'Local Appropriations-4Yr'!AC33+'Fed Contracts Grnts-4Yr'!AC33+'Other Contract Grnts-4Yr'!AC33+'Investment Income-4Yr'!AC33+'All Other E&amp;G-4Yr'!AC33</f>
        <v>2004660</v>
      </c>
      <c r="AD33" s="51">
        <f>+'Tuition-4Yr'!AD33+'State Appropriations-4Yr'!AD33+'Local Appropriations-4Yr'!AD33+'Fed Contracts Grnts-4Yr'!AD33+'Other Contract Grnts-4Yr'!AD33+'Investment Income-4Yr'!AD33+'All Other E&amp;G-4Yr'!AD33</f>
        <v>1855707.2030000002</v>
      </c>
      <c r="AE33" s="51">
        <f>+'Tuition-4Yr'!AE33+'State Appropriations-4Yr'!AE33+'Local Appropriations-4Yr'!AE33+'Fed Contracts Grnts-4Yr'!AE33+'Other Contract Grnts-4Yr'!AE33+'Investment Income-4Yr'!AE33+'All Other E&amp;G-4Yr'!AE33</f>
        <v>1940743.504</v>
      </c>
      <c r="AF33" s="51">
        <f>+'Tuition-4Yr'!AF33+'State Appropriations-4Yr'!AF33+'Local Appropriations-4Yr'!AF33+'Fed Contracts Grnts-4Yr'!AF33+'Other Contract Grnts-4Yr'!AF33+'Investment Income-4Yr'!AF33+'All Other E&amp;G-4Yr'!AF33</f>
        <v>2033069.1089999997</v>
      </c>
      <c r="AG33" s="51">
        <f>+'Tuition-4Yr'!AG33+'State Appropriations-4Yr'!AG33+'Local Appropriations-4Yr'!AG33+'Fed Contracts Grnts-4Yr'!AG33+'Other Contract Grnts-4Yr'!AG33+'Investment Income-4Yr'!AG33+'All Other E&amp;G-4Yr'!AG33</f>
        <v>1998611.33</v>
      </c>
      <c r="AH33" s="51">
        <f>+'Tuition-4Yr'!AH33+'State Appropriations-4Yr'!AH33+'Local Appropriations-4Yr'!AH33+'Fed Contracts Grnts-4Yr'!AH33+'Other Contract Grnts-4Yr'!AH33+'Investment Income-4Yr'!AH33+'All Other E&amp;G-4Yr'!AH33</f>
        <v>2012299.4820000001</v>
      </c>
      <c r="AI33" s="51">
        <f>+'Tuition-4Yr'!AI33+'State Appropriations-4Yr'!AI33+'Local Appropriations-4Yr'!AI33+'Fed Contracts Grnts-4Yr'!AI33+'Other Contract Grnts-4Yr'!AI33+'Investment Income-4Yr'!AI33+'All Other E&amp;G-4Yr'!AI33</f>
        <v>1939973.6010000003</v>
      </c>
      <c r="AJ33" s="51">
        <f>+'Tuition-4Yr'!AJ33+'State Appropriations-4Yr'!AJ33+'Local Appropriations-4Yr'!AJ33+'Fed Contracts Grnts-4Yr'!AJ33+'Other Contract Grnts-4Yr'!AJ33+'Investment Income-4Yr'!AJ33+'All Other E&amp;G-4Yr'!AJ33</f>
        <v>0</v>
      </c>
      <c r="AK33" s="51">
        <f>+'Tuition-4Yr'!AK33+'State Appropriations-4Yr'!AK33+'Local Appropriations-4Yr'!AK33+'Fed Contracts Grnts-4Yr'!AK33+'Other Contract Grnts-4Yr'!AK33+'Investment Income-4Yr'!AK33+'All Other E&amp;G-4Yr'!AK33</f>
        <v>2027805.6430000004</v>
      </c>
      <c r="AL33" s="51">
        <f>+'Tuition-4Yr'!AL33+'State Appropriations-4Yr'!AL33+'Local Appropriations-4Yr'!AL33+'Fed Contracts Grnts-4Yr'!AL33+'Other Contract Grnts-4Yr'!AL33+'Investment Income-4Yr'!AL33+'All Other E&amp;G-4Yr'!AL33</f>
        <v>476321457.44499999</v>
      </c>
    </row>
    <row r="34" spans="1:38" ht="12.75" customHeight="1">
      <c r="A34" s="1" t="s">
        <v>48</v>
      </c>
      <c r="B34" s="51">
        <f>+'Tuition-4Yr'!B34+'State Appropriations-4Yr'!B34+'Local Appropriations-4Yr'!B34+'Fed Contracts Grnts-4Yr'!B34+'Other Contract Grnts-4Yr'!B34+'Investment Income-4Yr'!B34+'All Other E&amp;G-4Yr'!B34</f>
        <v>0</v>
      </c>
      <c r="C34" s="51">
        <f>+'Tuition-4Yr'!C34+'State Appropriations-4Yr'!C34+'Local Appropriations-4Yr'!C34+'Fed Contracts Grnts-4Yr'!C34+'Other Contract Grnts-4Yr'!C34+'Investment Income-4Yr'!C34+'All Other E&amp;G-4Yr'!C34</f>
        <v>0</v>
      </c>
      <c r="D34" s="51">
        <f>+'Tuition-4Yr'!D34+'State Appropriations-4Yr'!D34+'Local Appropriations-4Yr'!D34+'Fed Contracts Grnts-4Yr'!D34+'Other Contract Grnts-4Yr'!D34+'Investment Income-4Yr'!D34+'All Other E&amp;G-4Yr'!D34</f>
        <v>0</v>
      </c>
      <c r="E34" s="51">
        <f>+'Tuition-4Yr'!E34+'State Appropriations-4Yr'!E34+'Local Appropriations-4Yr'!E34+'Fed Contracts Grnts-4Yr'!E34+'Other Contract Grnts-4Yr'!E34+'Investment Income-4Yr'!E34+'All Other E&amp;G-4Yr'!E34</f>
        <v>0</v>
      </c>
      <c r="F34" s="51">
        <f>+'Tuition-4Yr'!F34+'State Appropriations-4Yr'!F34+'Local Appropriations-4Yr'!F34+'Fed Contracts Grnts-4Yr'!F34+'Other Contract Grnts-4Yr'!F34+'Investment Income-4Yr'!F34+'All Other E&amp;G-4Yr'!F34</f>
        <v>0</v>
      </c>
      <c r="G34" s="51">
        <f>+'Tuition-4Yr'!G34+'State Appropriations-4Yr'!G34+'Local Appropriations-4Yr'!G34+'Fed Contracts Grnts-4Yr'!G34+'Other Contract Grnts-4Yr'!G34+'Investment Income-4Yr'!G34+'All Other E&amp;G-4Yr'!G34</f>
        <v>0</v>
      </c>
      <c r="H34" s="51">
        <f>+'Tuition-4Yr'!H34+'State Appropriations-4Yr'!H34+'Local Appropriations-4Yr'!H34+'Fed Contracts Grnts-4Yr'!H34+'Other Contract Grnts-4Yr'!H34+'Investment Income-4Yr'!H34+'All Other E&amp;G-4Yr'!H34</f>
        <v>0</v>
      </c>
      <c r="I34" s="51">
        <f>+'Tuition-4Yr'!I34+'State Appropriations-4Yr'!I34+'Local Appropriations-4Yr'!I34+'Fed Contracts Grnts-4Yr'!I34+'Other Contract Grnts-4Yr'!I34+'Investment Income-4Yr'!I34+'All Other E&amp;G-4Yr'!I34</f>
        <v>0</v>
      </c>
      <c r="J34" s="51">
        <f>+'Tuition-4Yr'!J34+'State Appropriations-4Yr'!J34+'Local Appropriations-4Yr'!J34+'Fed Contracts Grnts-4Yr'!J34+'Other Contract Grnts-4Yr'!J34+'Investment Income-4Yr'!J34+'All Other E&amp;G-4Yr'!J34</f>
        <v>800827.02499999991</v>
      </c>
      <c r="K34" s="51">
        <f>+'Tuition-4Yr'!K34+'State Appropriations-4Yr'!K34+'Local Appropriations-4Yr'!K34+'Fed Contracts Grnts-4Yr'!K34+'Other Contract Grnts-4Yr'!K34+'Investment Income-4Yr'!K34+'All Other E&amp;G-4Yr'!K34</f>
        <v>0</v>
      </c>
      <c r="L34" s="51">
        <f>+'Tuition-4Yr'!L34+'State Appropriations-4Yr'!L34+'Local Appropriations-4Yr'!L34+'Fed Contracts Grnts-4Yr'!L34+'Other Contract Grnts-4Yr'!L34+'Investment Income-4Yr'!L34+'All Other E&amp;G-4Yr'!L34</f>
        <v>0</v>
      </c>
      <c r="M34" s="51">
        <f>+'Tuition-4Yr'!M34+'State Appropriations-4Yr'!M34+'Local Appropriations-4Yr'!M34+'Fed Contracts Grnts-4Yr'!M34+'Other Contract Grnts-4Yr'!M34+'Investment Income-4Yr'!M34+'All Other E&amp;G-4Yr'!M34</f>
        <v>936140.29899999988</v>
      </c>
      <c r="N34" s="51">
        <f>+'Tuition-4Yr'!N34+'State Appropriations-4Yr'!N34+'Local Appropriations-4Yr'!N34+'Fed Contracts Grnts-4Yr'!N34+'Other Contract Grnts-4Yr'!N34+'Investment Income-4Yr'!N34+'All Other E&amp;G-4Yr'!N34</f>
        <v>0</v>
      </c>
      <c r="O34" s="51">
        <f>+'Tuition-4Yr'!O34+'State Appropriations-4Yr'!O34+'Local Appropriations-4Yr'!O34+'Fed Contracts Grnts-4Yr'!O34+'Other Contract Grnts-4Yr'!O34+'Investment Income-4Yr'!O34+'All Other E&amp;G-4Yr'!O34</f>
        <v>1070804.1639999999</v>
      </c>
      <c r="P34" s="51">
        <f>+'Tuition-4Yr'!P34+'State Appropriations-4Yr'!P34+'Local Appropriations-4Yr'!P34+'Fed Contracts Grnts-4Yr'!P34+'Other Contract Grnts-4Yr'!P34+'Investment Income-4Yr'!P34+'All Other E&amp;G-4Yr'!P34</f>
        <v>0</v>
      </c>
      <c r="Q34" s="51">
        <f>+'Tuition-4Yr'!Q34+'State Appropriations-4Yr'!Q34+'Local Appropriations-4Yr'!Q34+'Fed Contracts Grnts-4Yr'!Q34+'Other Contract Grnts-4Yr'!Q34+'Investment Income-4Yr'!Q34+'All Other E&amp;G-4Yr'!Q34</f>
        <v>0</v>
      </c>
      <c r="R34" s="51">
        <f>+'Tuition-4Yr'!R34+'State Appropriations-4Yr'!R34+'Local Appropriations-4Yr'!R34+'Fed Contracts Grnts-4Yr'!R34+'Other Contract Grnts-4Yr'!R34+'Investment Income-4Yr'!R34+'All Other E&amp;G-4Yr'!R34</f>
        <v>1371811.8020000001</v>
      </c>
      <c r="S34" s="51">
        <f>+'Tuition-4Yr'!S34+'State Appropriations-4Yr'!S34+'Local Appropriations-4Yr'!S34+'Fed Contracts Grnts-4Yr'!S34+'Other Contract Grnts-4Yr'!S34+'Investment Income-4Yr'!S34+'All Other E&amp;G-4Yr'!S34</f>
        <v>1470766.7410000002</v>
      </c>
      <c r="T34" s="51">
        <f>+'Tuition-4Yr'!T34+'State Appropriations-4Yr'!T34+'Local Appropriations-4Yr'!T34+'Fed Contracts Grnts-4Yr'!T34+'Other Contract Grnts-4Yr'!T34+'Investment Income-4Yr'!T34+'All Other E&amp;G-4Yr'!T34</f>
        <v>1770621.9270000001</v>
      </c>
      <c r="U34" s="51">
        <f>+'Tuition-4Yr'!U34+'State Appropriations-4Yr'!U34+'Local Appropriations-4Yr'!U34+'Fed Contracts Grnts-4Yr'!U34+'Other Contract Grnts-4Yr'!U34+'Investment Income-4Yr'!U34+'All Other E&amp;G-4Yr'!U34</f>
        <v>1786280.3729999999</v>
      </c>
      <c r="V34" s="51">
        <f>+'Tuition-4Yr'!V34+'State Appropriations-4Yr'!V34+'Local Appropriations-4Yr'!V34+'Fed Contracts Grnts-4Yr'!V34+'Other Contract Grnts-4Yr'!V34+'Investment Income-4Yr'!V34+'All Other E&amp;G-4Yr'!V34</f>
        <v>1796700.3330000001</v>
      </c>
      <c r="W34" s="51">
        <f>+'Tuition-4Yr'!W34+'State Appropriations-4Yr'!W34+'Local Appropriations-4Yr'!W34+'Fed Contracts Grnts-4Yr'!W34+'Other Contract Grnts-4Yr'!W34+'Investment Income-4Yr'!W34+'All Other E&amp;G-4Yr'!W34</f>
        <v>2022075.06</v>
      </c>
      <c r="X34" s="51">
        <f>+'Tuition-4Yr'!X34+'State Appropriations-4Yr'!X34+'Local Appropriations-4Yr'!X34+'Fed Contracts Grnts-4Yr'!X34+'Other Contract Grnts-4Yr'!X34+'Investment Income-4Yr'!X34+'All Other E&amp;G-4Yr'!X34</f>
        <v>2051916.371</v>
      </c>
      <c r="Y34" s="51">
        <f>+'Tuition-4Yr'!Y34+'State Appropriations-4Yr'!Y34+'Local Appropriations-4Yr'!Y34+'Fed Contracts Grnts-4Yr'!Y34+'Other Contract Grnts-4Yr'!Y34+'Investment Income-4Yr'!Y34+'All Other E&amp;G-4Yr'!Y34</f>
        <v>2164957.2539999997</v>
      </c>
      <c r="Z34" s="51">
        <f>+'Tuition-4Yr'!Z34+'State Appropriations-4Yr'!Z34+'Local Appropriations-4Yr'!Z34+'Fed Contracts Grnts-4Yr'!Z34+'Other Contract Grnts-4Yr'!Z34+'Investment Income-4Yr'!Z34+'All Other E&amp;G-4Yr'!Z34</f>
        <v>2112240.0520000001</v>
      </c>
      <c r="AA34" s="51">
        <f>+'Tuition-4Yr'!AA34+'State Appropriations-4Yr'!AA34+'Local Appropriations-4Yr'!AA34+'Fed Contracts Grnts-4Yr'!AA34+'Other Contract Grnts-4Yr'!AA34+'Investment Income-4Yr'!AA34+'All Other E&amp;G-4Yr'!AA34</f>
        <v>1603832.4520000003</v>
      </c>
      <c r="AB34" s="51">
        <f>+'Tuition-4Yr'!AB34+'State Appropriations-4Yr'!AB34+'Local Appropriations-4Yr'!AB34+'Fed Contracts Grnts-4Yr'!AB34+'Other Contract Grnts-4Yr'!AB34+'Investment Income-4Yr'!AB34+'All Other E&amp;G-4Yr'!AB34</f>
        <v>2540240.7160000005</v>
      </c>
      <c r="AC34" s="51">
        <f>+'Tuition-4Yr'!AC34+'State Appropriations-4Yr'!AC34+'Local Appropriations-4Yr'!AC34+'Fed Contracts Grnts-4Yr'!AC34+'Other Contract Grnts-4Yr'!AC34+'Investment Income-4Yr'!AC34+'All Other E&amp;G-4Yr'!AC34</f>
        <v>2733871</v>
      </c>
      <c r="AD34" s="51">
        <f>+'Tuition-4Yr'!AD34+'State Appropriations-4Yr'!AD34+'Local Appropriations-4Yr'!AD34+'Fed Contracts Grnts-4Yr'!AD34+'Other Contract Grnts-4Yr'!AD34+'Investment Income-4Yr'!AD34+'All Other E&amp;G-4Yr'!AD34</f>
        <v>2652235.1070000003</v>
      </c>
      <c r="AE34" s="51">
        <f>+'Tuition-4Yr'!AE34+'State Appropriations-4Yr'!AE34+'Local Appropriations-4Yr'!AE34+'Fed Contracts Grnts-4Yr'!AE34+'Other Contract Grnts-4Yr'!AE34+'Investment Income-4Yr'!AE34+'All Other E&amp;G-4Yr'!AE34</f>
        <v>2867178.1130000004</v>
      </c>
      <c r="AF34" s="51">
        <f>+'Tuition-4Yr'!AF34+'State Appropriations-4Yr'!AF34+'Local Appropriations-4Yr'!AF34+'Fed Contracts Grnts-4Yr'!AF34+'Other Contract Grnts-4Yr'!AF34+'Investment Income-4Yr'!AF34+'All Other E&amp;G-4Yr'!AF34</f>
        <v>2940257.4560000002</v>
      </c>
      <c r="AG34" s="51">
        <f>+'Tuition-4Yr'!AG34+'State Appropriations-4Yr'!AG34+'Local Appropriations-4Yr'!AG34+'Fed Contracts Grnts-4Yr'!AG34+'Other Contract Grnts-4Yr'!AG34+'Investment Income-4Yr'!AG34+'All Other E&amp;G-4Yr'!AG34</f>
        <v>3482457.8629999999</v>
      </c>
      <c r="AH34" s="51">
        <f>+'Tuition-4Yr'!AH34+'State Appropriations-4Yr'!AH34+'Local Appropriations-4Yr'!AH34+'Fed Contracts Grnts-4Yr'!AH34+'Other Contract Grnts-4Yr'!AH34+'Investment Income-4Yr'!AH34+'All Other E&amp;G-4Yr'!AH34</f>
        <v>3592546.7680000002</v>
      </c>
      <c r="AI34" s="51">
        <f>+'Tuition-4Yr'!AI34+'State Appropriations-4Yr'!AI34+'Local Appropriations-4Yr'!AI34+'Fed Contracts Grnts-4Yr'!AI34+'Other Contract Grnts-4Yr'!AI34+'Investment Income-4Yr'!AI34+'All Other E&amp;G-4Yr'!AI34</f>
        <v>3334591.9009999996</v>
      </c>
      <c r="AJ34" s="51">
        <f>+'Tuition-4Yr'!AJ34+'State Appropriations-4Yr'!AJ34+'Local Appropriations-4Yr'!AJ34+'Fed Contracts Grnts-4Yr'!AJ34+'Other Contract Grnts-4Yr'!AJ34+'Investment Income-4Yr'!AJ34+'All Other E&amp;G-4Yr'!AJ34</f>
        <v>0</v>
      </c>
      <c r="AK34" s="51">
        <f>+'Tuition-4Yr'!AK34+'State Appropriations-4Yr'!AK34+'Local Appropriations-4Yr'!AK34+'Fed Contracts Grnts-4Yr'!AK34+'Other Contract Grnts-4Yr'!AK34+'Investment Income-4Yr'!AK34+'All Other E&amp;G-4Yr'!AK34</f>
        <v>3852489.966</v>
      </c>
      <c r="AL34" s="51">
        <f>+'Tuition-4Yr'!AL34+'State Appropriations-4Yr'!AL34+'Local Appropriations-4Yr'!AL34+'Fed Contracts Grnts-4Yr'!AL34+'Other Contract Grnts-4Yr'!AL34+'Investment Income-4Yr'!AL34+'All Other E&amp;G-4Yr'!AL34</f>
        <v>937993213.75999999</v>
      </c>
    </row>
    <row r="35" spans="1:38" ht="12.75" customHeight="1">
      <c r="A35" s="1" t="s">
        <v>49</v>
      </c>
      <c r="B35" s="51">
        <f>+'Tuition-4Yr'!B35+'State Appropriations-4Yr'!B35+'Local Appropriations-4Yr'!B35+'Fed Contracts Grnts-4Yr'!B35+'Other Contract Grnts-4Yr'!B35+'Investment Income-4Yr'!B35+'All Other E&amp;G-4Yr'!B35</f>
        <v>0</v>
      </c>
      <c r="C35" s="51">
        <f>+'Tuition-4Yr'!C35+'State Appropriations-4Yr'!C35+'Local Appropriations-4Yr'!C35+'Fed Contracts Grnts-4Yr'!C35+'Other Contract Grnts-4Yr'!C35+'Investment Income-4Yr'!C35+'All Other E&amp;G-4Yr'!C35</f>
        <v>0</v>
      </c>
      <c r="D35" s="51">
        <f>+'Tuition-4Yr'!D35+'State Appropriations-4Yr'!D35+'Local Appropriations-4Yr'!D35+'Fed Contracts Grnts-4Yr'!D35+'Other Contract Grnts-4Yr'!D35+'Investment Income-4Yr'!D35+'All Other E&amp;G-4Yr'!D35</f>
        <v>0</v>
      </c>
      <c r="E35" s="51">
        <f>+'Tuition-4Yr'!E35+'State Appropriations-4Yr'!E35+'Local Appropriations-4Yr'!E35+'Fed Contracts Grnts-4Yr'!E35+'Other Contract Grnts-4Yr'!E35+'Investment Income-4Yr'!E35+'All Other E&amp;G-4Yr'!E35</f>
        <v>0</v>
      </c>
      <c r="F35" s="51">
        <f>+'Tuition-4Yr'!F35+'State Appropriations-4Yr'!F35+'Local Appropriations-4Yr'!F35+'Fed Contracts Grnts-4Yr'!F35+'Other Contract Grnts-4Yr'!F35+'Investment Income-4Yr'!F35+'All Other E&amp;G-4Yr'!F35</f>
        <v>0</v>
      </c>
      <c r="G35" s="51">
        <f>+'Tuition-4Yr'!G35+'State Appropriations-4Yr'!G35+'Local Appropriations-4Yr'!G35+'Fed Contracts Grnts-4Yr'!G35+'Other Contract Grnts-4Yr'!G35+'Investment Income-4Yr'!G35+'All Other E&amp;G-4Yr'!G35</f>
        <v>0</v>
      </c>
      <c r="H35" s="51">
        <f>+'Tuition-4Yr'!H35+'State Appropriations-4Yr'!H35+'Local Appropriations-4Yr'!H35+'Fed Contracts Grnts-4Yr'!H35+'Other Contract Grnts-4Yr'!H35+'Investment Income-4Yr'!H35+'All Other E&amp;G-4Yr'!H35</f>
        <v>0</v>
      </c>
      <c r="I35" s="51">
        <f>+'Tuition-4Yr'!I35+'State Appropriations-4Yr'!I35+'Local Appropriations-4Yr'!I35+'Fed Contracts Grnts-4Yr'!I35+'Other Contract Grnts-4Yr'!I35+'Investment Income-4Yr'!I35+'All Other E&amp;G-4Yr'!I35</f>
        <v>0</v>
      </c>
      <c r="J35" s="51">
        <f>+'Tuition-4Yr'!J35+'State Appropriations-4Yr'!J35+'Local Appropriations-4Yr'!J35+'Fed Contracts Grnts-4Yr'!J35+'Other Contract Grnts-4Yr'!J35+'Investment Income-4Yr'!J35+'All Other E&amp;G-4Yr'!J35</f>
        <v>778974.66500000004</v>
      </c>
      <c r="K35" s="51">
        <f>+'Tuition-4Yr'!K35+'State Appropriations-4Yr'!K35+'Local Appropriations-4Yr'!K35+'Fed Contracts Grnts-4Yr'!K35+'Other Contract Grnts-4Yr'!K35+'Investment Income-4Yr'!K35+'All Other E&amp;G-4Yr'!K35</f>
        <v>0</v>
      </c>
      <c r="L35" s="51">
        <f>+'Tuition-4Yr'!L35+'State Appropriations-4Yr'!L35+'Local Appropriations-4Yr'!L35+'Fed Contracts Grnts-4Yr'!L35+'Other Contract Grnts-4Yr'!L35+'Investment Income-4Yr'!L35+'All Other E&amp;G-4Yr'!L35</f>
        <v>0</v>
      </c>
      <c r="M35" s="51">
        <f>+'Tuition-4Yr'!M35+'State Appropriations-4Yr'!M35+'Local Appropriations-4Yr'!M35+'Fed Contracts Grnts-4Yr'!M35+'Other Contract Grnts-4Yr'!M35+'Investment Income-4Yr'!M35+'All Other E&amp;G-4Yr'!M35</f>
        <v>948018.43199999991</v>
      </c>
      <c r="N35" s="51">
        <f>+'Tuition-4Yr'!N35+'State Appropriations-4Yr'!N35+'Local Appropriations-4Yr'!N35+'Fed Contracts Grnts-4Yr'!N35+'Other Contract Grnts-4Yr'!N35+'Investment Income-4Yr'!N35+'All Other E&amp;G-4Yr'!N35</f>
        <v>0</v>
      </c>
      <c r="O35" s="51">
        <f>+'Tuition-4Yr'!O35+'State Appropriations-4Yr'!O35+'Local Appropriations-4Yr'!O35+'Fed Contracts Grnts-4Yr'!O35+'Other Contract Grnts-4Yr'!O35+'Investment Income-4Yr'!O35+'All Other E&amp;G-4Yr'!O35</f>
        <v>1073113.1170000001</v>
      </c>
      <c r="P35" s="51">
        <f>+'Tuition-4Yr'!P35+'State Appropriations-4Yr'!P35+'Local Appropriations-4Yr'!P35+'Fed Contracts Grnts-4Yr'!P35+'Other Contract Grnts-4Yr'!P35+'Investment Income-4Yr'!P35+'All Other E&amp;G-4Yr'!P35</f>
        <v>0</v>
      </c>
      <c r="Q35" s="51">
        <f>+'Tuition-4Yr'!Q35+'State Appropriations-4Yr'!Q35+'Local Appropriations-4Yr'!Q35+'Fed Contracts Grnts-4Yr'!Q35+'Other Contract Grnts-4Yr'!Q35+'Investment Income-4Yr'!Q35+'All Other E&amp;G-4Yr'!Q35</f>
        <v>0</v>
      </c>
      <c r="R35" s="51">
        <f>+'Tuition-4Yr'!R35+'State Appropriations-4Yr'!R35+'Local Appropriations-4Yr'!R35+'Fed Contracts Grnts-4Yr'!R35+'Other Contract Grnts-4Yr'!R35+'Investment Income-4Yr'!R35+'All Other E&amp;G-4Yr'!R35</f>
        <v>1356331.9370000002</v>
      </c>
      <c r="S35" s="51">
        <f>+'Tuition-4Yr'!S35+'State Appropriations-4Yr'!S35+'Local Appropriations-4Yr'!S35+'Fed Contracts Grnts-4Yr'!S35+'Other Contract Grnts-4Yr'!S35+'Investment Income-4Yr'!S35+'All Other E&amp;G-4Yr'!S35</f>
        <v>1473378.5249999999</v>
      </c>
      <c r="T35" s="51">
        <f>+'Tuition-4Yr'!T35+'State Appropriations-4Yr'!T35+'Local Appropriations-4Yr'!T35+'Fed Contracts Grnts-4Yr'!T35+'Other Contract Grnts-4Yr'!T35+'Investment Income-4Yr'!T35+'All Other E&amp;G-4Yr'!T35</f>
        <v>1698289.31</v>
      </c>
      <c r="U35" s="51">
        <f>+'Tuition-4Yr'!U35+'State Appropriations-4Yr'!U35+'Local Appropriations-4Yr'!U35+'Fed Contracts Grnts-4Yr'!U35+'Other Contract Grnts-4Yr'!U35+'Investment Income-4Yr'!U35+'All Other E&amp;G-4Yr'!U35</f>
        <v>1744261.9110000001</v>
      </c>
      <c r="V35" s="51">
        <f>+'Tuition-4Yr'!V35+'State Appropriations-4Yr'!V35+'Local Appropriations-4Yr'!V35+'Fed Contracts Grnts-4Yr'!V35+'Other Contract Grnts-4Yr'!V35+'Investment Income-4Yr'!V35+'All Other E&amp;G-4Yr'!V35</f>
        <v>1735731.1310000001</v>
      </c>
      <c r="W35" s="51">
        <f>+'Tuition-4Yr'!W35+'State Appropriations-4Yr'!W35+'Local Appropriations-4Yr'!W35+'Fed Contracts Grnts-4Yr'!W35+'Other Contract Grnts-4Yr'!W35+'Investment Income-4Yr'!W35+'All Other E&amp;G-4Yr'!W35</f>
        <v>1970105.8890000002</v>
      </c>
      <c r="X35" s="51">
        <f>+'Tuition-4Yr'!X35+'State Appropriations-4Yr'!X35+'Local Appropriations-4Yr'!X35+'Fed Contracts Grnts-4Yr'!X35+'Other Contract Grnts-4Yr'!X35+'Investment Income-4Yr'!X35+'All Other E&amp;G-4Yr'!X35</f>
        <v>2060409.9539999999</v>
      </c>
      <c r="Y35" s="51">
        <f>+'Tuition-4Yr'!Y35+'State Appropriations-4Yr'!Y35+'Local Appropriations-4Yr'!Y35+'Fed Contracts Grnts-4Yr'!Y35+'Other Contract Grnts-4Yr'!Y35+'Investment Income-4Yr'!Y35+'All Other E&amp;G-4Yr'!Y35</f>
        <v>2291900.7369999997</v>
      </c>
      <c r="Z35" s="51">
        <f>+'Tuition-4Yr'!Z35+'State Appropriations-4Yr'!Z35+'Local Appropriations-4Yr'!Z35+'Fed Contracts Grnts-4Yr'!Z35+'Other Contract Grnts-4Yr'!Z35+'Investment Income-4Yr'!Z35+'All Other E&amp;G-4Yr'!Z35</f>
        <v>1804248.2119999998</v>
      </c>
      <c r="AA35" s="51">
        <f>+'Tuition-4Yr'!AA35+'State Appropriations-4Yr'!AA35+'Local Appropriations-4Yr'!AA35+'Fed Contracts Grnts-4Yr'!AA35+'Other Contract Grnts-4Yr'!AA35+'Investment Income-4Yr'!AA35+'All Other E&amp;G-4Yr'!AA35</f>
        <v>1790092.7470000002</v>
      </c>
      <c r="AB35" s="51">
        <f>+'Tuition-4Yr'!AB35+'State Appropriations-4Yr'!AB35+'Local Appropriations-4Yr'!AB35+'Fed Contracts Grnts-4Yr'!AB35+'Other Contract Grnts-4Yr'!AB35+'Investment Income-4Yr'!AB35+'All Other E&amp;G-4Yr'!AB35</f>
        <v>2281032.7590000001</v>
      </c>
      <c r="AC35" s="51">
        <f>+'Tuition-4Yr'!AC35+'State Appropriations-4Yr'!AC35+'Local Appropriations-4Yr'!AC35+'Fed Contracts Grnts-4Yr'!AC35+'Other Contract Grnts-4Yr'!AC35+'Investment Income-4Yr'!AC35+'All Other E&amp;G-4Yr'!AC35</f>
        <v>2572961</v>
      </c>
      <c r="AD35" s="51">
        <f>+'Tuition-4Yr'!AD35+'State Appropriations-4Yr'!AD35+'Local Appropriations-4Yr'!AD35+'Fed Contracts Grnts-4Yr'!AD35+'Other Contract Grnts-4Yr'!AD35+'Investment Income-4Yr'!AD35+'All Other E&amp;G-4Yr'!AD35</f>
        <v>2580612.0529999998</v>
      </c>
      <c r="AE35" s="51">
        <f>+'Tuition-4Yr'!AE35+'State Appropriations-4Yr'!AE35+'Local Appropriations-4Yr'!AE35+'Fed Contracts Grnts-4Yr'!AE35+'Other Contract Grnts-4Yr'!AE35+'Investment Income-4Yr'!AE35+'All Other E&amp;G-4Yr'!AE35</f>
        <v>2622290.4139999999</v>
      </c>
      <c r="AF35" s="51">
        <f>+'Tuition-4Yr'!AF35+'State Appropriations-4Yr'!AF35+'Local Appropriations-4Yr'!AF35+'Fed Contracts Grnts-4Yr'!AF35+'Other Contract Grnts-4Yr'!AF35+'Investment Income-4Yr'!AF35+'All Other E&amp;G-4Yr'!AF35</f>
        <v>2493310.0989999999</v>
      </c>
      <c r="AG35" s="51">
        <f>+'Tuition-4Yr'!AG35+'State Appropriations-4Yr'!AG35+'Local Appropriations-4Yr'!AG35+'Fed Contracts Grnts-4Yr'!AG35+'Other Contract Grnts-4Yr'!AG35+'Investment Income-4Yr'!AG35+'All Other E&amp;G-4Yr'!AG35</f>
        <v>2908807.7059999998</v>
      </c>
      <c r="AH35" s="51">
        <f>+'Tuition-4Yr'!AH35+'State Appropriations-4Yr'!AH35+'Local Appropriations-4Yr'!AH35+'Fed Contracts Grnts-4Yr'!AH35+'Other Contract Grnts-4Yr'!AH35+'Investment Income-4Yr'!AH35+'All Other E&amp;G-4Yr'!AH35</f>
        <v>3133230.8260000004</v>
      </c>
      <c r="AI35" s="51">
        <f>+'Tuition-4Yr'!AI35+'State Appropriations-4Yr'!AI35+'Local Appropriations-4Yr'!AI35+'Fed Contracts Grnts-4Yr'!AI35+'Other Contract Grnts-4Yr'!AI35+'Investment Income-4Yr'!AI35+'All Other E&amp;G-4Yr'!AI35</f>
        <v>3470943.1429999997</v>
      </c>
      <c r="AJ35" s="51">
        <f>+'Tuition-4Yr'!AJ35+'State Appropriations-4Yr'!AJ35+'Local Appropriations-4Yr'!AJ35+'Fed Contracts Grnts-4Yr'!AJ35+'Other Contract Grnts-4Yr'!AJ35+'Investment Income-4Yr'!AJ35+'All Other E&amp;G-4Yr'!AJ35</f>
        <v>0</v>
      </c>
      <c r="AK35" s="51">
        <f>+'Tuition-4Yr'!AK35+'State Appropriations-4Yr'!AK35+'Local Appropriations-4Yr'!AK35+'Fed Contracts Grnts-4Yr'!AK35+'Other Contract Grnts-4Yr'!AK35+'Investment Income-4Yr'!AK35+'All Other E&amp;G-4Yr'!AK35</f>
        <v>4141221.8739999998</v>
      </c>
      <c r="AL35" s="51">
        <f>+'Tuition-4Yr'!AL35+'State Appropriations-4Yr'!AL35+'Local Appropriations-4Yr'!AL35+'Fed Contracts Grnts-4Yr'!AL35+'Other Contract Grnts-4Yr'!AL35+'Investment Income-4Yr'!AL35+'All Other E&amp;G-4Yr'!AL35</f>
        <v>846076012.13099992</v>
      </c>
    </row>
    <row r="36" spans="1:38" ht="12.75" customHeight="1">
      <c r="A36" s="1" t="s">
        <v>50</v>
      </c>
      <c r="B36" s="51">
        <f>+'Tuition-4Yr'!B36+'State Appropriations-4Yr'!B36+'Local Appropriations-4Yr'!B36+'Fed Contracts Grnts-4Yr'!B36+'Other Contract Grnts-4Yr'!B36+'Investment Income-4Yr'!B36+'All Other E&amp;G-4Yr'!B36</f>
        <v>0</v>
      </c>
      <c r="C36" s="51">
        <f>+'Tuition-4Yr'!C36+'State Appropriations-4Yr'!C36+'Local Appropriations-4Yr'!C36+'Fed Contracts Grnts-4Yr'!C36+'Other Contract Grnts-4Yr'!C36+'Investment Income-4Yr'!C36+'All Other E&amp;G-4Yr'!C36</f>
        <v>0</v>
      </c>
      <c r="D36" s="51">
        <f>+'Tuition-4Yr'!D36+'State Appropriations-4Yr'!D36+'Local Appropriations-4Yr'!D36+'Fed Contracts Grnts-4Yr'!D36+'Other Contract Grnts-4Yr'!D36+'Investment Income-4Yr'!D36+'All Other E&amp;G-4Yr'!D36</f>
        <v>0</v>
      </c>
      <c r="E36" s="51">
        <f>+'Tuition-4Yr'!E36+'State Appropriations-4Yr'!E36+'Local Appropriations-4Yr'!E36+'Fed Contracts Grnts-4Yr'!E36+'Other Contract Grnts-4Yr'!E36+'Investment Income-4Yr'!E36+'All Other E&amp;G-4Yr'!E36</f>
        <v>0</v>
      </c>
      <c r="F36" s="51">
        <f>+'Tuition-4Yr'!F36+'State Appropriations-4Yr'!F36+'Local Appropriations-4Yr'!F36+'Fed Contracts Grnts-4Yr'!F36+'Other Contract Grnts-4Yr'!F36+'Investment Income-4Yr'!F36+'All Other E&amp;G-4Yr'!F36</f>
        <v>0</v>
      </c>
      <c r="G36" s="51">
        <f>+'Tuition-4Yr'!G36+'State Appropriations-4Yr'!G36+'Local Appropriations-4Yr'!G36+'Fed Contracts Grnts-4Yr'!G36+'Other Contract Grnts-4Yr'!G36+'Investment Income-4Yr'!G36+'All Other E&amp;G-4Yr'!G36</f>
        <v>0</v>
      </c>
      <c r="H36" s="51">
        <f>+'Tuition-4Yr'!H36+'State Appropriations-4Yr'!H36+'Local Appropriations-4Yr'!H36+'Fed Contracts Grnts-4Yr'!H36+'Other Contract Grnts-4Yr'!H36+'Investment Income-4Yr'!H36+'All Other E&amp;G-4Yr'!H36</f>
        <v>0</v>
      </c>
      <c r="I36" s="51">
        <f>+'Tuition-4Yr'!I36+'State Appropriations-4Yr'!I36+'Local Appropriations-4Yr'!I36+'Fed Contracts Grnts-4Yr'!I36+'Other Contract Grnts-4Yr'!I36+'Investment Income-4Yr'!I36+'All Other E&amp;G-4Yr'!I36</f>
        <v>0</v>
      </c>
      <c r="J36" s="51">
        <f>+'Tuition-4Yr'!J36+'State Appropriations-4Yr'!J36+'Local Appropriations-4Yr'!J36+'Fed Contracts Grnts-4Yr'!J36+'Other Contract Grnts-4Yr'!J36+'Investment Income-4Yr'!J36+'All Other E&amp;G-4Yr'!J36</f>
        <v>1449324.959</v>
      </c>
      <c r="K36" s="51">
        <f>+'Tuition-4Yr'!K36+'State Appropriations-4Yr'!K36+'Local Appropriations-4Yr'!K36+'Fed Contracts Grnts-4Yr'!K36+'Other Contract Grnts-4Yr'!K36+'Investment Income-4Yr'!K36+'All Other E&amp;G-4Yr'!K36</f>
        <v>0</v>
      </c>
      <c r="L36" s="51">
        <f>+'Tuition-4Yr'!L36+'State Appropriations-4Yr'!L36+'Local Appropriations-4Yr'!L36+'Fed Contracts Grnts-4Yr'!L36+'Other Contract Grnts-4Yr'!L36+'Investment Income-4Yr'!L36+'All Other E&amp;G-4Yr'!L36</f>
        <v>0</v>
      </c>
      <c r="M36" s="51">
        <f>+'Tuition-4Yr'!M36+'State Appropriations-4Yr'!M36+'Local Appropriations-4Yr'!M36+'Fed Contracts Grnts-4Yr'!M36+'Other Contract Grnts-4Yr'!M36+'Investment Income-4Yr'!M36+'All Other E&amp;G-4Yr'!M36</f>
        <v>1641674.9749999999</v>
      </c>
      <c r="N36" s="51">
        <f>+'Tuition-4Yr'!N36+'State Appropriations-4Yr'!N36+'Local Appropriations-4Yr'!N36+'Fed Contracts Grnts-4Yr'!N36+'Other Contract Grnts-4Yr'!N36+'Investment Income-4Yr'!N36+'All Other E&amp;G-4Yr'!N36</f>
        <v>0</v>
      </c>
      <c r="O36" s="51">
        <f>+'Tuition-4Yr'!O36+'State Appropriations-4Yr'!O36+'Local Appropriations-4Yr'!O36+'Fed Contracts Grnts-4Yr'!O36+'Other Contract Grnts-4Yr'!O36+'Investment Income-4Yr'!O36+'All Other E&amp;G-4Yr'!O36</f>
        <v>1828690.692</v>
      </c>
      <c r="P36" s="51">
        <f>+'Tuition-4Yr'!P36+'State Appropriations-4Yr'!P36+'Local Appropriations-4Yr'!P36+'Fed Contracts Grnts-4Yr'!P36+'Other Contract Grnts-4Yr'!P36+'Investment Income-4Yr'!P36+'All Other E&amp;G-4Yr'!P36</f>
        <v>0</v>
      </c>
      <c r="Q36" s="51">
        <f>+'Tuition-4Yr'!Q36+'State Appropriations-4Yr'!Q36+'Local Appropriations-4Yr'!Q36+'Fed Contracts Grnts-4Yr'!Q36+'Other Contract Grnts-4Yr'!Q36+'Investment Income-4Yr'!Q36+'All Other E&amp;G-4Yr'!Q36</f>
        <v>0</v>
      </c>
      <c r="R36" s="51">
        <f>+'Tuition-4Yr'!R36+'State Appropriations-4Yr'!R36+'Local Appropriations-4Yr'!R36+'Fed Contracts Grnts-4Yr'!R36+'Other Contract Grnts-4Yr'!R36+'Investment Income-4Yr'!R36+'All Other E&amp;G-4Yr'!R36</f>
        <v>2185718.8760000002</v>
      </c>
      <c r="S36" s="51">
        <f>+'Tuition-4Yr'!S36+'State Appropriations-4Yr'!S36+'Local Appropriations-4Yr'!S36+'Fed Contracts Grnts-4Yr'!S36+'Other Contract Grnts-4Yr'!S36+'Investment Income-4Yr'!S36+'All Other E&amp;G-4Yr'!S36</f>
        <v>2335603.787</v>
      </c>
      <c r="T36" s="51">
        <f>+'Tuition-4Yr'!T36+'State Appropriations-4Yr'!T36+'Local Appropriations-4Yr'!T36+'Fed Contracts Grnts-4Yr'!T36+'Other Contract Grnts-4Yr'!T36+'Investment Income-4Yr'!T36+'All Other E&amp;G-4Yr'!T36</f>
        <v>2613017.0719999997</v>
      </c>
      <c r="U36" s="51">
        <f>+'Tuition-4Yr'!U36+'State Appropriations-4Yr'!U36+'Local Appropriations-4Yr'!U36+'Fed Contracts Grnts-4Yr'!U36+'Other Contract Grnts-4Yr'!U36+'Investment Income-4Yr'!U36+'All Other E&amp;G-4Yr'!U36</f>
        <v>2810653.5</v>
      </c>
      <c r="V36" s="51">
        <f>+'Tuition-4Yr'!V36+'State Appropriations-4Yr'!V36+'Local Appropriations-4Yr'!V36+'Fed Contracts Grnts-4Yr'!V36+'Other Contract Grnts-4Yr'!V36+'Investment Income-4Yr'!V36+'All Other E&amp;G-4Yr'!V36</f>
        <v>2936988.713</v>
      </c>
      <c r="W36" s="51">
        <f>+'Tuition-4Yr'!W36+'State Appropriations-4Yr'!W36+'Local Appropriations-4Yr'!W36+'Fed Contracts Grnts-4Yr'!W36+'Other Contract Grnts-4Yr'!W36+'Investment Income-4Yr'!W36+'All Other E&amp;G-4Yr'!W36</f>
        <v>3242127.2210000004</v>
      </c>
      <c r="X36" s="51">
        <f>+'Tuition-4Yr'!X36+'State Appropriations-4Yr'!X36+'Local Appropriations-4Yr'!X36+'Fed Contracts Grnts-4Yr'!X36+'Other Contract Grnts-4Yr'!X36+'Investment Income-4Yr'!X36+'All Other E&amp;G-4Yr'!X36</f>
        <v>3366192.1140000001</v>
      </c>
      <c r="Y36" s="51">
        <f>+'Tuition-4Yr'!Y36+'State Appropriations-4Yr'!Y36+'Local Appropriations-4Yr'!Y36+'Fed Contracts Grnts-4Yr'!Y36+'Other Contract Grnts-4Yr'!Y36+'Investment Income-4Yr'!Y36+'All Other E&amp;G-4Yr'!Y36</f>
        <v>3984046.1469999999</v>
      </c>
      <c r="Z36" s="51">
        <f>+'Tuition-4Yr'!Z36+'State Appropriations-4Yr'!Z36+'Local Appropriations-4Yr'!Z36+'Fed Contracts Grnts-4Yr'!Z36+'Other Contract Grnts-4Yr'!Z36+'Investment Income-4Yr'!Z36+'All Other E&amp;G-4Yr'!Z36</f>
        <v>3744542.0110000004</v>
      </c>
      <c r="AA36" s="51">
        <f>+'Tuition-4Yr'!AA36+'State Appropriations-4Yr'!AA36+'Local Appropriations-4Yr'!AA36+'Fed Contracts Grnts-4Yr'!AA36+'Other Contract Grnts-4Yr'!AA36+'Investment Income-4Yr'!AA36+'All Other E&amp;G-4Yr'!AA36</f>
        <v>3226517.6249999995</v>
      </c>
      <c r="AB36" s="51">
        <f>+'Tuition-4Yr'!AB36+'State Appropriations-4Yr'!AB36+'Local Appropriations-4Yr'!AB36+'Fed Contracts Grnts-4Yr'!AB36+'Other Contract Grnts-4Yr'!AB36+'Investment Income-4Yr'!AB36+'All Other E&amp;G-4Yr'!AB36</f>
        <v>4258564.6179999998</v>
      </c>
      <c r="AC36" s="51">
        <f>+'Tuition-4Yr'!AC36+'State Appropriations-4Yr'!AC36+'Local Appropriations-4Yr'!AC36+'Fed Contracts Grnts-4Yr'!AC36+'Other Contract Grnts-4Yr'!AC36+'Investment Income-4Yr'!AC36+'All Other E&amp;G-4Yr'!AC36</f>
        <v>4643208</v>
      </c>
      <c r="AD36" s="51">
        <f>+'Tuition-4Yr'!AD36+'State Appropriations-4Yr'!AD36+'Local Appropriations-4Yr'!AD36+'Fed Contracts Grnts-4Yr'!AD36+'Other Contract Grnts-4Yr'!AD36+'Investment Income-4Yr'!AD36+'All Other E&amp;G-4Yr'!AD36</f>
        <v>4347845.5060000001</v>
      </c>
      <c r="AE36" s="51">
        <f>+'Tuition-4Yr'!AE36+'State Appropriations-4Yr'!AE36+'Local Appropriations-4Yr'!AE36+'Fed Contracts Grnts-4Yr'!AE36+'Other Contract Grnts-4Yr'!AE36+'Investment Income-4Yr'!AE36+'All Other E&amp;G-4Yr'!AE36</f>
        <v>4955914.648</v>
      </c>
      <c r="AF36" s="51">
        <f>+'Tuition-4Yr'!AF36+'State Appropriations-4Yr'!AF36+'Local Appropriations-4Yr'!AF36+'Fed Contracts Grnts-4Yr'!AF36+'Other Contract Grnts-4Yr'!AF36+'Investment Income-4Yr'!AF36+'All Other E&amp;G-4Yr'!AF36</f>
        <v>5073762.3020000001</v>
      </c>
      <c r="AG36" s="51">
        <f>+'Tuition-4Yr'!AG36+'State Appropriations-4Yr'!AG36+'Local Appropriations-4Yr'!AG36+'Fed Contracts Grnts-4Yr'!AG36+'Other Contract Grnts-4Yr'!AG36+'Investment Income-4Yr'!AG36+'All Other E&amp;G-4Yr'!AG36</f>
        <v>5117333.5450000009</v>
      </c>
      <c r="AH36" s="51">
        <f>+'Tuition-4Yr'!AH36+'State Appropriations-4Yr'!AH36+'Local Appropriations-4Yr'!AH36+'Fed Contracts Grnts-4Yr'!AH36+'Other Contract Grnts-4Yr'!AH36+'Investment Income-4Yr'!AH36+'All Other E&amp;G-4Yr'!AH36</f>
        <v>5126866.8260000004</v>
      </c>
      <c r="AI36" s="51">
        <f>+'Tuition-4Yr'!AI36+'State Appropriations-4Yr'!AI36+'Local Appropriations-4Yr'!AI36+'Fed Contracts Grnts-4Yr'!AI36+'Other Contract Grnts-4Yr'!AI36+'Investment Income-4Yr'!AI36+'All Other E&amp;G-4Yr'!AI36</f>
        <v>5761605.186999999</v>
      </c>
      <c r="AJ36" s="51">
        <f>+'Tuition-4Yr'!AJ36+'State Appropriations-4Yr'!AJ36+'Local Appropriations-4Yr'!AJ36+'Fed Contracts Grnts-4Yr'!AJ36+'Other Contract Grnts-4Yr'!AJ36+'Investment Income-4Yr'!AJ36+'All Other E&amp;G-4Yr'!AJ36</f>
        <v>0</v>
      </c>
      <c r="AK36" s="51">
        <f>+'Tuition-4Yr'!AK36+'State Appropriations-4Yr'!AK36+'Local Appropriations-4Yr'!AK36+'Fed Contracts Grnts-4Yr'!AK36+'Other Contract Grnts-4Yr'!AK36+'Investment Income-4Yr'!AK36+'All Other E&amp;G-4Yr'!AK36</f>
        <v>6360516.3059999999</v>
      </c>
      <c r="AL36" s="51">
        <f>+'Tuition-4Yr'!AL36+'State Appropriations-4Yr'!AL36+'Local Appropriations-4Yr'!AL36+'Fed Contracts Grnts-4Yr'!AL36+'Other Contract Grnts-4Yr'!AL36+'Investment Income-4Yr'!AL36+'All Other E&amp;G-4Yr'!AL36</f>
        <v>1419477899.4569998</v>
      </c>
    </row>
    <row r="37" spans="1:38" ht="12.75" customHeight="1">
      <c r="A37" s="27" t="s">
        <v>51</v>
      </c>
      <c r="B37" s="55">
        <f>+'Tuition-4Yr'!B37+'State Appropriations-4Yr'!B37+'Local Appropriations-4Yr'!B37+'Fed Contracts Grnts-4Yr'!B37+'Other Contract Grnts-4Yr'!B37+'Investment Income-4Yr'!B37+'All Other E&amp;G-4Yr'!B37</f>
        <v>0</v>
      </c>
      <c r="C37" s="55">
        <f>+'Tuition-4Yr'!C37+'State Appropriations-4Yr'!C37+'Local Appropriations-4Yr'!C37+'Fed Contracts Grnts-4Yr'!C37+'Other Contract Grnts-4Yr'!C37+'Investment Income-4Yr'!C37+'All Other E&amp;G-4Yr'!C37</f>
        <v>0</v>
      </c>
      <c r="D37" s="55">
        <f>+'Tuition-4Yr'!D37+'State Appropriations-4Yr'!D37+'Local Appropriations-4Yr'!D37+'Fed Contracts Grnts-4Yr'!D37+'Other Contract Grnts-4Yr'!D37+'Investment Income-4Yr'!D37+'All Other E&amp;G-4Yr'!D37</f>
        <v>0</v>
      </c>
      <c r="E37" s="55">
        <f>+'Tuition-4Yr'!E37+'State Appropriations-4Yr'!E37+'Local Appropriations-4Yr'!E37+'Fed Contracts Grnts-4Yr'!E37+'Other Contract Grnts-4Yr'!E37+'Investment Income-4Yr'!E37+'All Other E&amp;G-4Yr'!E37</f>
        <v>0</v>
      </c>
      <c r="F37" s="55">
        <f>+'Tuition-4Yr'!F37+'State Appropriations-4Yr'!F37+'Local Appropriations-4Yr'!F37+'Fed Contracts Grnts-4Yr'!F37+'Other Contract Grnts-4Yr'!F37+'Investment Income-4Yr'!F37+'All Other E&amp;G-4Yr'!F37</f>
        <v>0</v>
      </c>
      <c r="G37" s="55">
        <f>+'Tuition-4Yr'!G37+'State Appropriations-4Yr'!G37+'Local Appropriations-4Yr'!G37+'Fed Contracts Grnts-4Yr'!G37+'Other Contract Grnts-4Yr'!G37+'Investment Income-4Yr'!G37+'All Other E&amp;G-4Yr'!G37</f>
        <v>0</v>
      </c>
      <c r="H37" s="55">
        <f>+'Tuition-4Yr'!H37+'State Appropriations-4Yr'!H37+'Local Appropriations-4Yr'!H37+'Fed Contracts Grnts-4Yr'!H37+'Other Contract Grnts-4Yr'!H37+'Investment Income-4Yr'!H37+'All Other E&amp;G-4Yr'!H37</f>
        <v>0</v>
      </c>
      <c r="I37" s="55">
        <f>+'Tuition-4Yr'!I37+'State Appropriations-4Yr'!I37+'Local Appropriations-4Yr'!I37+'Fed Contracts Grnts-4Yr'!I37+'Other Contract Grnts-4Yr'!I37+'Investment Income-4Yr'!I37+'All Other E&amp;G-4Yr'!I37</f>
        <v>0</v>
      </c>
      <c r="J37" s="55">
        <f>+'Tuition-4Yr'!J37+'State Appropriations-4Yr'!J37+'Local Appropriations-4Yr'!J37+'Fed Contracts Grnts-4Yr'!J37+'Other Contract Grnts-4Yr'!J37+'Investment Income-4Yr'!J37+'All Other E&amp;G-4Yr'!J37</f>
        <v>160266.74200000003</v>
      </c>
      <c r="K37" s="55">
        <f>+'Tuition-4Yr'!K37+'State Appropriations-4Yr'!K37+'Local Appropriations-4Yr'!K37+'Fed Contracts Grnts-4Yr'!K37+'Other Contract Grnts-4Yr'!K37+'Investment Income-4Yr'!K37+'All Other E&amp;G-4Yr'!K37</f>
        <v>0</v>
      </c>
      <c r="L37" s="55">
        <f>+'Tuition-4Yr'!L37+'State Appropriations-4Yr'!L37+'Local Appropriations-4Yr'!L37+'Fed Contracts Grnts-4Yr'!L37+'Other Contract Grnts-4Yr'!L37+'Investment Income-4Yr'!L37+'All Other E&amp;G-4Yr'!L37</f>
        <v>0</v>
      </c>
      <c r="M37" s="55">
        <f>+'Tuition-4Yr'!M37+'State Appropriations-4Yr'!M37+'Local Appropriations-4Yr'!M37+'Fed Contracts Grnts-4Yr'!M37+'Other Contract Grnts-4Yr'!M37+'Investment Income-4Yr'!M37+'All Other E&amp;G-4Yr'!M37</f>
        <v>179092.647</v>
      </c>
      <c r="N37" s="55">
        <f>+'Tuition-4Yr'!N37+'State Appropriations-4Yr'!N37+'Local Appropriations-4Yr'!N37+'Fed Contracts Grnts-4Yr'!N37+'Other Contract Grnts-4Yr'!N37+'Investment Income-4Yr'!N37+'All Other E&amp;G-4Yr'!N37</f>
        <v>0</v>
      </c>
      <c r="O37" s="55">
        <f>+'Tuition-4Yr'!O37+'State Appropriations-4Yr'!O37+'Local Appropriations-4Yr'!O37+'Fed Contracts Grnts-4Yr'!O37+'Other Contract Grnts-4Yr'!O37+'Investment Income-4Yr'!O37+'All Other E&amp;G-4Yr'!O37</f>
        <v>184786.26</v>
      </c>
      <c r="P37" s="55">
        <f>+'Tuition-4Yr'!P37+'State Appropriations-4Yr'!P37+'Local Appropriations-4Yr'!P37+'Fed Contracts Grnts-4Yr'!P37+'Other Contract Grnts-4Yr'!P37+'Investment Income-4Yr'!P37+'All Other E&amp;G-4Yr'!P37</f>
        <v>0</v>
      </c>
      <c r="Q37" s="55">
        <f>+'Tuition-4Yr'!Q37+'State Appropriations-4Yr'!Q37+'Local Appropriations-4Yr'!Q37+'Fed Contracts Grnts-4Yr'!Q37+'Other Contract Grnts-4Yr'!Q37+'Investment Income-4Yr'!Q37+'All Other E&amp;G-4Yr'!Q37</f>
        <v>0</v>
      </c>
      <c r="R37" s="55">
        <f>+'Tuition-4Yr'!R37+'State Appropriations-4Yr'!R37+'Local Appropriations-4Yr'!R37+'Fed Contracts Grnts-4Yr'!R37+'Other Contract Grnts-4Yr'!R37+'Investment Income-4Yr'!R37+'All Other E&amp;G-4Yr'!R37</f>
        <v>206781.40900000001</v>
      </c>
      <c r="S37" s="55">
        <f>+'Tuition-4Yr'!S37+'State Appropriations-4Yr'!S37+'Local Appropriations-4Yr'!S37+'Fed Contracts Grnts-4Yr'!S37+'Other Contract Grnts-4Yr'!S37+'Investment Income-4Yr'!S37+'All Other E&amp;G-4Yr'!S37</f>
        <v>230118.079</v>
      </c>
      <c r="T37" s="55">
        <f>+'Tuition-4Yr'!T37+'State Appropriations-4Yr'!T37+'Local Appropriations-4Yr'!T37+'Fed Contracts Grnts-4Yr'!T37+'Other Contract Grnts-4Yr'!T37+'Investment Income-4Yr'!T37+'All Other E&amp;G-4Yr'!T37</f>
        <v>227814.65800000002</v>
      </c>
      <c r="U37" s="55">
        <f>+'Tuition-4Yr'!U37+'State Appropriations-4Yr'!U37+'Local Appropriations-4Yr'!U37+'Fed Contracts Grnts-4Yr'!U37+'Other Contract Grnts-4Yr'!U37+'Investment Income-4Yr'!U37+'All Other E&amp;G-4Yr'!U37</f>
        <v>247752.78699999995</v>
      </c>
      <c r="V37" s="55">
        <f>+'Tuition-4Yr'!V37+'State Appropriations-4Yr'!V37+'Local Appropriations-4Yr'!V37+'Fed Contracts Grnts-4Yr'!V37+'Other Contract Grnts-4Yr'!V37+'Investment Income-4Yr'!V37+'All Other E&amp;G-4Yr'!V37</f>
        <v>267877.71000000002</v>
      </c>
      <c r="W37" s="55">
        <f>+'Tuition-4Yr'!W37+'State Appropriations-4Yr'!W37+'Local Appropriations-4Yr'!W37+'Fed Contracts Grnts-4Yr'!W37+'Other Contract Grnts-4Yr'!W37+'Investment Income-4Yr'!W37+'All Other E&amp;G-4Yr'!W37</f>
        <v>296570.5</v>
      </c>
      <c r="X37" s="55">
        <f>+'Tuition-4Yr'!X37+'State Appropriations-4Yr'!X37+'Local Appropriations-4Yr'!X37+'Fed Contracts Grnts-4Yr'!X37+'Other Contract Grnts-4Yr'!X37+'Investment Income-4Yr'!X37+'All Other E&amp;G-4Yr'!X37</f>
        <v>306881.67700000003</v>
      </c>
      <c r="Y37" s="55">
        <f>+'Tuition-4Yr'!Y37+'State Appropriations-4Yr'!Y37+'Local Appropriations-4Yr'!Y37+'Fed Contracts Grnts-4Yr'!Y37+'Other Contract Grnts-4Yr'!Y37+'Investment Income-4Yr'!Y37+'All Other E&amp;G-4Yr'!Y37</f>
        <v>349355.54599999997</v>
      </c>
      <c r="Z37" s="55">
        <f>+'Tuition-4Yr'!Z37+'State Appropriations-4Yr'!Z37+'Local Appropriations-4Yr'!Z37+'Fed Contracts Grnts-4Yr'!Z37+'Other Contract Grnts-4Yr'!Z37+'Investment Income-4Yr'!Z37+'All Other E&amp;G-4Yr'!Z37</f>
        <v>346559.26699999999</v>
      </c>
      <c r="AA37" s="55">
        <f>+'Tuition-4Yr'!AA37+'State Appropriations-4Yr'!AA37+'Local Appropriations-4Yr'!AA37+'Fed Contracts Grnts-4Yr'!AA37+'Other Contract Grnts-4Yr'!AA37+'Investment Income-4Yr'!AA37+'All Other E&amp;G-4Yr'!AA37</f>
        <v>362807.21400000004</v>
      </c>
      <c r="AB37" s="55">
        <f>+'Tuition-4Yr'!AB37+'State Appropriations-4Yr'!AB37+'Local Appropriations-4Yr'!AB37+'Fed Contracts Grnts-4Yr'!AB37+'Other Contract Grnts-4Yr'!AB37+'Investment Income-4Yr'!AB37+'All Other E&amp;G-4Yr'!AB37</f>
        <v>429552.50899999996</v>
      </c>
      <c r="AC37" s="55">
        <f>+'Tuition-4Yr'!AC37+'State Appropriations-4Yr'!AC37+'Local Appropriations-4Yr'!AC37+'Fed Contracts Grnts-4Yr'!AC37+'Other Contract Grnts-4Yr'!AC37+'Investment Income-4Yr'!AC37+'All Other E&amp;G-4Yr'!AC37</f>
        <v>490896</v>
      </c>
      <c r="AD37" s="55">
        <f>+'Tuition-4Yr'!AD37+'State Appropriations-4Yr'!AD37+'Local Appropriations-4Yr'!AD37+'Fed Contracts Grnts-4Yr'!AD37+'Other Contract Grnts-4Yr'!AD37+'Investment Income-4Yr'!AD37+'All Other E&amp;G-4Yr'!AD37</f>
        <v>472465.804</v>
      </c>
      <c r="AE37" s="55">
        <f>+'Tuition-4Yr'!AE37+'State Appropriations-4Yr'!AE37+'Local Appropriations-4Yr'!AE37+'Fed Contracts Grnts-4Yr'!AE37+'Other Contract Grnts-4Yr'!AE37+'Investment Income-4Yr'!AE37+'All Other E&amp;G-4Yr'!AE37</f>
        <v>503678.14799999999</v>
      </c>
      <c r="AF37" s="55">
        <f>+'Tuition-4Yr'!AF37+'State Appropriations-4Yr'!AF37+'Local Appropriations-4Yr'!AF37+'Fed Contracts Grnts-4Yr'!AF37+'Other Contract Grnts-4Yr'!AF37+'Investment Income-4Yr'!AF37+'All Other E&amp;G-4Yr'!AF37</f>
        <v>466795.49200000003</v>
      </c>
      <c r="AG37" s="55">
        <f>+'Tuition-4Yr'!AG37+'State Appropriations-4Yr'!AG37+'Local Appropriations-4Yr'!AG37+'Fed Contracts Grnts-4Yr'!AG37+'Other Contract Grnts-4Yr'!AG37+'Investment Income-4Yr'!AG37+'All Other E&amp;G-4Yr'!AG37</f>
        <v>506002.11899999995</v>
      </c>
      <c r="AH37" s="55">
        <f>+'Tuition-4Yr'!AH37+'State Appropriations-4Yr'!AH37+'Local Appropriations-4Yr'!AH37+'Fed Contracts Grnts-4Yr'!AH37+'Other Contract Grnts-4Yr'!AH37+'Investment Income-4Yr'!AH37+'All Other E&amp;G-4Yr'!AH37</f>
        <v>570415.31700000004</v>
      </c>
      <c r="AI37" s="55">
        <f>+'Tuition-4Yr'!AI37+'State Appropriations-4Yr'!AI37+'Local Appropriations-4Yr'!AI37+'Fed Contracts Grnts-4Yr'!AI37+'Other Contract Grnts-4Yr'!AI37+'Investment Income-4Yr'!AI37+'All Other E&amp;G-4Yr'!AI37</f>
        <v>555911.44799999997</v>
      </c>
      <c r="AJ37" s="55">
        <f>+'Tuition-4Yr'!AJ37+'State Appropriations-4Yr'!AJ37+'Local Appropriations-4Yr'!AJ37+'Fed Contracts Grnts-4Yr'!AJ37+'Other Contract Grnts-4Yr'!AJ37+'Investment Income-4Yr'!AJ37+'All Other E&amp;G-4Yr'!AJ37</f>
        <v>0</v>
      </c>
      <c r="AK37" s="55">
        <f>+'Tuition-4Yr'!AK37+'State Appropriations-4Yr'!AK37+'Local Appropriations-4Yr'!AK37+'Fed Contracts Grnts-4Yr'!AK37+'Other Contract Grnts-4Yr'!AK37+'Investment Income-4Yr'!AK37+'All Other E&amp;G-4Yr'!AK37</f>
        <v>542330</v>
      </c>
      <c r="AL37" s="55">
        <f>+'Tuition-4Yr'!AL37+'State Appropriations-4Yr'!AL37+'Local Appropriations-4Yr'!AL37+'Fed Contracts Grnts-4Yr'!AL37+'Other Contract Grnts-4Yr'!AL37+'Investment Income-4Yr'!AL37+'All Other E&amp;G-4Yr'!AL37</f>
        <v>95853886</v>
      </c>
    </row>
    <row r="38" spans="1:38" ht="12.75" customHeight="1">
      <c r="A38" s="6" t="s">
        <v>52</v>
      </c>
      <c r="B38" s="51">
        <f>+'Tuition-4Yr'!B38+'State Appropriations-4Yr'!B38+'Local Appropriations-4Yr'!B38+'Fed Contracts Grnts-4Yr'!B38+'Other Contract Grnts-4Yr'!B38+'Investment Income-4Yr'!B38+'All Other E&amp;G-4Yr'!B38</f>
        <v>0</v>
      </c>
      <c r="C38" s="51">
        <f>+'Tuition-4Yr'!C38+'State Appropriations-4Yr'!C38+'Local Appropriations-4Yr'!C38+'Fed Contracts Grnts-4Yr'!C38+'Other Contract Grnts-4Yr'!C38+'Investment Income-4Yr'!C38+'All Other E&amp;G-4Yr'!C38</f>
        <v>0</v>
      </c>
      <c r="D38" s="51">
        <f>+'Tuition-4Yr'!D38+'State Appropriations-4Yr'!D38+'Local Appropriations-4Yr'!D38+'Fed Contracts Grnts-4Yr'!D38+'Other Contract Grnts-4Yr'!D38+'Investment Income-4Yr'!D38+'All Other E&amp;G-4Yr'!D38</f>
        <v>0</v>
      </c>
      <c r="E38" s="51">
        <f>+'Tuition-4Yr'!E38+'State Appropriations-4Yr'!E38+'Local Appropriations-4Yr'!E38+'Fed Contracts Grnts-4Yr'!E38+'Other Contract Grnts-4Yr'!E38+'Investment Income-4Yr'!E38+'All Other E&amp;G-4Yr'!E38</f>
        <v>0</v>
      </c>
      <c r="F38" s="51">
        <f>+'Tuition-4Yr'!F38+'State Appropriations-4Yr'!F38+'Local Appropriations-4Yr'!F38+'Fed Contracts Grnts-4Yr'!F38+'Other Contract Grnts-4Yr'!F38+'Investment Income-4Yr'!F38+'All Other E&amp;G-4Yr'!F38</f>
        <v>0</v>
      </c>
      <c r="G38" s="51">
        <f>+'Tuition-4Yr'!G38+'State Appropriations-4Yr'!G38+'Local Appropriations-4Yr'!G38+'Fed Contracts Grnts-4Yr'!G38+'Other Contract Grnts-4Yr'!G38+'Investment Income-4Yr'!G38+'All Other E&amp;G-4Yr'!G38</f>
        <v>0</v>
      </c>
      <c r="H38" s="51">
        <f>+'Tuition-4Yr'!H38+'State Appropriations-4Yr'!H38+'Local Appropriations-4Yr'!H38+'Fed Contracts Grnts-4Yr'!H38+'Other Contract Grnts-4Yr'!H38+'Investment Income-4Yr'!H38+'All Other E&amp;G-4Yr'!H38</f>
        <v>0</v>
      </c>
      <c r="I38" s="51">
        <f>+'Tuition-4Yr'!I38+'State Appropriations-4Yr'!I38+'Local Appropriations-4Yr'!I38+'Fed Contracts Grnts-4Yr'!I38+'Other Contract Grnts-4Yr'!I38+'Investment Income-4Yr'!I38+'All Other E&amp;G-4Yr'!I38</f>
        <v>0</v>
      </c>
      <c r="J38" s="51">
        <f>+'Tuition-4Yr'!J38+'State Appropriations-4Yr'!J38+'Local Appropriations-4Yr'!J38+'Fed Contracts Grnts-4Yr'!J38+'Other Contract Grnts-4Yr'!J38+'Investment Income-4Yr'!J38+'All Other E&amp;G-4Yr'!J38</f>
        <v>17309638.938999999</v>
      </c>
      <c r="K38" s="51">
        <f>+'Tuition-4Yr'!K38+'State Appropriations-4Yr'!K38+'Local Appropriations-4Yr'!K38+'Fed Contracts Grnts-4Yr'!K38+'Other Contract Grnts-4Yr'!K38+'Investment Income-4Yr'!K38+'All Other E&amp;G-4Yr'!K38</f>
        <v>0</v>
      </c>
      <c r="L38" s="51">
        <f>+'Tuition-4Yr'!L38+'State Appropriations-4Yr'!L38+'Local Appropriations-4Yr'!L38+'Fed Contracts Grnts-4Yr'!L38+'Other Contract Grnts-4Yr'!L38+'Investment Income-4Yr'!L38+'All Other E&amp;G-4Yr'!L38</f>
        <v>0</v>
      </c>
      <c r="M38" s="51">
        <f>+'Tuition-4Yr'!M38+'State Appropriations-4Yr'!M38+'Local Appropriations-4Yr'!M38+'Fed Contracts Grnts-4Yr'!M38+'Other Contract Grnts-4Yr'!M38+'Investment Income-4Yr'!M38+'All Other E&amp;G-4Yr'!M38</f>
        <v>19487703.546999998</v>
      </c>
      <c r="N38" s="51">
        <f>+'Tuition-4Yr'!N38+'State Appropriations-4Yr'!N38+'Local Appropriations-4Yr'!N38+'Fed Contracts Grnts-4Yr'!N38+'Other Contract Grnts-4Yr'!N38+'Investment Income-4Yr'!N38+'All Other E&amp;G-4Yr'!N38</f>
        <v>0</v>
      </c>
      <c r="O38" s="51">
        <f>+'Tuition-4Yr'!O38+'State Appropriations-4Yr'!O38+'Local Appropriations-4Yr'!O38+'Fed Contracts Grnts-4Yr'!O38+'Other Contract Grnts-4Yr'!O38+'Investment Income-4Yr'!O38+'All Other E&amp;G-4Yr'!O38</f>
        <v>21638793.457819998</v>
      </c>
      <c r="P38" s="51">
        <f>+'Tuition-4Yr'!P38+'State Appropriations-4Yr'!P38+'Local Appropriations-4Yr'!P38+'Fed Contracts Grnts-4Yr'!P38+'Other Contract Grnts-4Yr'!P38+'Investment Income-4Yr'!P38+'All Other E&amp;G-4Yr'!P38</f>
        <v>0</v>
      </c>
      <c r="Q38" s="51">
        <f>+'Tuition-4Yr'!Q38+'State Appropriations-4Yr'!Q38+'Local Appropriations-4Yr'!Q38+'Fed Contracts Grnts-4Yr'!Q38+'Other Contract Grnts-4Yr'!Q38+'Investment Income-4Yr'!Q38+'All Other E&amp;G-4Yr'!Q38</f>
        <v>0</v>
      </c>
      <c r="R38" s="51">
        <f>+'Tuition-4Yr'!R38+'State Appropriations-4Yr'!R38+'Local Appropriations-4Yr'!R38+'Fed Contracts Grnts-4Yr'!R38+'Other Contract Grnts-4Yr'!R38+'Investment Income-4Yr'!R38+'All Other E&amp;G-4Yr'!R38</f>
        <v>25502108.827999998</v>
      </c>
      <c r="S38" s="51">
        <f>+'Tuition-4Yr'!S38+'State Appropriations-4Yr'!S38+'Local Appropriations-4Yr'!S38+'Fed Contracts Grnts-4Yr'!S38+'Other Contract Grnts-4Yr'!S38+'Investment Income-4Yr'!S38+'All Other E&amp;G-4Yr'!S38</f>
        <v>27633721.881000008</v>
      </c>
      <c r="T38" s="51">
        <f>+'Tuition-4Yr'!T38+'State Appropriations-4Yr'!T38+'Local Appropriations-4Yr'!T38+'Fed Contracts Grnts-4Yr'!T38+'Other Contract Grnts-4Yr'!T38+'Investment Income-4Yr'!T38+'All Other E&amp;G-4Yr'!T38</f>
        <v>29050891.111000001</v>
      </c>
      <c r="U38" s="51">
        <f>+'Tuition-4Yr'!U38+'State Appropriations-4Yr'!U38+'Local Appropriations-4Yr'!U38+'Fed Contracts Grnts-4Yr'!U38+'Other Contract Grnts-4Yr'!U38+'Investment Income-4Yr'!U38+'All Other E&amp;G-4Yr'!U38</f>
        <v>29891377.033999998</v>
      </c>
      <c r="V38" s="51">
        <f>+'Tuition-4Yr'!V38+'State Appropriations-4Yr'!V38+'Local Appropriations-4Yr'!V38+'Fed Contracts Grnts-4Yr'!V38+'Other Contract Grnts-4Yr'!V38+'Investment Income-4Yr'!V38+'All Other E&amp;G-4Yr'!V38</f>
        <v>33082028.740999997</v>
      </c>
      <c r="W38" s="51">
        <f>+'Tuition-4Yr'!W38+'State Appropriations-4Yr'!W38+'Local Appropriations-4Yr'!W38+'Fed Contracts Grnts-4Yr'!W38+'Other Contract Grnts-4Yr'!W38+'Investment Income-4Yr'!W38+'All Other E&amp;G-4Yr'!W38</f>
        <v>35709067.969000004</v>
      </c>
      <c r="X38" s="51">
        <f>+'Tuition-4Yr'!X38+'State Appropriations-4Yr'!X38+'Local Appropriations-4Yr'!X38+'Fed Contracts Grnts-4Yr'!X38+'Other Contract Grnts-4Yr'!X38+'Investment Income-4Yr'!X38+'All Other E&amp;G-4Yr'!X38</f>
        <v>35606630.225999996</v>
      </c>
      <c r="Y38" s="51">
        <f>+'Tuition-4Yr'!Y38+'State Appropriations-4Yr'!Y38+'Local Appropriations-4Yr'!Y38+'Fed Contracts Grnts-4Yr'!Y38+'Other Contract Grnts-4Yr'!Y38+'Investment Income-4Yr'!Y38+'All Other E&amp;G-4Yr'!Y38</f>
        <v>38457710.008999996</v>
      </c>
      <c r="Z38" s="51">
        <f>+'Tuition-4Yr'!Z38+'State Appropriations-4Yr'!Z38+'Local Appropriations-4Yr'!Z38+'Fed Contracts Grnts-4Yr'!Z38+'Other Contract Grnts-4Yr'!Z38+'Investment Income-4Yr'!Z38+'All Other E&amp;G-4Yr'!Z38</f>
        <v>37272673.517000005</v>
      </c>
      <c r="AA38" s="51">
        <f>+'Tuition-4Yr'!AA38+'State Appropriations-4Yr'!AA38+'Local Appropriations-4Yr'!AA38+'Fed Contracts Grnts-4Yr'!AA38+'Other Contract Grnts-4Yr'!AA38+'Investment Income-4Yr'!AA38+'All Other E&amp;G-4Yr'!AA38</f>
        <v>36283183.037</v>
      </c>
      <c r="AB38" s="51">
        <f>+'Tuition-4Yr'!AB38+'State Appropriations-4Yr'!AB38+'Local Appropriations-4Yr'!AB38+'Fed Contracts Grnts-4Yr'!AB38+'Other Contract Grnts-4Yr'!AB38+'Investment Income-4Yr'!AB38+'All Other E&amp;G-4Yr'!AB38</f>
        <v>45781186.213</v>
      </c>
      <c r="AC38" s="51">
        <f>+'Tuition-4Yr'!AC38+'State Appropriations-4Yr'!AC38+'Local Appropriations-4Yr'!AC38+'Fed Contracts Grnts-4Yr'!AC38+'Other Contract Grnts-4Yr'!AC38+'Investment Income-4Yr'!AC38+'All Other E&amp;G-4Yr'!AC38</f>
        <v>49468684</v>
      </c>
      <c r="AD38" s="51">
        <f>+'Tuition-4Yr'!AD38+'State Appropriations-4Yr'!AD38+'Local Appropriations-4Yr'!AD38+'Fed Contracts Grnts-4Yr'!AD38+'Other Contract Grnts-4Yr'!AD38+'Investment Income-4Yr'!AD38+'All Other E&amp;G-4Yr'!AD38</f>
        <v>46558091.397999994</v>
      </c>
      <c r="AE38" s="51">
        <f>+'Tuition-4Yr'!AE38+'State Appropriations-4Yr'!AE38+'Local Appropriations-4Yr'!AE38+'Fed Contracts Grnts-4Yr'!AE38+'Other Contract Grnts-4Yr'!AE38+'Investment Income-4Yr'!AE38+'All Other E&amp;G-4Yr'!AE38</f>
        <v>55463752.217</v>
      </c>
      <c r="AF38" s="51">
        <f>+'Tuition-4Yr'!AF38+'State Appropriations-4Yr'!AF38+'Local Appropriations-4Yr'!AF38+'Fed Contracts Grnts-4Yr'!AF38+'Other Contract Grnts-4Yr'!AF38+'Investment Income-4Yr'!AF38+'All Other E&amp;G-4Yr'!AF38</f>
        <v>50312550.188999996</v>
      </c>
      <c r="AG38" s="51">
        <f>+'Tuition-4Yr'!AG38+'State Appropriations-4Yr'!AG38+'Local Appropriations-4Yr'!AG38+'Fed Contracts Grnts-4Yr'!AG38+'Other Contract Grnts-4Yr'!AG38+'Investment Income-4Yr'!AG38+'All Other E&amp;G-4Yr'!AG38</f>
        <v>50691989.719000012</v>
      </c>
      <c r="AH38" s="51">
        <f>+'Tuition-4Yr'!AH38+'State Appropriations-4Yr'!AH38+'Local Appropriations-4Yr'!AH38+'Fed Contracts Grnts-4Yr'!AH38+'Other Contract Grnts-4Yr'!AH38+'Investment Income-4Yr'!AH38+'All Other E&amp;G-4Yr'!AH38</f>
        <v>50179146.851000004</v>
      </c>
      <c r="AI38" s="51">
        <f>+'Tuition-4Yr'!AI38+'State Appropriations-4Yr'!AI38+'Local Appropriations-4Yr'!AI38+'Fed Contracts Grnts-4Yr'!AI38+'Other Contract Grnts-4Yr'!AI38+'Investment Income-4Yr'!AI38+'All Other E&amp;G-4Yr'!AI38</f>
        <v>55686918.41300001</v>
      </c>
      <c r="AJ38" s="51">
        <f>+'Tuition-4Yr'!AJ38+'State Appropriations-4Yr'!AJ38+'Local Appropriations-4Yr'!AJ38+'Fed Contracts Grnts-4Yr'!AJ38+'Other Contract Grnts-4Yr'!AJ38+'Investment Income-4Yr'!AJ38+'All Other E&amp;G-4Yr'!AJ38</f>
        <v>0</v>
      </c>
      <c r="AK38" s="51">
        <f>+'Tuition-4Yr'!AK38+'State Appropriations-4Yr'!AK38+'Local Appropriations-4Yr'!AK38+'Fed Contracts Grnts-4Yr'!AK38+'Other Contract Grnts-4Yr'!AK38+'Investment Income-4Yr'!AK38+'All Other E&amp;G-4Yr'!AK38</f>
        <v>59217700.905000001</v>
      </c>
      <c r="AL38" s="51">
        <f>+'Tuition-4Yr'!AL38+'State Appropriations-4Yr'!AL38+'Local Appropriations-4Yr'!AL38+'Fed Contracts Grnts-4Yr'!AL38+'Other Contract Grnts-4Yr'!AL38+'Investment Income-4Yr'!AL38+'All Other E&amp;G-4Yr'!AL38</f>
        <v>58508535.594999999</v>
      </c>
    </row>
    <row r="39" spans="1:38" ht="12.75" customHeight="1">
      <c r="A39" s="6" t="s">
        <v>94</v>
      </c>
      <c r="B39" s="51">
        <f>+'Tuition-4Yr'!B39+'State Appropriations-4Yr'!B39+'Local Appropriations-4Yr'!B39+'Fed Contracts Grnts-4Yr'!B39+'Other Contract Grnts-4Yr'!B39+'Investment Income-4Yr'!B39+'All Other E&amp;G-4Yr'!B39</f>
        <v>0</v>
      </c>
      <c r="C39" s="51">
        <f>+'Tuition-4Yr'!C39+'State Appropriations-4Yr'!C39+'Local Appropriations-4Yr'!C39+'Fed Contracts Grnts-4Yr'!C39+'Other Contract Grnts-4Yr'!C39+'Investment Income-4Yr'!C39+'All Other E&amp;G-4Yr'!C39</f>
        <v>0</v>
      </c>
      <c r="D39" s="51">
        <f>+'Tuition-4Yr'!D39+'State Appropriations-4Yr'!D39+'Local Appropriations-4Yr'!D39+'Fed Contracts Grnts-4Yr'!D39+'Other Contract Grnts-4Yr'!D39+'Investment Income-4Yr'!D39+'All Other E&amp;G-4Yr'!D39</f>
        <v>0</v>
      </c>
      <c r="E39" s="51">
        <f>+'Tuition-4Yr'!E39+'State Appropriations-4Yr'!E39+'Local Appropriations-4Yr'!E39+'Fed Contracts Grnts-4Yr'!E39+'Other Contract Grnts-4Yr'!E39+'Investment Income-4Yr'!E39+'All Other E&amp;G-4Yr'!E39</f>
        <v>0</v>
      </c>
      <c r="F39" s="51">
        <f>+'Tuition-4Yr'!F39+'State Appropriations-4Yr'!F39+'Local Appropriations-4Yr'!F39+'Fed Contracts Grnts-4Yr'!F39+'Other Contract Grnts-4Yr'!F39+'Investment Income-4Yr'!F39+'All Other E&amp;G-4Yr'!F39</f>
        <v>0</v>
      </c>
      <c r="G39" s="51">
        <f>+'Tuition-4Yr'!G39+'State Appropriations-4Yr'!G39+'Local Appropriations-4Yr'!G39+'Fed Contracts Grnts-4Yr'!G39+'Other Contract Grnts-4Yr'!G39+'Investment Income-4Yr'!G39+'All Other E&amp;G-4Yr'!G39</f>
        <v>0</v>
      </c>
      <c r="H39" s="51">
        <f>+'Tuition-4Yr'!H39+'State Appropriations-4Yr'!H39+'Local Appropriations-4Yr'!H39+'Fed Contracts Grnts-4Yr'!H39+'Other Contract Grnts-4Yr'!H39+'Investment Income-4Yr'!H39+'All Other E&amp;G-4Yr'!H39</f>
        <v>0</v>
      </c>
      <c r="I39" s="51">
        <f>+'Tuition-4Yr'!I39+'State Appropriations-4Yr'!I39+'Local Appropriations-4Yr'!I39+'Fed Contracts Grnts-4Yr'!I39+'Other Contract Grnts-4Yr'!I39+'Investment Income-4Yr'!I39+'All Other E&amp;G-4Yr'!I39</f>
        <v>0</v>
      </c>
      <c r="J39" s="51">
        <f>+'Tuition-4Yr'!J39+'State Appropriations-4Yr'!J39+'Local Appropriations-4Yr'!J39+'Fed Contracts Grnts-4Yr'!J39+'Other Contract Grnts-4Yr'!J39+'Investment Income-4Yr'!J39+'All Other E&amp;G-4Yr'!J39</f>
        <v>0</v>
      </c>
      <c r="K39" s="51">
        <f>+'Tuition-4Yr'!K39+'State Appropriations-4Yr'!K39+'Local Appropriations-4Yr'!K39+'Fed Contracts Grnts-4Yr'!K39+'Other Contract Grnts-4Yr'!K39+'Investment Income-4Yr'!K39+'All Other E&amp;G-4Yr'!K39</f>
        <v>0</v>
      </c>
      <c r="L39" s="51">
        <f>+'Tuition-4Yr'!L39+'State Appropriations-4Yr'!L39+'Local Appropriations-4Yr'!L39+'Fed Contracts Grnts-4Yr'!L39+'Other Contract Grnts-4Yr'!L39+'Investment Income-4Yr'!L39+'All Other E&amp;G-4Yr'!L39</f>
        <v>0</v>
      </c>
      <c r="M39" s="51">
        <f>+'Tuition-4Yr'!M39+'State Appropriations-4Yr'!M39+'Local Appropriations-4Yr'!M39+'Fed Contracts Grnts-4Yr'!M39+'Other Contract Grnts-4Yr'!M39+'Investment Income-4Yr'!M39+'All Other E&amp;G-4Yr'!M39</f>
        <v>0</v>
      </c>
      <c r="N39" s="51">
        <f>+'Tuition-4Yr'!N39+'State Appropriations-4Yr'!N39+'Local Appropriations-4Yr'!N39+'Fed Contracts Grnts-4Yr'!N39+'Other Contract Grnts-4Yr'!N39+'Investment Income-4Yr'!N39+'All Other E&amp;G-4Yr'!N39</f>
        <v>0</v>
      </c>
      <c r="O39" s="51">
        <f>+'Tuition-4Yr'!O39+'State Appropriations-4Yr'!O39+'Local Appropriations-4Yr'!O39+'Fed Contracts Grnts-4Yr'!O39+'Other Contract Grnts-4Yr'!O39+'Investment Income-4Yr'!O39+'All Other E&amp;G-4Yr'!O39</f>
        <v>0</v>
      </c>
      <c r="P39" s="51">
        <f>+'Tuition-4Yr'!P39+'State Appropriations-4Yr'!P39+'Local Appropriations-4Yr'!P39+'Fed Contracts Grnts-4Yr'!P39+'Other Contract Grnts-4Yr'!P39+'Investment Income-4Yr'!P39+'All Other E&amp;G-4Yr'!P39</f>
        <v>0</v>
      </c>
      <c r="Q39" s="51">
        <f>+'Tuition-4Yr'!Q39+'State Appropriations-4Yr'!Q39+'Local Appropriations-4Yr'!Q39+'Fed Contracts Grnts-4Yr'!Q39+'Other Contract Grnts-4Yr'!Q39+'Investment Income-4Yr'!Q39+'All Other E&amp;G-4Yr'!Q39</f>
        <v>0</v>
      </c>
      <c r="R39" s="51">
        <f>+'Tuition-4Yr'!R39+'State Appropriations-4Yr'!R39+'Local Appropriations-4Yr'!R39+'Fed Contracts Grnts-4Yr'!R39+'Other Contract Grnts-4Yr'!R39+'Investment Income-4Yr'!R39+'All Other E&amp;G-4Yr'!R39</f>
        <v>0</v>
      </c>
      <c r="S39" s="51">
        <f>+'Tuition-4Yr'!S39+'State Appropriations-4Yr'!S39+'Local Appropriations-4Yr'!S39+'Fed Contracts Grnts-4Yr'!S39+'Other Contract Grnts-4Yr'!S39+'Investment Income-4Yr'!S39+'All Other E&amp;G-4Yr'!S39</f>
        <v>0</v>
      </c>
      <c r="T39" s="51">
        <f>+'Tuition-4Yr'!T39+'State Appropriations-4Yr'!T39+'Local Appropriations-4Yr'!T39+'Fed Contracts Grnts-4Yr'!T39+'Other Contract Grnts-4Yr'!T39+'Investment Income-4Yr'!T39+'All Other E&amp;G-4Yr'!T39</f>
        <v>0</v>
      </c>
      <c r="U39" s="51">
        <f>+'Tuition-4Yr'!U39+'State Appropriations-4Yr'!U39+'Local Appropriations-4Yr'!U39+'Fed Contracts Grnts-4Yr'!U39+'Other Contract Grnts-4Yr'!U39+'Investment Income-4Yr'!U39+'All Other E&amp;G-4Yr'!U39</f>
        <v>0</v>
      </c>
      <c r="V39" s="51">
        <f>+'Tuition-4Yr'!V39+'State Appropriations-4Yr'!V39+'Local Appropriations-4Yr'!V39+'Fed Contracts Grnts-4Yr'!V39+'Other Contract Grnts-4Yr'!V39+'Investment Income-4Yr'!V39+'All Other E&amp;G-4Yr'!V39</f>
        <v>0</v>
      </c>
      <c r="W39" s="51">
        <f>+'Tuition-4Yr'!W39+'State Appropriations-4Yr'!W39+'Local Appropriations-4Yr'!W39+'Fed Contracts Grnts-4Yr'!W39+'Other Contract Grnts-4Yr'!W39+'Investment Income-4Yr'!W39+'All Other E&amp;G-4Yr'!W39</f>
        <v>0</v>
      </c>
      <c r="X39" s="51">
        <f>+'Tuition-4Yr'!X39+'State Appropriations-4Yr'!X39+'Local Appropriations-4Yr'!X39+'Fed Contracts Grnts-4Yr'!X39+'Other Contract Grnts-4Yr'!X39+'Investment Income-4Yr'!X39+'All Other E&amp;G-4Yr'!X39</f>
        <v>0</v>
      </c>
      <c r="Y39" s="51">
        <f>+'Tuition-4Yr'!Y39+'State Appropriations-4Yr'!Y39+'Local Appropriations-4Yr'!Y39+'Fed Contracts Grnts-4Yr'!Y39+'Other Contract Grnts-4Yr'!Y39+'Investment Income-4Yr'!Y39+'All Other E&amp;G-4Yr'!Y39</f>
        <v>0</v>
      </c>
      <c r="Z39" s="51">
        <f>+'Tuition-4Yr'!Z39+'State Appropriations-4Yr'!Z39+'Local Appropriations-4Yr'!Z39+'Fed Contracts Grnts-4Yr'!Z39+'Other Contract Grnts-4Yr'!Z39+'Investment Income-4Yr'!Z39+'All Other E&amp;G-4Yr'!Z39</f>
        <v>0</v>
      </c>
      <c r="AA39" s="51">
        <f>+'Tuition-4Yr'!AA39+'State Appropriations-4Yr'!AA39+'Local Appropriations-4Yr'!AA39+'Fed Contracts Grnts-4Yr'!AA39+'Other Contract Grnts-4Yr'!AA39+'Investment Income-4Yr'!AA39+'All Other E&amp;G-4Yr'!AA39</f>
        <v>0</v>
      </c>
      <c r="AB39" s="51">
        <f>+'Tuition-4Yr'!AB39+'State Appropriations-4Yr'!AB39+'Local Appropriations-4Yr'!AB39+'Fed Contracts Grnts-4Yr'!AB39+'Other Contract Grnts-4Yr'!AB39+'Investment Income-4Yr'!AB39+'All Other E&amp;G-4Yr'!AB39</f>
        <v>0</v>
      </c>
      <c r="AC39" s="51">
        <f>+'Tuition-4Yr'!AC39+'State Appropriations-4Yr'!AC39+'Local Appropriations-4Yr'!AC39+'Fed Contracts Grnts-4Yr'!AC39+'Other Contract Grnts-4Yr'!AC39+'Investment Income-4Yr'!AC39+'All Other E&amp;G-4Yr'!AC39</f>
        <v>0</v>
      </c>
      <c r="AD39" s="51">
        <f>+'Tuition-4Yr'!AD39+'State Appropriations-4Yr'!AD39+'Local Appropriations-4Yr'!AD39+'Fed Contracts Grnts-4Yr'!AD39+'Other Contract Grnts-4Yr'!AD39+'Investment Income-4Yr'!AD39+'All Other E&amp;G-4Yr'!AD39</f>
        <v>0</v>
      </c>
      <c r="AE39" s="51">
        <f>+'Tuition-4Yr'!AE39+'State Appropriations-4Yr'!AE39+'Local Appropriations-4Yr'!AE39+'Fed Contracts Grnts-4Yr'!AE39+'Other Contract Grnts-4Yr'!AE39+'Investment Income-4Yr'!AE39+'All Other E&amp;G-4Yr'!AE39</f>
        <v>0</v>
      </c>
      <c r="AF39" s="51">
        <f>+'Tuition-4Yr'!AF39+'State Appropriations-4Yr'!AF39+'Local Appropriations-4Yr'!AF39+'Fed Contracts Grnts-4Yr'!AF39+'Other Contract Grnts-4Yr'!AF39+'Investment Income-4Yr'!AF39+'All Other E&amp;G-4Yr'!AF39</f>
        <v>0</v>
      </c>
      <c r="AG39" s="51">
        <f>+'Tuition-4Yr'!AG39+'State Appropriations-4Yr'!AG39+'Local Appropriations-4Yr'!AG39+'Fed Contracts Grnts-4Yr'!AG39+'Other Contract Grnts-4Yr'!AG39+'Investment Income-4Yr'!AG39+'All Other E&amp;G-4Yr'!AG39</f>
        <v>0</v>
      </c>
      <c r="AH39" s="51">
        <f>+'Tuition-4Yr'!AH39+'State Appropriations-4Yr'!AH39+'Local Appropriations-4Yr'!AH39+'Fed Contracts Grnts-4Yr'!AH39+'Other Contract Grnts-4Yr'!AH39+'Investment Income-4Yr'!AH39+'All Other E&amp;G-4Yr'!AH39</f>
        <v>0</v>
      </c>
      <c r="AI39" s="51">
        <f>+'Tuition-4Yr'!AI39+'State Appropriations-4Yr'!AI39+'Local Appropriations-4Yr'!AI39+'Fed Contracts Grnts-4Yr'!AI39+'Other Contract Grnts-4Yr'!AI39+'Investment Income-4Yr'!AI39+'All Other E&amp;G-4Yr'!AI39</f>
        <v>0</v>
      </c>
      <c r="AJ39" s="51">
        <f>+'Tuition-4Yr'!AJ39+'State Appropriations-4Yr'!AJ39+'Local Appropriations-4Yr'!AJ39+'Fed Contracts Grnts-4Yr'!AJ39+'Other Contract Grnts-4Yr'!AJ39+'Investment Income-4Yr'!AJ39+'All Other E&amp;G-4Yr'!AJ39</f>
        <v>0</v>
      </c>
      <c r="AK39" s="51">
        <f>+'Tuition-4Yr'!AK39+'State Appropriations-4Yr'!AK39+'Local Appropriations-4Yr'!AK39+'Fed Contracts Grnts-4Yr'!AK39+'Other Contract Grnts-4Yr'!AK39+'Investment Income-4Yr'!AK39+'All Other E&amp;G-4Yr'!AK39</f>
        <v>0</v>
      </c>
      <c r="AL39" s="51">
        <f>+'Tuition-4Yr'!AL39+'State Appropriations-4Yr'!AL39+'Local Appropriations-4Yr'!AL39+'Fed Contracts Grnts-4Yr'!AL39+'Other Contract Grnts-4Yr'!AL39+'Investment Income-4Yr'!AL39+'All Other E&amp;G-4Yr'!AL39</f>
        <v>0</v>
      </c>
    </row>
    <row r="40" spans="1:38" ht="12.75" customHeight="1">
      <c r="A40" s="1" t="s">
        <v>53</v>
      </c>
      <c r="B40" s="51">
        <f>+'Tuition-4Yr'!B40+'State Appropriations-4Yr'!B40+'Local Appropriations-4Yr'!B40+'Fed Contracts Grnts-4Yr'!B40+'Other Contract Grnts-4Yr'!B40+'Investment Income-4Yr'!B40+'All Other E&amp;G-4Yr'!B40</f>
        <v>0</v>
      </c>
      <c r="C40" s="51">
        <f>+'Tuition-4Yr'!C40+'State Appropriations-4Yr'!C40+'Local Appropriations-4Yr'!C40+'Fed Contracts Grnts-4Yr'!C40+'Other Contract Grnts-4Yr'!C40+'Investment Income-4Yr'!C40+'All Other E&amp;G-4Yr'!C40</f>
        <v>0</v>
      </c>
      <c r="D40" s="51">
        <f>+'Tuition-4Yr'!D40+'State Appropriations-4Yr'!D40+'Local Appropriations-4Yr'!D40+'Fed Contracts Grnts-4Yr'!D40+'Other Contract Grnts-4Yr'!D40+'Investment Income-4Yr'!D40+'All Other E&amp;G-4Yr'!D40</f>
        <v>0</v>
      </c>
      <c r="E40" s="51">
        <f>+'Tuition-4Yr'!E40+'State Appropriations-4Yr'!E40+'Local Appropriations-4Yr'!E40+'Fed Contracts Grnts-4Yr'!E40+'Other Contract Grnts-4Yr'!E40+'Investment Income-4Yr'!E40+'All Other E&amp;G-4Yr'!E40</f>
        <v>0</v>
      </c>
      <c r="F40" s="51">
        <f>+'Tuition-4Yr'!F40+'State Appropriations-4Yr'!F40+'Local Appropriations-4Yr'!F40+'Fed Contracts Grnts-4Yr'!F40+'Other Contract Grnts-4Yr'!F40+'Investment Income-4Yr'!F40+'All Other E&amp;G-4Yr'!F40</f>
        <v>0</v>
      </c>
      <c r="G40" s="51">
        <f>+'Tuition-4Yr'!G40+'State Appropriations-4Yr'!G40+'Local Appropriations-4Yr'!G40+'Fed Contracts Grnts-4Yr'!G40+'Other Contract Grnts-4Yr'!G40+'Investment Income-4Yr'!G40+'All Other E&amp;G-4Yr'!G40</f>
        <v>0</v>
      </c>
      <c r="H40" s="51">
        <f>+'Tuition-4Yr'!H40+'State Appropriations-4Yr'!H40+'Local Appropriations-4Yr'!H40+'Fed Contracts Grnts-4Yr'!H40+'Other Contract Grnts-4Yr'!H40+'Investment Income-4Yr'!H40+'All Other E&amp;G-4Yr'!H40</f>
        <v>0</v>
      </c>
      <c r="I40" s="51">
        <f>+'Tuition-4Yr'!I40+'State Appropriations-4Yr'!I40+'Local Appropriations-4Yr'!I40+'Fed Contracts Grnts-4Yr'!I40+'Other Contract Grnts-4Yr'!I40+'Investment Income-4Yr'!I40+'All Other E&amp;G-4Yr'!I40</f>
        <v>0</v>
      </c>
      <c r="J40" s="51">
        <f>+'Tuition-4Yr'!J40+'State Appropriations-4Yr'!J40+'Local Appropriations-4Yr'!J40+'Fed Contracts Grnts-4Yr'!J40+'Other Contract Grnts-4Yr'!J40+'Investment Income-4Yr'!J40+'All Other E&amp;G-4Yr'!J40</f>
        <v>2189982.9840000002</v>
      </c>
      <c r="K40" s="51">
        <f>+'Tuition-4Yr'!K40+'State Appropriations-4Yr'!K40+'Local Appropriations-4Yr'!K40+'Fed Contracts Grnts-4Yr'!K40+'Other Contract Grnts-4Yr'!K40+'Investment Income-4Yr'!K40+'All Other E&amp;G-4Yr'!K40</f>
        <v>0</v>
      </c>
      <c r="L40" s="51">
        <f>+'Tuition-4Yr'!L40+'State Appropriations-4Yr'!L40+'Local Appropriations-4Yr'!L40+'Fed Contracts Grnts-4Yr'!L40+'Other Contract Grnts-4Yr'!L40+'Investment Income-4Yr'!L40+'All Other E&amp;G-4Yr'!L40</f>
        <v>0</v>
      </c>
      <c r="M40" s="51">
        <f>+'Tuition-4Yr'!M40+'State Appropriations-4Yr'!M40+'Local Appropriations-4Yr'!M40+'Fed Contracts Grnts-4Yr'!M40+'Other Contract Grnts-4Yr'!M40+'Investment Income-4Yr'!M40+'All Other E&amp;G-4Yr'!M40</f>
        <v>2497914.281</v>
      </c>
      <c r="N40" s="51">
        <f>+'Tuition-4Yr'!N40+'State Appropriations-4Yr'!N40+'Local Appropriations-4Yr'!N40+'Fed Contracts Grnts-4Yr'!N40+'Other Contract Grnts-4Yr'!N40+'Investment Income-4Yr'!N40+'All Other E&amp;G-4Yr'!N40</f>
        <v>0</v>
      </c>
      <c r="O40" s="51">
        <f>+'Tuition-4Yr'!O40+'State Appropriations-4Yr'!O40+'Local Appropriations-4Yr'!O40+'Fed Contracts Grnts-4Yr'!O40+'Other Contract Grnts-4Yr'!O40+'Investment Income-4Yr'!O40+'All Other E&amp;G-4Yr'!O40</f>
        <v>2839985.2910000002</v>
      </c>
      <c r="P40" s="51">
        <f>+'Tuition-4Yr'!P40+'State Appropriations-4Yr'!P40+'Local Appropriations-4Yr'!P40+'Fed Contracts Grnts-4Yr'!P40+'Other Contract Grnts-4Yr'!P40+'Investment Income-4Yr'!P40+'All Other E&amp;G-4Yr'!P40</f>
        <v>0</v>
      </c>
      <c r="Q40" s="51">
        <f>+'Tuition-4Yr'!Q40+'State Appropriations-4Yr'!Q40+'Local Appropriations-4Yr'!Q40+'Fed Contracts Grnts-4Yr'!Q40+'Other Contract Grnts-4Yr'!Q40+'Investment Income-4Yr'!Q40+'All Other E&amp;G-4Yr'!Q40</f>
        <v>0</v>
      </c>
      <c r="R40" s="51">
        <f>+'Tuition-4Yr'!R40+'State Appropriations-4Yr'!R40+'Local Appropriations-4Yr'!R40+'Fed Contracts Grnts-4Yr'!R40+'Other Contract Grnts-4Yr'!R40+'Investment Income-4Yr'!R40+'All Other E&amp;G-4Yr'!R40</f>
        <v>3290183.4009999996</v>
      </c>
      <c r="S40" s="51">
        <f>+'Tuition-4Yr'!S40+'State Appropriations-4Yr'!S40+'Local Appropriations-4Yr'!S40+'Fed Contracts Grnts-4Yr'!S40+'Other Contract Grnts-4Yr'!S40+'Investment Income-4Yr'!S40+'All Other E&amp;G-4Yr'!S40</f>
        <v>3509086.3549999995</v>
      </c>
      <c r="T40" s="51">
        <f>+'Tuition-4Yr'!T40+'State Appropriations-4Yr'!T40+'Local Appropriations-4Yr'!T40+'Fed Contracts Grnts-4Yr'!T40+'Other Contract Grnts-4Yr'!T40+'Investment Income-4Yr'!T40+'All Other E&amp;G-4Yr'!T40</f>
        <v>4150596.0180000002</v>
      </c>
      <c r="U40" s="51">
        <f>+'Tuition-4Yr'!U40+'State Appropriations-4Yr'!U40+'Local Appropriations-4Yr'!U40+'Fed Contracts Grnts-4Yr'!U40+'Other Contract Grnts-4Yr'!U40+'Investment Income-4Yr'!U40+'All Other E&amp;G-4Yr'!U40</f>
        <v>4248860.9469999997</v>
      </c>
      <c r="V40" s="51">
        <f>+'Tuition-4Yr'!V40+'State Appropriations-4Yr'!V40+'Local Appropriations-4Yr'!V40+'Fed Contracts Grnts-4Yr'!V40+'Other Contract Grnts-4Yr'!V40+'Investment Income-4Yr'!V40+'All Other E&amp;G-4Yr'!V40</f>
        <v>5277062.4730000002</v>
      </c>
      <c r="W40" s="51">
        <f>+'Tuition-4Yr'!W40+'State Appropriations-4Yr'!W40+'Local Appropriations-4Yr'!W40+'Fed Contracts Grnts-4Yr'!W40+'Other Contract Grnts-4Yr'!W40+'Investment Income-4Yr'!W40+'All Other E&amp;G-4Yr'!W40</f>
        <v>4639167.8610000005</v>
      </c>
      <c r="X40" s="51">
        <f>+'Tuition-4Yr'!X40+'State Appropriations-4Yr'!X40+'Local Appropriations-4Yr'!X40+'Fed Contracts Grnts-4Yr'!X40+'Other Contract Grnts-4Yr'!X40+'Investment Income-4Yr'!X40+'All Other E&amp;G-4Yr'!X40</f>
        <v>4818922.1239999998</v>
      </c>
      <c r="Y40" s="51">
        <f>+'Tuition-4Yr'!Y40+'State Appropriations-4Yr'!Y40+'Local Appropriations-4Yr'!Y40+'Fed Contracts Grnts-4Yr'!Y40+'Other Contract Grnts-4Yr'!Y40+'Investment Income-4Yr'!Y40+'All Other E&amp;G-4Yr'!Y40</f>
        <v>5003197.6009999998</v>
      </c>
      <c r="Z40" s="51">
        <f>+'Tuition-4Yr'!Z40+'State Appropriations-4Yr'!Z40+'Local Appropriations-4Yr'!Z40+'Fed Contracts Grnts-4Yr'!Z40+'Other Contract Grnts-4Yr'!Z40+'Investment Income-4Yr'!Z40+'All Other E&amp;G-4Yr'!Z40</f>
        <v>5278624.2220000001</v>
      </c>
      <c r="AA40" s="51">
        <f>+'Tuition-4Yr'!AA40+'State Appropriations-4Yr'!AA40+'Local Appropriations-4Yr'!AA40+'Fed Contracts Grnts-4Yr'!AA40+'Other Contract Grnts-4Yr'!AA40+'Investment Income-4Yr'!AA40+'All Other E&amp;G-4Yr'!AA40</f>
        <v>5851082.0779999997</v>
      </c>
      <c r="AB40" s="51">
        <f>+'Tuition-4Yr'!AB40+'State Appropriations-4Yr'!AB40+'Local Appropriations-4Yr'!AB40+'Fed Contracts Grnts-4Yr'!AB40+'Other Contract Grnts-4Yr'!AB40+'Investment Income-4Yr'!AB40+'All Other E&amp;G-4Yr'!AB40</f>
        <v>6463249.1290000007</v>
      </c>
      <c r="AC40" s="51">
        <f>+'Tuition-4Yr'!AC40+'State Appropriations-4Yr'!AC40+'Local Appropriations-4Yr'!AC40+'Fed Contracts Grnts-4Yr'!AC40+'Other Contract Grnts-4Yr'!AC40+'Investment Income-4Yr'!AC40+'All Other E&amp;G-4Yr'!AC40</f>
        <v>6744528</v>
      </c>
      <c r="AD40" s="51">
        <f>+'Tuition-4Yr'!AD40+'State Appropriations-4Yr'!AD40+'Local Appropriations-4Yr'!AD40+'Fed Contracts Grnts-4Yr'!AD40+'Other Contract Grnts-4Yr'!AD40+'Investment Income-4Yr'!AD40+'All Other E&amp;G-4Yr'!AD40</f>
        <v>7135360.0700000003</v>
      </c>
      <c r="AE40" s="51">
        <f>+'Tuition-4Yr'!AE40+'State Appropriations-4Yr'!AE40+'Local Appropriations-4Yr'!AE40+'Fed Contracts Grnts-4Yr'!AE40+'Other Contract Grnts-4Yr'!AE40+'Investment Income-4Yr'!AE40+'All Other E&amp;G-4Yr'!AE40</f>
        <v>7602614.7919999994</v>
      </c>
      <c r="AF40" s="51">
        <f>+'Tuition-4Yr'!AF40+'State Appropriations-4Yr'!AF40+'Local Appropriations-4Yr'!AF40+'Fed Contracts Grnts-4Yr'!AF40+'Other Contract Grnts-4Yr'!AF40+'Investment Income-4Yr'!AF40+'All Other E&amp;G-4Yr'!AF40</f>
        <v>7267155.2180000003</v>
      </c>
      <c r="AG40" s="51">
        <f>+'Tuition-4Yr'!AG40+'State Appropriations-4Yr'!AG40+'Local Appropriations-4Yr'!AG40+'Fed Contracts Grnts-4Yr'!AG40+'Other Contract Grnts-4Yr'!AG40+'Investment Income-4Yr'!AG40+'All Other E&amp;G-4Yr'!AG40</f>
        <v>7909387.5799999991</v>
      </c>
      <c r="AH40" s="51">
        <f>+'Tuition-4Yr'!AH40+'State Appropriations-4Yr'!AH40+'Local Appropriations-4Yr'!AH40+'Fed Contracts Grnts-4Yr'!AH40+'Other Contract Grnts-4Yr'!AH40+'Investment Income-4Yr'!AH40+'All Other E&amp;G-4Yr'!AH40</f>
        <v>7446127.2080000006</v>
      </c>
      <c r="AI40" s="51">
        <f>+'Tuition-4Yr'!AI40+'State Appropriations-4Yr'!AI40+'Local Appropriations-4Yr'!AI40+'Fed Contracts Grnts-4Yr'!AI40+'Other Contract Grnts-4Yr'!AI40+'Investment Income-4Yr'!AI40+'All Other E&amp;G-4Yr'!AI40</f>
        <v>8265734.0399999991</v>
      </c>
      <c r="AJ40" s="51">
        <f>+'Tuition-4Yr'!AJ40+'State Appropriations-4Yr'!AJ40+'Local Appropriations-4Yr'!AJ40+'Fed Contracts Grnts-4Yr'!AJ40+'Other Contract Grnts-4Yr'!AJ40+'Investment Income-4Yr'!AJ40+'All Other E&amp;G-4Yr'!AJ40</f>
        <v>0</v>
      </c>
      <c r="AK40" s="51">
        <f>+'Tuition-4Yr'!AK40+'State Appropriations-4Yr'!AK40+'Local Appropriations-4Yr'!AK40+'Fed Contracts Grnts-4Yr'!AK40+'Other Contract Grnts-4Yr'!AK40+'Investment Income-4Yr'!AK40+'All Other E&amp;G-4Yr'!AK40</f>
        <v>8147506.4440000001</v>
      </c>
      <c r="AL40" s="51">
        <f>+'Tuition-4Yr'!AL40+'State Appropriations-4Yr'!AL40+'Local Appropriations-4Yr'!AL40+'Fed Contracts Grnts-4Yr'!AL40+'Other Contract Grnts-4Yr'!AL40+'Investment Income-4Yr'!AL40+'All Other E&amp;G-4Yr'!AL40</f>
        <v>8447349.6040000003</v>
      </c>
    </row>
    <row r="41" spans="1:38" ht="12.75" customHeight="1">
      <c r="A41" s="1" t="s">
        <v>54</v>
      </c>
      <c r="B41" s="51">
        <f>+'Tuition-4Yr'!B41+'State Appropriations-4Yr'!B41+'Local Appropriations-4Yr'!B41+'Fed Contracts Grnts-4Yr'!B41+'Other Contract Grnts-4Yr'!B41+'Investment Income-4Yr'!B41+'All Other E&amp;G-4Yr'!B41</f>
        <v>0</v>
      </c>
      <c r="C41" s="51">
        <f>+'Tuition-4Yr'!C41+'State Appropriations-4Yr'!C41+'Local Appropriations-4Yr'!C41+'Fed Contracts Grnts-4Yr'!C41+'Other Contract Grnts-4Yr'!C41+'Investment Income-4Yr'!C41+'All Other E&amp;G-4Yr'!C41</f>
        <v>0</v>
      </c>
      <c r="D41" s="51">
        <f>+'Tuition-4Yr'!D41+'State Appropriations-4Yr'!D41+'Local Appropriations-4Yr'!D41+'Fed Contracts Grnts-4Yr'!D41+'Other Contract Grnts-4Yr'!D41+'Investment Income-4Yr'!D41+'All Other E&amp;G-4Yr'!D41</f>
        <v>0</v>
      </c>
      <c r="E41" s="51">
        <f>+'Tuition-4Yr'!E41+'State Appropriations-4Yr'!E41+'Local Appropriations-4Yr'!E41+'Fed Contracts Grnts-4Yr'!E41+'Other Contract Grnts-4Yr'!E41+'Investment Income-4Yr'!E41+'All Other E&amp;G-4Yr'!E41</f>
        <v>0</v>
      </c>
      <c r="F41" s="51">
        <f>+'Tuition-4Yr'!F41+'State Appropriations-4Yr'!F41+'Local Appropriations-4Yr'!F41+'Fed Contracts Grnts-4Yr'!F41+'Other Contract Grnts-4Yr'!F41+'Investment Income-4Yr'!F41+'All Other E&amp;G-4Yr'!F41</f>
        <v>0</v>
      </c>
      <c r="G41" s="51">
        <f>+'Tuition-4Yr'!G41+'State Appropriations-4Yr'!G41+'Local Appropriations-4Yr'!G41+'Fed Contracts Grnts-4Yr'!G41+'Other Contract Grnts-4Yr'!G41+'Investment Income-4Yr'!G41+'All Other E&amp;G-4Yr'!G41</f>
        <v>0</v>
      </c>
      <c r="H41" s="51">
        <f>+'Tuition-4Yr'!H41+'State Appropriations-4Yr'!H41+'Local Appropriations-4Yr'!H41+'Fed Contracts Grnts-4Yr'!H41+'Other Contract Grnts-4Yr'!H41+'Investment Income-4Yr'!H41+'All Other E&amp;G-4Yr'!H41</f>
        <v>0</v>
      </c>
      <c r="I41" s="51">
        <f>+'Tuition-4Yr'!I41+'State Appropriations-4Yr'!I41+'Local Appropriations-4Yr'!I41+'Fed Contracts Grnts-4Yr'!I41+'Other Contract Grnts-4Yr'!I41+'Investment Income-4Yr'!I41+'All Other E&amp;G-4Yr'!I41</f>
        <v>0</v>
      </c>
      <c r="J41" s="51">
        <f>+'Tuition-4Yr'!J41+'State Appropriations-4Yr'!J41+'Local Appropriations-4Yr'!J41+'Fed Contracts Grnts-4Yr'!J41+'Other Contract Grnts-4Yr'!J41+'Investment Income-4Yr'!J41+'All Other E&amp;G-4Yr'!J41</f>
        <v>1887342.5089999996</v>
      </c>
      <c r="K41" s="51">
        <f>+'Tuition-4Yr'!K41+'State Appropriations-4Yr'!K41+'Local Appropriations-4Yr'!K41+'Fed Contracts Grnts-4Yr'!K41+'Other Contract Grnts-4Yr'!K41+'Investment Income-4Yr'!K41+'All Other E&amp;G-4Yr'!K41</f>
        <v>0</v>
      </c>
      <c r="L41" s="51">
        <f>+'Tuition-4Yr'!L41+'State Appropriations-4Yr'!L41+'Local Appropriations-4Yr'!L41+'Fed Contracts Grnts-4Yr'!L41+'Other Contract Grnts-4Yr'!L41+'Investment Income-4Yr'!L41+'All Other E&amp;G-4Yr'!L41</f>
        <v>0</v>
      </c>
      <c r="M41" s="51">
        <f>+'Tuition-4Yr'!M41+'State Appropriations-4Yr'!M41+'Local Appropriations-4Yr'!M41+'Fed Contracts Grnts-4Yr'!M41+'Other Contract Grnts-4Yr'!M41+'Investment Income-4Yr'!M41+'All Other E&amp;G-4Yr'!M41</f>
        <v>2089694.7579999999</v>
      </c>
      <c r="N41" s="51">
        <f>+'Tuition-4Yr'!N41+'State Appropriations-4Yr'!N41+'Local Appropriations-4Yr'!N41+'Fed Contracts Grnts-4Yr'!N41+'Other Contract Grnts-4Yr'!N41+'Investment Income-4Yr'!N41+'All Other E&amp;G-4Yr'!N41</f>
        <v>0</v>
      </c>
      <c r="O41" s="51">
        <f>+'Tuition-4Yr'!O41+'State Appropriations-4Yr'!O41+'Local Appropriations-4Yr'!O41+'Fed Contracts Grnts-4Yr'!O41+'Other Contract Grnts-4Yr'!O41+'Investment Income-4Yr'!O41+'All Other E&amp;G-4Yr'!O41</f>
        <v>2315781.5219999999</v>
      </c>
      <c r="P41" s="51">
        <f>+'Tuition-4Yr'!P41+'State Appropriations-4Yr'!P41+'Local Appropriations-4Yr'!P41+'Fed Contracts Grnts-4Yr'!P41+'Other Contract Grnts-4Yr'!P41+'Investment Income-4Yr'!P41+'All Other E&amp;G-4Yr'!P41</f>
        <v>0</v>
      </c>
      <c r="Q41" s="51">
        <f>+'Tuition-4Yr'!Q41+'State Appropriations-4Yr'!Q41+'Local Appropriations-4Yr'!Q41+'Fed Contracts Grnts-4Yr'!Q41+'Other Contract Grnts-4Yr'!Q41+'Investment Income-4Yr'!Q41+'All Other E&amp;G-4Yr'!Q41</f>
        <v>0</v>
      </c>
      <c r="R41" s="51">
        <f>+'Tuition-4Yr'!R41+'State Appropriations-4Yr'!R41+'Local Appropriations-4Yr'!R41+'Fed Contracts Grnts-4Yr'!R41+'Other Contract Grnts-4Yr'!R41+'Investment Income-4Yr'!R41+'All Other E&amp;G-4Yr'!R41</f>
        <v>2780044.5210000002</v>
      </c>
      <c r="S41" s="51">
        <f>+'Tuition-4Yr'!S41+'State Appropriations-4Yr'!S41+'Local Appropriations-4Yr'!S41+'Fed Contracts Grnts-4Yr'!S41+'Other Contract Grnts-4Yr'!S41+'Investment Income-4Yr'!S41+'All Other E&amp;G-4Yr'!S41</f>
        <v>3009608.923</v>
      </c>
      <c r="T41" s="51">
        <f>+'Tuition-4Yr'!T41+'State Appropriations-4Yr'!T41+'Local Appropriations-4Yr'!T41+'Fed Contracts Grnts-4Yr'!T41+'Other Contract Grnts-4Yr'!T41+'Investment Income-4Yr'!T41+'All Other E&amp;G-4Yr'!T41</f>
        <v>3191586.014</v>
      </c>
      <c r="U41" s="51">
        <f>+'Tuition-4Yr'!U41+'State Appropriations-4Yr'!U41+'Local Appropriations-4Yr'!U41+'Fed Contracts Grnts-4Yr'!U41+'Other Contract Grnts-4Yr'!U41+'Investment Income-4Yr'!U41+'All Other E&amp;G-4Yr'!U41</f>
        <v>3287144.6410000003</v>
      </c>
      <c r="V41" s="51">
        <f>+'Tuition-4Yr'!V41+'State Appropriations-4Yr'!V41+'Local Appropriations-4Yr'!V41+'Fed Contracts Grnts-4Yr'!V41+'Other Contract Grnts-4Yr'!V41+'Investment Income-4Yr'!V41+'All Other E&amp;G-4Yr'!V41</f>
        <v>3634199.7920000004</v>
      </c>
      <c r="W41" s="51">
        <f>+'Tuition-4Yr'!W41+'State Appropriations-4Yr'!W41+'Local Appropriations-4Yr'!W41+'Fed Contracts Grnts-4Yr'!W41+'Other Contract Grnts-4Yr'!W41+'Investment Income-4Yr'!W41+'All Other E&amp;G-4Yr'!W41</f>
        <v>4056339.6510000001</v>
      </c>
      <c r="X41" s="51">
        <f>+'Tuition-4Yr'!X41+'State Appropriations-4Yr'!X41+'Local Appropriations-4Yr'!X41+'Fed Contracts Grnts-4Yr'!X41+'Other Contract Grnts-4Yr'!X41+'Investment Income-4Yr'!X41+'All Other E&amp;G-4Yr'!X41</f>
        <v>3977458.7709999997</v>
      </c>
      <c r="Y41" s="51">
        <f>+'Tuition-4Yr'!Y41+'State Appropriations-4Yr'!Y41+'Local Appropriations-4Yr'!Y41+'Fed Contracts Grnts-4Yr'!Y41+'Other Contract Grnts-4Yr'!Y41+'Investment Income-4Yr'!Y41+'All Other E&amp;G-4Yr'!Y41</f>
        <v>4322770.7799999993</v>
      </c>
      <c r="Z41" s="51">
        <f>+'Tuition-4Yr'!Z41+'State Appropriations-4Yr'!Z41+'Local Appropriations-4Yr'!Z41+'Fed Contracts Grnts-4Yr'!Z41+'Other Contract Grnts-4Yr'!Z41+'Investment Income-4Yr'!Z41+'All Other E&amp;G-4Yr'!Z41</f>
        <v>4383900.5449999999</v>
      </c>
      <c r="AA41" s="51">
        <f>+'Tuition-4Yr'!AA41+'State Appropriations-4Yr'!AA41+'Local Appropriations-4Yr'!AA41+'Fed Contracts Grnts-4Yr'!AA41+'Other Contract Grnts-4Yr'!AA41+'Investment Income-4Yr'!AA41+'All Other E&amp;G-4Yr'!AA41</f>
        <v>4579677.1620000005</v>
      </c>
      <c r="AB41" s="51">
        <f>+'Tuition-4Yr'!AB41+'State Appropriations-4Yr'!AB41+'Local Appropriations-4Yr'!AB41+'Fed Contracts Grnts-4Yr'!AB41+'Other Contract Grnts-4Yr'!AB41+'Investment Income-4Yr'!AB41+'All Other E&amp;G-4Yr'!AB41</f>
        <v>5372996.6189999999</v>
      </c>
      <c r="AC41" s="51">
        <f>+'Tuition-4Yr'!AC41+'State Appropriations-4Yr'!AC41+'Local Appropriations-4Yr'!AC41+'Fed Contracts Grnts-4Yr'!AC41+'Other Contract Grnts-4Yr'!AC41+'Investment Income-4Yr'!AC41+'All Other E&amp;G-4Yr'!AC41</f>
        <v>5689700</v>
      </c>
      <c r="AD41" s="51">
        <f>+'Tuition-4Yr'!AD41+'State Appropriations-4Yr'!AD41+'Local Appropriations-4Yr'!AD41+'Fed Contracts Grnts-4Yr'!AD41+'Other Contract Grnts-4Yr'!AD41+'Investment Income-4Yr'!AD41+'All Other E&amp;G-4Yr'!AD41</f>
        <v>5529893.682</v>
      </c>
      <c r="AE41" s="51">
        <f>+'Tuition-4Yr'!AE41+'State Appropriations-4Yr'!AE41+'Local Appropriations-4Yr'!AE41+'Fed Contracts Grnts-4Yr'!AE41+'Other Contract Grnts-4Yr'!AE41+'Investment Income-4Yr'!AE41+'All Other E&amp;G-4Yr'!AE41</f>
        <v>5546102.5930000003</v>
      </c>
      <c r="AF41" s="51">
        <f>+'Tuition-4Yr'!AF41+'State Appropriations-4Yr'!AF41+'Local Appropriations-4Yr'!AF41+'Fed Contracts Grnts-4Yr'!AF41+'Other Contract Grnts-4Yr'!AF41+'Investment Income-4Yr'!AF41+'All Other E&amp;G-4Yr'!AF41</f>
        <v>5692613.7829999998</v>
      </c>
      <c r="AG41" s="51">
        <f>+'Tuition-4Yr'!AG41+'State Appropriations-4Yr'!AG41+'Local Appropriations-4Yr'!AG41+'Fed Contracts Grnts-4Yr'!AG41+'Other Contract Grnts-4Yr'!AG41+'Investment Income-4Yr'!AG41+'All Other E&amp;G-4Yr'!AG41</f>
        <v>5728360.0440000007</v>
      </c>
      <c r="AH41" s="51">
        <f>+'Tuition-4Yr'!AH41+'State Appropriations-4Yr'!AH41+'Local Appropriations-4Yr'!AH41+'Fed Contracts Grnts-4Yr'!AH41+'Other Contract Grnts-4Yr'!AH41+'Investment Income-4Yr'!AH41+'All Other E&amp;G-4Yr'!AH41</f>
        <v>5908074.4949999992</v>
      </c>
      <c r="AI41" s="51">
        <f>+'Tuition-4Yr'!AI41+'State Appropriations-4Yr'!AI41+'Local Appropriations-4Yr'!AI41+'Fed Contracts Grnts-4Yr'!AI41+'Other Contract Grnts-4Yr'!AI41+'Investment Income-4Yr'!AI41+'All Other E&amp;G-4Yr'!AI41</f>
        <v>6237919.5579999983</v>
      </c>
      <c r="AJ41" s="51">
        <f>+'Tuition-4Yr'!AJ41+'State Appropriations-4Yr'!AJ41+'Local Appropriations-4Yr'!AJ41+'Fed Contracts Grnts-4Yr'!AJ41+'Other Contract Grnts-4Yr'!AJ41+'Investment Income-4Yr'!AJ41+'All Other E&amp;G-4Yr'!AJ41</f>
        <v>0</v>
      </c>
      <c r="AK41" s="51">
        <f>+'Tuition-4Yr'!AK41+'State Appropriations-4Yr'!AK41+'Local Appropriations-4Yr'!AK41+'Fed Contracts Grnts-4Yr'!AK41+'Other Contract Grnts-4Yr'!AK41+'Investment Income-4Yr'!AK41+'All Other E&amp;G-4Yr'!AK41</f>
        <v>7465817.7750000004</v>
      </c>
      <c r="AL41" s="51">
        <f>+'Tuition-4Yr'!AL41+'State Appropriations-4Yr'!AL41+'Local Appropriations-4Yr'!AL41+'Fed Contracts Grnts-4Yr'!AL41+'Other Contract Grnts-4Yr'!AL41+'Investment Income-4Yr'!AL41+'All Other E&amp;G-4Yr'!AL41</f>
        <v>7200556.379999999</v>
      </c>
    </row>
    <row r="42" spans="1:38" ht="12.75" customHeight="1">
      <c r="A42" s="1" t="s">
        <v>55</v>
      </c>
      <c r="B42" s="51">
        <f>+'Tuition-4Yr'!B42+'State Appropriations-4Yr'!B42+'Local Appropriations-4Yr'!B42+'Fed Contracts Grnts-4Yr'!B42+'Other Contract Grnts-4Yr'!B42+'Investment Income-4Yr'!B42+'All Other E&amp;G-4Yr'!B42</f>
        <v>0</v>
      </c>
      <c r="C42" s="51">
        <f>+'Tuition-4Yr'!C42+'State Appropriations-4Yr'!C42+'Local Appropriations-4Yr'!C42+'Fed Contracts Grnts-4Yr'!C42+'Other Contract Grnts-4Yr'!C42+'Investment Income-4Yr'!C42+'All Other E&amp;G-4Yr'!C42</f>
        <v>0</v>
      </c>
      <c r="D42" s="51">
        <f>+'Tuition-4Yr'!D42+'State Appropriations-4Yr'!D42+'Local Appropriations-4Yr'!D42+'Fed Contracts Grnts-4Yr'!D42+'Other Contract Grnts-4Yr'!D42+'Investment Income-4Yr'!D42+'All Other E&amp;G-4Yr'!D42</f>
        <v>0</v>
      </c>
      <c r="E42" s="51">
        <f>+'Tuition-4Yr'!E42+'State Appropriations-4Yr'!E42+'Local Appropriations-4Yr'!E42+'Fed Contracts Grnts-4Yr'!E42+'Other Contract Grnts-4Yr'!E42+'Investment Income-4Yr'!E42+'All Other E&amp;G-4Yr'!E42</f>
        <v>0</v>
      </c>
      <c r="F42" s="51">
        <f>+'Tuition-4Yr'!F42+'State Appropriations-4Yr'!F42+'Local Appropriations-4Yr'!F42+'Fed Contracts Grnts-4Yr'!F42+'Other Contract Grnts-4Yr'!F42+'Investment Income-4Yr'!F42+'All Other E&amp;G-4Yr'!F42</f>
        <v>0</v>
      </c>
      <c r="G42" s="51">
        <f>+'Tuition-4Yr'!G42+'State Appropriations-4Yr'!G42+'Local Appropriations-4Yr'!G42+'Fed Contracts Grnts-4Yr'!G42+'Other Contract Grnts-4Yr'!G42+'Investment Income-4Yr'!G42+'All Other E&amp;G-4Yr'!G42</f>
        <v>0</v>
      </c>
      <c r="H42" s="51">
        <f>+'Tuition-4Yr'!H42+'State Appropriations-4Yr'!H42+'Local Appropriations-4Yr'!H42+'Fed Contracts Grnts-4Yr'!H42+'Other Contract Grnts-4Yr'!H42+'Investment Income-4Yr'!H42+'All Other E&amp;G-4Yr'!H42</f>
        <v>0</v>
      </c>
      <c r="I42" s="51">
        <f>+'Tuition-4Yr'!I42+'State Appropriations-4Yr'!I42+'Local Appropriations-4Yr'!I42+'Fed Contracts Grnts-4Yr'!I42+'Other Contract Grnts-4Yr'!I42+'Investment Income-4Yr'!I42+'All Other E&amp;G-4Yr'!I42</f>
        <v>0</v>
      </c>
      <c r="J42" s="51">
        <f>+'Tuition-4Yr'!J42+'State Appropriations-4Yr'!J42+'Local Appropriations-4Yr'!J42+'Fed Contracts Grnts-4Yr'!J42+'Other Contract Grnts-4Yr'!J42+'Investment Income-4Yr'!J42+'All Other E&amp;G-4Yr'!J42</f>
        <v>998385.72900000005</v>
      </c>
      <c r="K42" s="51">
        <f>+'Tuition-4Yr'!K42+'State Appropriations-4Yr'!K42+'Local Appropriations-4Yr'!K42+'Fed Contracts Grnts-4Yr'!K42+'Other Contract Grnts-4Yr'!K42+'Investment Income-4Yr'!K42+'All Other E&amp;G-4Yr'!K42</f>
        <v>0</v>
      </c>
      <c r="L42" s="51">
        <f>+'Tuition-4Yr'!L42+'State Appropriations-4Yr'!L42+'Local Appropriations-4Yr'!L42+'Fed Contracts Grnts-4Yr'!L42+'Other Contract Grnts-4Yr'!L42+'Investment Income-4Yr'!L42+'All Other E&amp;G-4Yr'!L42</f>
        <v>0</v>
      </c>
      <c r="M42" s="51">
        <f>+'Tuition-4Yr'!M42+'State Appropriations-4Yr'!M42+'Local Appropriations-4Yr'!M42+'Fed Contracts Grnts-4Yr'!M42+'Other Contract Grnts-4Yr'!M42+'Investment Income-4Yr'!M42+'All Other E&amp;G-4Yr'!M42</f>
        <v>1161149.0180000002</v>
      </c>
      <c r="N42" s="51">
        <f>+'Tuition-4Yr'!N42+'State Appropriations-4Yr'!N42+'Local Appropriations-4Yr'!N42+'Fed Contracts Grnts-4Yr'!N42+'Other Contract Grnts-4Yr'!N42+'Investment Income-4Yr'!N42+'All Other E&amp;G-4Yr'!N42</f>
        <v>0</v>
      </c>
      <c r="O42" s="51">
        <f>+'Tuition-4Yr'!O42+'State Appropriations-4Yr'!O42+'Local Appropriations-4Yr'!O42+'Fed Contracts Grnts-4Yr'!O42+'Other Contract Grnts-4Yr'!O42+'Investment Income-4Yr'!O42+'All Other E&amp;G-4Yr'!O42</f>
        <v>1287339.797</v>
      </c>
      <c r="P42" s="51">
        <f>+'Tuition-4Yr'!P42+'State Appropriations-4Yr'!P42+'Local Appropriations-4Yr'!P42+'Fed Contracts Grnts-4Yr'!P42+'Other Contract Grnts-4Yr'!P42+'Investment Income-4Yr'!P42+'All Other E&amp;G-4Yr'!P42</f>
        <v>0</v>
      </c>
      <c r="Q42" s="51">
        <f>+'Tuition-4Yr'!Q42+'State Appropriations-4Yr'!Q42+'Local Appropriations-4Yr'!Q42+'Fed Contracts Grnts-4Yr'!Q42+'Other Contract Grnts-4Yr'!Q42+'Investment Income-4Yr'!Q42+'All Other E&amp;G-4Yr'!Q42</f>
        <v>0</v>
      </c>
      <c r="R42" s="51">
        <f>+'Tuition-4Yr'!R42+'State Appropriations-4Yr'!R42+'Local Appropriations-4Yr'!R42+'Fed Contracts Grnts-4Yr'!R42+'Other Contract Grnts-4Yr'!R42+'Investment Income-4Yr'!R42+'All Other E&amp;G-4Yr'!R42</f>
        <v>1502571.8299999996</v>
      </c>
      <c r="S42" s="51">
        <f>+'Tuition-4Yr'!S42+'State Appropriations-4Yr'!S42+'Local Appropriations-4Yr'!S42+'Fed Contracts Grnts-4Yr'!S42+'Other Contract Grnts-4Yr'!S42+'Investment Income-4Yr'!S42+'All Other E&amp;G-4Yr'!S42</f>
        <v>1583064.7549999999</v>
      </c>
      <c r="T42" s="51">
        <f>+'Tuition-4Yr'!T42+'State Appropriations-4Yr'!T42+'Local Appropriations-4Yr'!T42+'Fed Contracts Grnts-4Yr'!T42+'Other Contract Grnts-4Yr'!T42+'Investment Income-4Yr'!T42+'All Other E&amp;G-4Yr'!T42</f>
        <v>1819136.2550000001</v>
      </c>
      <c r="U42" s="51">
        <f>+'Tuition-4Yr'!U42+'State Appropriations-4Yr'!U42+'Local Appropriations-4Yr'!U42+'Fed Contracts Grnts-4Yr'!U42+'Other Contract Grnts-4Yr'!U42+'Investment Income-4Yr'!U42+'All Other E&amp;G-4Yr'!U42</f>
        <v>1713418.4360000002</v>
      </c>
      <c r="V42" s="51">
        <f>+'Tuition-4Yr'!V42+'State Appropriations-4Yr'!V42+'Local Appropriations-4Yr'!V42+'Fed Contracts Grnts-4Yr'!V42+'Other Contract Grnts-4Yr'!V42+'Investment Income-4Yr'!V42+'All Other E&amp;G-4Yr'!V42</f>
        <v>1759903.74</v>
      </c>
      <c r="W42" s="51">
        <f>+'Tuition-4Yr'!W42+'State Appropriations-4Yr'!W42+'Local Appropriations-4Yr'!W42+'Fed Contracts Grnts-4Yr'!W42+'Other Contract Grnts-4Yr'!W42+'Investment Income-4Yr'!W42+'All Other E&amp;G-4Yr'!W42</f>
        <v>1920835.7660000001</v>
      </c>
      <c r="X42" s="51">
        <f>+'Tuition-4Yr'!X42+'State Appropriations-4Yr'!X42+'Local Appropriations-4Yr'!X42+'Fed Contracts Grnts-4Yr'!X42+'Other Contract Grnts-4Yr'!X42+'Investment Income-4Yr'!X42+'All Other E&amp;G-4Yr'!X42</f>
        <v>1961311.1470000001</v>
      </c>
      <c r="Y42" s="51">
        <f>+'Tuition-4Yr'!Y42+'State Appropriations-4Yr'!Y42+'Local Appropriations-4Yr'!Y42+'Fed Contracts Grnts-4Yr'!Y42+'Other Contract Grnts-4Yr'!Y42+'Investment Income-4Yr'!Y42+'All Other E&amp;G-4Yr'!Y42</f>
        <v>2009369.412</v>
      </c>
      <c r="Z42" s="51">
        <f>+'Tuition-4Yr'!Z42+'State Appropriations-4Yr'!Z42+'Local Appropriations-4Yr'!Z42+'Fed Contracts Grnts-4Yr'!Z42+'Other Contract Grnts-4Yr'!Z42+'Investment Income-4Yr'!Z42+'All Other E&amp;G-4Yr'!Z42</f>
        <v>2113029.1409999998</v>
      </c>
      <c r="AA42" s="51">
        <f>+'Tuition-4Yr'!AA42+'State Appropriations-4Yr'!AA42+'Local Appropriations-4Yr'!AA42+'Fed Contracts Grnts-4Yr'!AA42+'Other Contract Grnts-4Yr'!AA42+'Investment Income-4Yr'!AA42+'All Other E&amp;G-4Yr'!AA42</f>
        <v>2206184.58</v>
      </c>
      <c r="AB42" s="51">
        <f>+'Tuition-4Yr'!AB42+'State Appropriations-4Yr'!AB42+'Local Appropriations-4Yr'!AB42+'Fed Contracts Grnts-4Yr'!AB42+'Other Contract Grnts-4Yr'!AB42+'Investment Income-4Yr'!AB42+'All Other E&amp;G-4Yr'!AB42</f>
        <v>2388298.6180000002</v>
      </c>
      <c r="AC42" s="51">
        <f>+'Tuition-4Yr'!AC42+'State Appropriations-4Yr'!AC42+'Local Appropriations-4Yr'!AC42+'Fed Contracts Grnts-4Yr'!AC42+'Other Contract Grnts-4Yr'!AC42+'Investment Income-4Yr'!AC42+'All Other E&amp;G-4Yr'!AC42</f>
        <v>2480650</v>
      </c>
      <c r="AD42" s="51">
        <f>+'Tuition-4Yr'!AD42+'State Appropriations-4Yr'!AD42+'Local Appropriations-4Yr'!AD42+'Fed Contracts Grnts-4Yr'!AD42+'Other Contract Grnts-4Yr'!AD42+'Investment Income-4Yr'!AD42+'All Other E&amp;G-4Yr'!AD42</f>
        <v>2477657.753</v>
      </c>
      <c r="AE42" s="51">
        <f>+'Tuition-4Yr'!AE42+'State Appropriations-4Yr'!AE42+'Local Appropriations-4Yr'!AE42+'Fed Contracts Grnts-4Yr'!AE42+'Other Contract Grnts-4Yr'!AE42+'Investment Income-4Yr'!AE42+'All Other E&amp;G-4Yr'!AE42</f>
        <v>2553165.21</v>
      </c>
      <c r="AF42" s="51">
        <f>+'Tuition-4Yr'!AF42+'State Appropriations-4Yr'!AF42+'Local Appropriations-4Yr'!AF42+'Fed Contracts Grnts-4Yr'!AF42+'Other Contract Grnts-4Yr'!AF42+'Investment Income-4Yr'!AF42+'All Other E&amp;G-4Yr'!AF42</f>
        <v>2700439.594</v>
      </c>
      <c r="AG42" s="51">
        <f>+'Tuition-4Yr'!AG42+'State Appropriations-4Yr'!AG42+'Local Appropriations-4Yr'!AG42+'Fed Contracts Grnts-4Yr'!AG42+'Other Contract Grnts-4Yr'!AG42+'Investment Income-4Yr'!AG42+'All Other E&amp;G-4Yr'!AG42</f>
        <v>2724433.0610000002</v>
      </c>
      <c r="AH42" s="51">
        <f>+'Tuition-4Yr'!AH42+'State Appropriations-4Yr'!AH42+'Local Appropriations-4Yr'!AH42+'Fed Contracts Grnts-4Yr'!AH42+'Other Contract Grnts-4Yr'!AH42+'Investment Income-4Yr'!AH42+'All Other E&amp;G-4Yr'!AH42</f>
        <v>2793564.6600000006</v>
      </c>
      <c r="AI42" s="51">
        <f>+'Tuition-4Yr'!AI42+'State Appropriations-4Yr'!AI42+'Local Appropriations-4Yr'!AI42+'Fed Contracts Grnts-4Yr'!AI42+'Other Contract Grnts-4Yr'!AI42+'Investment Income-4Yr'!AI42+'All Other E&amp;G-4Yr'!AI42</f>
        <v>2860044.1660000002</v>
      </c>
      <c r="AJ42" s="51">
        <f>+'Tuition-4Yr'!AJ42+'State Appropriations-4Yr'!AJ42+'Local Appropriations-4Yr'!AJ42+'Fed Contracts Grnts-4Yr'!AJ42+'Other Contract Grnts-4Yr'!AJ42+'Investment Income-4Yr'!AJ42+'All Other E&amp;G-4Yr'!AJ42</f>
        <v>0</v>
      </c>
      <c r="AK42" s="51">
        <f>+'Tuition-4Yr'!AK42+'State Appropriations-4Yr'!AK42+'Local Appropriations-4Yr'!AK42+'Fed Contracts Grnts-4Yr'!AK42+'Other Contract Grnts-4Yr'!AK42+'Investment Income-4Yr'!AK42+'All Other E&amp;G-4Yr'!AK42</f>
        <v>3045879.1219999995</v>
      </c>
      <c r="AL42" s="51">
        <f>+'Tuition-4Yr'!AL42+'State Appropriations-4Yr'!AL42+'Local Appropriations-4Yr'!AL42+'Fed Contracts Grnts-4Yr'!AL42+'Other Contract Grnts-4Yr'!AL42+'Investment Income-4Yr'!AL42+'All Other E&amp;G-4Yr'!AL42</f>
        <v>3000712.3319999995</v>
      </c>
    </row>
    <row r="43" spans="1:38" ht="12.75" customHeight="1">
      <c r="A43" s="1" t="s">
        <v>56</v>
      </c>
      <c r="B43" s="51">
        <f>+'Tuition-4Yr'!B43+'State Appropriations-4Yr'!B43+'Local Appropriations-4Yr'!B43+'Fed Contracts Grnts-4Yr'!B43+'Other Contract Grnts-4Yr'!B43+'Investment Income-4Yr'!B43+'All Other E&amp;G-4Yr'!B43</f>
        <v>0</v>
      </c>
      <c r="C43" s="51">
        <f>+'Tuition-4Yr'!C43+'State Appropriations-4Yr'!C43+'Local Appropriations-4Yr'!C43+'Fed Contracts Grnts-4Yr'!C43+'Other Contract Grnts-4Yr'!C43+'Investment Income-4Yr'!C43+'All Other E&amp;G-4Yr'!C43</f>
        <v>0</v>
      </c>
      <c r="D43" s="51">
        <f>+'Tuition-4Yr'!D43+'State Appropriations-4Yr'!D43+'Local Appropriations-4Yr'!D43+'Fed Contracts Grnts-4Yr'!D43+'Other Contract Grnts-4Yr'!D43+'Investment Income-4Yr'!D43+'All Other E&amp;G-4Yr'!D43</f>
        <v>0</v>
      </c>
      <c r="E43" s="51">
        <f>+'Tuition-4Yr'!E43+'State Appropriations-4Yr'!E43+'Local Appropriations-4Yr'!E43+'Fed Contracts Grnts-4Yr'!E43+'Other Contract Grnts-4Yr'!E43+'Investment Income-4Yr'!E43+'All Other E&amp;G-4Yr'!E43</f>
        <v>0</v>
      </c>
      <c r="F43" s="51">
        <f>+'Tuition-4Yr'!F43+'State Appropriations-4Yr'!F43+'Local Appropriations-4Yr'!F43+'Fed Contracts Grnts-4Yr'!F43+'Other Contract Grnts-4Yr'!F43+'Investment Income-4Yr'!F43+'All Other E&amp;G-4Yr'!F43</f>
        <v>0</v>
      </c>
      <c r="G43" s="51">
        <f>+'Tuition-4Yr'!G43+'State Appropriations-4Yr'!G43+'Local Appropriations-4Yr'!G43+'Fed Contracts Grnts-4Yr'!G43+'Other Contract Grnts-4Yr'!G43+'Investment Income-4Yr'!G43+'All Other E&amp;G-4Yr'!G43</f>
        <v>0</v>
      </c>
      <c r="H43" s="51">
        <f>+'Tuition-4Yr'!H43+'State Appropriations-4Yr'!H43+'Local Appropriations-4Yr'!H43+'Fed Contracts Grnts-4Yr'!H43+'Other Contract Grnts-4Yr'!H43+'Investment Income-4Yr'!H43+'All Other E&amp;G-4Yr'!H43</f>
        <v>0</v>
      </c>
      <c r="I43" s="51">
        <f>+'Tuition-4Yr'!I43+'State Appropriations-4Yr'!I43+'Local Appropriations-4Yr'!I43+'Fed Contracts Grnts-4Yr'!I43+'Other Contract Grnts-4Yr'!I43+'Investment Income-4Yr'!I43+'All Other E&amp;G-4Yr'!I43</f>
        <v>0</v>
      </c>
      <c r="J43" s="51">
        <f>+'Tuition-4Yr'!J43+'State Appropriations-4Yr'!J43+'Local Appropriations-4Yr'!J43+'Fed Contracts Grnts-4Yr'!J43+'Other Contract Grnts-4Yr'!J43+'Investment Income-4Yr'!J43+'All Other E&amp;G-4Yr'!J43</f>
        <v>841946.01899999997</v>
      </c>
      <c r="K43" s="51">
        <f>+'Tuition-4Yr'!K43+'State Appropriations-4Yr'!K43+'Local Appropriations-4Yr'!K43+'Fed Contracts Grnts-4Yr'!K43+'Other Contract Grnts-4Yr'!K43+'Investment Income-4Yr'!K43+'All Other E&amp;G-4Yr'!K43</f>
        <v>0</v>
      </c>
      <c r="L43" s="51">
        <f>+'Tuition-4Yr'!L43+'State Appropriations-4Yr'!L43+'Local Appropriations-4Yr'!L43+'Fed Contracts Grnts-4Yr'!L43+'Other Contract Grnts-4Yr'!L43+'Investment Income-4Yr'!L43+'All Other E&amp;G-4Yr'!L43</f>
        <v>0</v>
      </c>
      <c r="M43" s="51">
        <f>+'Tuition-4Yr'!M43+'State Appropriations-4Yr'!M43+'Local Appropriations-4Yr'!M43+'Fed Contracts Grnts-4Yr'!M43+'Other Contract Grnts-4Yr'!M43+'Investment Income-4Yr'!M43+'All Other E&amp;G-4Yr'!M43</f>
        <v>988836.88400000008</v>
      </c>
      <c r="N43" s="51">
        <f>+'Tuition-4Yr'!N43+'State Appropriations-4Yr'!N43+'Local Appropriations-4Yr'!N43+'Fed Contracts Grnts-4Yr'!N43+'Other Contract Grnts-4Yr'!N43+'Investment Income-4Yr'!N43+'All Other E&amp;G-4Yr'!N43</f>
        <v>0</v>
      </c>
      <c r="O43" s="51">
        <f>+'Tuition-4Yr'!O43+'State Appropriations-4Yr'!O43+'Local Appropriations-4Yr'!O43+'Fed Contracts Grnts-4Yr'!O43+'Other Contract Grnts-4Yr'!O43+'Investment Income-4Yr'!O43+'All Other E&amp;G-4Yr'!O43</f>
        <v>1066979.1523799999</v>
      </c>
      <c r="P43" s="51">
        <f>+'Tuition-4Yr'!P43+'State Appropriations-4Yr'!P43+'Local Appropriations-4Yr'!P43+'Fed Contracts Grnts-4Yr'!P43+'Other Contract Grnts-4Yr'!P43+'Investment Income-4Yr'!P43+'All Other E&amp;G-4Yr'!P43</f>
        <v>0</v>
      </c>
      <c r="Q43" s="51">
        <f>+'Tuition-4Yr'!Q43+'State Appropriations-4Yr'!Q43+'Local Appropriations-4Yr'!Q43+'Fed Contracts Grnts-4Yr'!Q43+'Other Contract Grnts-4Yr'!Q43+'Investment Income-4Yr'!Q43+'All Other E&amp;G-4Yr'!Q43</f>
        <v>0</v>
      </c>
      <c r="R43" s="51">
        <f>+'Tuition-4Yr'!R43+'State Appropriations-4Yr'!R43+'Local Appropriations-4Yr'!R43+'Fed Contracts Grnts-4Yr'!R43+'Other Contract Grnts-4Yr'!R43+'Investment Income-4Yr'!R43+'All Other E&amp;G-4Yr'!R43</f>
        <v>1305537.2860000001</v>
      </c>
      <c r="S43" s="51">
        <f>+'Tuition-4Yr'!S43+'State Appropriations-4Yr'!S43+'Local Appropriations-4Yr'!S43+'Fed Contracts Grnts-4Yr'!S43+'Other Contract Grnts-4Yr'!S43+'Investment Income-4Yr'!S43+'All Other E&amp;G-4Yr'!S43</f>
        <v>1369947.9040000001</v>
      </c>
      <c r="T43" s="51">
        <f>+'Tuition-4Yr'!T43+'State Appropriations-4Yr'!T43+'Local Appropriations-4Yr'!T43+'Fed Contracts Grnts-4Yr'!T43+'Other Contract Grnts-4Yr'!T43+'Investment Income-4Yr'!T43+'All Other E&amp;G-4Yr'!T43</f>
        <v>1431305.344</v>
      </c>
      <c r="U43" s="51">
        <f>+'Tuition-4Yr'!U43+'State Appropriations-4Yr'!U43+'Local Appropriations-4Yr'!U43+'Fed Contracts Grnts-4Yr'!U43+'Other Contract Grnts-4Yr'!U43+'Investment Income-4Yr'!U43+'All Other E&amp;G-4Yr'!U43</f>
        <v>1528019.9909999999</v>
      </c>
      <c r="V43" s="51">
        <f>+'Tuition-4Yr'!V43+'State Appropriations-4Yr'!V43+'Local Appropriations-4Yr'!V43+'Fed Contracts Grnts-4Yr'!V43+'Other Contract Grnts-4Yr'!V43+'Investment Income-4Yr'!V43+'All Other E&amp;G-4Yr'!V43</f>
        <v>1646322.7140000002</v>
      </c>
      <c r="W43" s="51">
        <f>+'Tuition-4Yr'!W43+'State Appropriations-4Yr'!W43+'Local Appropriations-4Yr'!W43+'Fed Contracts Grnts-4Yr'!W43+'Other Contract Grnts-4Yr'!W43+'Investment Income-4Yr'!W43+'All Other E&amp;G-4Yr'!W43</f>
        <v>1806344.2149999999</v>
      </c>
      <c r="X43" s="51">
        <f>+'Tuition-4Yr'!X43+'State Appropriations-4Yr'!X43+'Local Appropriations-4Yr'!X43+'Fed Contracts Grnts-4Yr'!X43+'Other Contract Grnts-4Yr'!X43+'Investment Income-4Yr'!X43+'All Other E&amp;G-4Yr'!X43</f>
        <v>1884086.0290000001</v>
      </c>
      <c r="Y43" s="51">
        <f>+'Tuition-4Yr'!Y43+'State Appropriations-4Yr'!Y43+'Local Appropriations-4Yr'!Y43+'Fed Contracts Grnts-4Yr'!Y43+'Other Contract Grnts-4Yr'!Y43+'Investment Income-4Yr'!Y43+'All Other E&amp;G-4Yr'!Y43</f>
        <v>1905856.702</v>
      </c>
      <c r="Z43" s="51">
        <f>+'Tuition-4Yr'!Z43+'State Appropriations-4Yr'!Z43+'Local Appropriations-4Yr'!Z43+'Fed Contracts Grnts-4Yr'!Z43+'Other Contract Grnts-4Yr'!Z43+'Investment Income-4Yr'!Z43+'All Other E&amp;G-4Yr'!Z43</f>
        <v>1842517.868</v>
      </c>
      <c r="AA43" s="51">
        <f>+'Tuition-4Yr'!AA43+'State Appropriations-4Yr'!AA43+'Local Appropriations-4Yr'!AA43+'Fed Contracts Grnts-4Yr'!AA43+'Other Contract Grnts-4Yr'!AA43+'Investment Income-4Yr'!AA43+'All Other E&amp;G-4Yr'!AA43</f>
        <v>1977508.2139999999</v>
      </c>
      <c r="AB43" s="51">
        <f>+'Tuition-4Yr'!AB43+'State Appropriations-4Yr'!AB43+'Local Appropriations-4Yr'!AB43+'Fed Contracts Grnts-4Yr'!AB43+'Other Contract Grnts-4Yr'!AB43+'Investment Income-4Yr'!AB43+'All Other E&amp;G-4Yr'!AB43</f>
        <v>2171336.0579999997</v>
      </c>
      <c r="AC43" s="51">
        <f>+'Tuition-4Yr'!AC43+'State Appropriations-4Yr'!AC43+'Local Appropriations-4Yr'!AC43+'Fed Contracts Grnts-4Yr'!AC43+'Other Contract Grnts-4Yr'!AC43+'Investment Income-4Yr'!AC43+'All Other E&amp;G-4Yr'!AC43</f>
        <v>2317908</v>
      </c>
      <c r="AD43" s="51">
        <f>+'Tuition-4Yr'!AD43+'State Appropriations-4Yr'!AD43+'Local Appropriations-4Yr'!AD43+'Fed Contracts Grnts-4Yr'!AD43+'Other Contract Grnts-4Yr'!AD43+'Investment Income-4Yr'!AD43+'All Other E&amp;G-4Yr'!AD43</f>
        <v>2363021.4019999998</v>
      </c>
      <c r="AE43" s="51">
        <f>+'Tuition-4Yr'!AE43+'State Appropriations-4Yr'!AE43+'Local Appropriations-4Yr'!AE43+'Fed Contracts Grnts-4Yr'!AE43+'Other Contract Grnts-4Yr'!AE43+'Investment Income-4Yr'!AE43+'All Other E&amp;G-4Yr'!AE43</f>
        <v>2386140.4990000003</v>
      </c>
      <c r="AF43" s="51">
        <f>+'Tuition-4Yr'!AF43+'State Appropriations-4Yr'!AF43+'Local Appropriations-4Yr'!AF43+'Fed Contracts Grnts-4Yr'!AF43+'Other Contract Grnts-4Yr'!AF43+'Investment Income-4Yr'!AF43+'All Other E&amp;G-4Yr'!AF43</f>
        <v>2261978.3429999999</v>
      </c>
      <c r="AG43" s="51">
        <f>+'Tuition-4Yr'!AG43+'State Appropriations-4Yr'!AG43+'Local Appropriations-4Yr'!AG43+'Fed Contracts Grnts-4Yr'!AG43+'Other Contract Grnts-4Yr'!AG43+'Investment Income-4Yr'!AG43+'All Other E&amp;G-4Yr'!AG43</f>
        <v>2489861.3660000004</v>
      </c>
      <c r="AH43" s="51">
        <f>+'Tuition-4Yr'!AH43+'State Appropriations-4Yr'!AH43+'Local Appropriations-4Yr'!AH43+'Fed Contracts Grnts-4Yr'!AH43+'Other Contract Grnts-4Yr'!AH43+'Investment Income-4Yr'!AH43+'All Other E&amp;G-4Yr'!AH43</f>
        <v>2465819.2519999999</v>
      </c>
      <c r="AI43" s="51">
        <f>+'Tuition-4Yr'!AI43+'State Appropriations-4Yr'!AI43+'Local Appropriations-4Yr'!AI43+'Fed Contracts Grnts-4Yr'!AI43+'Other Contract Grnts-4Yr'!AI43+'Investment Income-4Yr'!AI43+'All Other E&amp;G-4Yr'!AI43</f>
        <v>2557503.6290000002</v>
      </c>
      <c r="AJ43" s="51">
        <f>+'Tuition-4Yr'!AJ43+'State Appropriations-4Yr'!AJ43+'Local Appropriations-4Yr'!AJ43+'Fed Contracts Grnts-4Yr'!AJ43+'Other Contract Grnts-4Yr'!AJ43+'Investment Income-4Yr'!AJ43+'All Other E&amp;G-4Yr'!AJ43</f>
        <v>0</v>
      </c>
      <c r="AK43" s="51">
        <f>+'Tuition-4Yr'!AK43+'State Appropriations-4Yr'!AK43+'Local Appropriations-4Yr'!AK43+'Fed Contracts Grnts-4Yr'!AK43+'Other Contract Grnts-4Yr'!AK43+'Investment Income-4Yr'!AK43+'All Other E&amp;G-4Yr'!AK43</f>
        <v>2863950.844</v>
      </c>
      <c r="AL43" s="51">
        <f>+'Tuition-4Yr'!AL43+'State Appropriations-4Yr'!AL43+'Local Appropriations-4Yr'!AL43+'Fed Contracts Grnts-4Yr'!AL43+'Other Contract Grnts-4Yr'!AL43+'Investment Income-4Yr'!AL43+'All Other E&amp;G-4Yr'!AL43</f>
        <v>2868783.6729999995</v>
      </c>
    </row>
    <row r="44" spans="1:38" ht="12.75" customHeight="1">
      <c r="A44" s="1" t="s">
        <v>57</v>
      </c>
      <c r="B44" s="51">
        <f>+'Tuition-4Yr'!B44+'State Appropriations-4Yr'!B44+'Local Appropriations-4Yr'!B44+'Fed Contracts Grnts-4Yr'!B44+'Other Contract Grnts-4Yr'!B44+'Investment Income-4Yr'!B44+'All Other E&amp;G-4Yr'!B44</f>
        <v>0</v>
      </c>
      <c r="C44" s="51">
        <f>+'Tuition-4Yr'!C44+'State Appropriations-4Yr'!C44+'Local Appropriations-4Yr'!C44+'Fed Contracts Grnts-4Yr'!C44+'Other Contract Grnts-4Yr'!C44+'Investment Income-4Yr'!C44+'All Other E&amp;G-4Yr'!C44</f>
        <v>0</v>
      </c>
      <c r="D44" s="51">
        <f>+'Tuition-4Yr'!D44+'State Appropriations-4Yr'!D44+'Local Appropriations-4Yr'!D44+'Fed Contracts Grnts-4Yr'!D44+'Other Contract Grnts-4Yr'!D44+'Investment Income-4Yr'!D44+'All Other E&amp;G-4Yr'!D44</f>
        <v>0</v>
      </c>
      <c r="E44" s="51">
        <f>+'Tuition-4Yr'!E44+'State Appropriations-4Yr'!E44+'Local Appropriations-4Yr'!E44+'Fed Contracts Grnts-4Yr'!E44+'Other Contract Grnts-4Yr'!E44+'Investment Income-4Yr'!E44+'All Other E&amp;G-4Yr'!E44</f>
        <v>0</v>
      </c>
      <c r="F44" s="51">
        <f>+'Tuition-4Yr'!F44+'State Appropriations-4Yr'!F44+'Local Appropriations-4Yr'!F44+'Fed Contracts Grnts-4Yr'!F44+'Other Contract Grnts-4Yr'!F44+'Investment Income-4Yr'!F44+'All Other E&amp;G-4Yr'!F44</f>
        <v>0</v>
      </c>
      <c r="G44" s="51">
        <f>+'Tuition-4Yr'!G44+'State Appropriations-4Yr'!G44+'Local Appropriations-4Yr'!G44+'Fed Contracts Grnts-4Yr'!G44+'Other Contract Grnts-4Yr'!G44+'Investment Income-4Yr'!G44+'All Other E&amp;G-4Yr'!G44</f>
        <v>0</v>
      </c>
      <c r="H44" s="51">
        <f>+'Tuition-4Yr'!H44+'State Appropriations-4Yr'!H44+'Local Appropriations-4Yr'!H44+'Fed Contracts Grnts-4Yr'!H44+'Other Contract Grnts-4Yr'!H44+'Investment Income-4Yr'!H44+'All Other E&amp;G-4Yr'!H44</f>
        <v>0</v>
      </c>
      <c r="I44" s="51">
        <f>+'Tuition-4Yr'!I44+'State Appropriations-4Yr'!I44+'Local Appropriations-4Yr'!I44+'Fed Contracts Grnts-4Yr'!I44+'Other Contract Grnts-4Yr'!I44+'Investment Income-4Yr'!I44+'All Other E&amp;G-4Yr'!I44</f>
        <v>0</v>
      </c>
      <c r="J44" s="51">
        <f>+'Tuition-4Yr'!J44+'State Appropriations-4Yr'!J44+'Local Appropriations-4Yr'!J44+'Fed Contracts Grnts-4Yr'!J44+'Other Contract Grnts-4Yr'!J44+'Investment Income-4Yr'!J44+'All Other E&amp;G-4Yr'!J44</f>
        <v>3145435.8160000001</v>
      </c>
      <c r="K44" s="51">
        <f>+'Tuition-4Yr'!K44+'State Appropriations-4Yr'!K44+'Local Appropriations-4Yr'!K44+'Fed Contracts Grnts-4Yr'!K44+'Other Contract Grnts-4Yr'!K44+'Investment Income-4Yr'!K44+'All Other E&amp;G-4Yr'!K44</f>
        <v>0</v>
      </c>
      <c r="L44" s="51">
        <f>+'Tuition-4Yr'!L44+'State Appropriations-4Yr'!L44+'Local Appropriations-4Yr'!L44+'Fed Contracts Grnts-4Yr'!L44+'Other Contract Grnts-4Yr'!L44+'Investment Income-4Yr'!L44+'All Other E&amp;G-4Yr'!L44</f>
        <v>0</v>
      </c>
      <c r="M44" s="51">
        <f>+'Tuition-4Yr'!M44+'State Appropriations-4Yr'!M44+'Local Appropriations-4Yr'!M44+'Fed Contracts Grnts-4Yr'!M44+'Other Contract Grnts-4Yr'!M44+'Investment Income-4Yr'!M44+'All Other E&amp;G-4Yr'!M44</f>
        <v>3535171.8060000003</v>
      </c>
      <c r="N44" s="51">
        <f>+'Tuition-4Yr'!N44+'State Appropriations-4Yr'!N44+'Local Appropriations-4Yr'!N44+'Fed Contracts Grnts-4Yr'!N44+'Other Contract Grnts-4Yr'!N44+'Investment Income-4Yr'!N44+'All Other E&amp;G-4Yr'!N44</f>
        <v>0</v>
      </c>
      <c r="O44" s="51">
        <f>+'Tuition-4Yr'!O44+'State Appropriations-4Yr'!O44+'Local Appropriations-4Yr'!O44+'Fed Contracts Grnts-4Yr'!O44+'Other Contract Grnts-4Yr'!O44+'Investment Income-4Yr'!O44+'All Other E&amp;G-4Yr'!O44</f>
        <v>3983679.5309999995</v>
      </c>
      <c r="P44" s="51">
        <f>+'Tuition-4Yr'!P44+'State Appropriations-4Yr'!P44+'Local Appropriations-4Yr'!P44+'Fed Contracts Grnts-4Yr'!P44+'Other Contract Grnts-4Yr'!P44+'Investment Income-4Yr'!P44+'All Other E&amp;G-4Yr'!P44</f>
        <v>0</v>
      </c>
      <c r="Q44" s="51">
        <f>+'Tuition-4Yr'!Q44+'State Appropriations-4Yr'!Q44+'Local Appropriations-4Yr'!Q44+'Fed Contracts Grnts-4Yr'!Q44+'Other Contract Grnts-4Yr'!Q44+'Investment Income-4Yr'!Q44+'All Other E&amp;G-4Yr'!Q44</f>
        <v>0</v>
      </c>
      <c r="R44" s="51">
        <f>+'Tuition-4Yr'!R44+'State Appropriations-4Yr'!R44+'Local Appropriations-4Yr'!R44+'Fed Contracts Grnts-4Yr'!R44+'Other Contract Grnts-4Yr'!R44+'Investment Income-4Yr'!R44+'All Other E&amp;G-4Yr'!R44</f>
        <v>4789212.1439999994</v>
      </c>
      <c r="S44" s="51">
        <f>+'Tuition-4Yr'!S44+'State Appropriations-4Yr'!S44+'Local Appropriations-4Yr'!S44+'Fed Contracts Grnts-4Yr'!S44+'Other Contract Grnts-4Yr'!S44+'Investment Income-4Yr'!S44+'All Other E&amp;G-4Yr'!S44</f>
        <v>5077063.0200000005</v>
      </c>
      <c r="T44" s="51">
        <f>+'Tuition-4Yr'!T44+'State Appropriations-4Yr'!T44+'Local Appropriations-4Yr'!T44+'Fed Contracts Grnts-4Yr'!T44+'Other Contract Grnts-4Yr'!T44+'Investment Income-4Yr'!T44+'All Other E&amp;G-4Yr'!T44</f>
        <v>5568789.4440000001</v>
      </c>
      <c r="U44" s="51">
        <f>+'Tuition-4Yr'!U44+'State Appropriations-4Yr'!U44+'Local Appropriations-4Yr'!U44+'Fed Contracts Grnts-4Yr'!U44+'Other Contract Grnts-4Yr'!U44+'Investment Income-4Yr'!U44+'All Other E&amp;G-4Yr'!U44</f>
        <v>5570133.9569999995</v>
      </c>
      <c r="V44" s="51">
        <f>+'Tuition-4Yr'!V44+'State Appropriations-4Yr'!V44+'Local Appropriations-4Yr'!V44+'Fed Contracts Grnts-4Yr'!V44+'Other Contract Grnts-4Yr'!V44+'Investment Income-4Yr'!V44+'All Other E&amp;G-4Yr'!V44</f>
        <v>6237140.4220000012</v>
      </c>
      <c r="W44" s="51">
        <f>+'Tuition-4Yr'!W44+'State Appropriations-4Yr'!W44+'Local Appropriations-4Yr'!W44+'Fed Contracts Grnts-4Yr'!W44+'Other Contract Grnts-4Yr'!W44+'Investment Income-4Yr'!W44+'All Other E&amp;G-4Yr'!W44</f>
        <v>7042221.8269999996</v>
      </c>
      <c r="X44" s="51">
        <f>+'Tuition-4Yr'!X44+'State Appropriations-4Yr'!X44+'Local Appropriations-4Yr'!X44+'Fed Contracts Grnts-4Yr'!X44+'Other Contract Grnts-4Yr'!X44+'Investment Income-4Yr'!X44+'All Other E&amp;G-4Yr'!X44</f>
        <v>6965041.2389999991</v>
      </c>
      <c r="Y44" s="51">
        <f>+'Tuition-4Yr'!Y44+'State Appropriations-4Yr'!Y44+'Local Appropriations-4Yr'!Y44+'Fed Contracts Grnts-4Yr'!Y44+'Other Contract Grnts-4Yr'!Y44+'Investment Income-4Yr'!Y44+'All Other E&amp;G-4Yr'!Y44</f>
        <v>7895099.6509999996</v>
      </c>
      <c r="Z44" s="51">
        <f>+'Tuition-4Yr'!Z44+'State Appropriations-4Yr'!Z44+'Local Appropriations-4Yr'!Z44+'Fed Contracts Grnts-4Yr'!Z44+'Other Contract Grnts-4Yr'!Z44+'Investment Income-4Yr'!Z44+'All Other E&amp;G-4Yr'!Z44</f>
        <v>6830768.1779999994</v>
      </c>
      <c r="AA44" s="51">
        <f>+'Tuition-4Yr'!AA44+'State Appropriations-4Yr'!AA44+'Local Appropriations-4Yr'!AA44+'Fed Contracts Grnts-4Yr'!AA44+'Other Contract Grnts-4Yr'!AA44+'Investment Income-4Yr'!AA44+'All Other E&amp;G-4Yr'!AA44</f>
        <v>4748204.4359999998</v>
      </c>
      <c r="AB44" s="51">
        <f>+'Tuition-4Yr'!AB44+'State Appropriations-4Yr'!AB44+'Local Appropriations-4Yr'!AB44+'Fed Contracts Grnts-4Yr'!AB44+'Other Contract Grnts-4Yr'!AB44+'Investment Income-4Yr'!AB44+'All Other E&amp;G-4Yr'!AB44</f>
        <v>8761845.932</v>
      </c>
      <c r="AC44" s="51">
        <f>+'Tuition-4Yr'!AC44+'State Appropriations-4Yr'!AC44+'Local Appropriations-4Yr'!AC44+'Fed Contracts Grnts-4Yr'!AC44+'Other Contract Grnts-4Yr'!AC44+'Investment Income-4Yr'!AC44+'All Other E&amp;G-4Yr'!AC44</f>
        <v>10114628</v>
      </c>
      <c r="AD44" s="51">
        <f>+'Tuition-4Yr'!AD44+'State Appropriations-4Yr'!AD44+'Local Appropriations-4Yr'!AD44+'Fed Contracts Grnts-4Yr'!AD44+'Other Contract Grnts-4Yr'!AD44+'Investment Income-4Yr'!AD44+'All Other E&amp;G-4Yr'!AD44</f>
        <v>8227260.2069999995</v>
      </c>
      <c r="AE44" s="51">
        <f>+'Tuition-4Yr'!AE44+'State Appropriations-4Yr'!AE44+'Local Appropriations-4Yr'!AE44+'Fed Contracts Grnts-4Yr'!AE44+'Other Contract Grnts-4Yr'!AE44+'Investment Income-4Yr'!AE44+'All Other E&amp;G-4Yr'!AE44</f>
        <v>9560647.9139999989</v>
      </c>
      <c r="AF44" s="51">
        <f>+'Tuition-4Yr'!AF44+'State Appropriations-4Yr'!AF44+'Local Appropriations-4Yr'!AF44+'Fed Contracts Grnts-4Yr'!AF44+'Other Contract Grnts-4Yr'!AF44+'Investment Income-4Yr'!AF44+'All Other E&amp;G-4Yr'!AF44</f>
        <v>10307577.704</v>
      </c>
      <c r="AG44" s="51">
        <f>+'Tuition-4Yr'!AG44+'State Appropriations-4Yr'!AG44+'Local Appropriations-4Yr'!AG44+'Fed Contracts Grnts-4Yr'!AG44+'Other Contract Grnts-4Yr'!AG44+'Investment Income-4Yr'!AG44+'All Other E&amp;G-4Yr'!AG44</f>
        <v>9464031.9509999994</v>
      </c>
      <c r="AH44" s="51">
        <f>+'Tuition-4Yr'!AH44+'State Appropriations-4Yr'!AH44+'Local Appropriations-4Yr'!AH44+'Fed Contracts Grnts-4Yr'!AH44+'Other Contract Grnts-4Yr'!AH44+'Investment Income-4Yr'!AH44+'All Other E&amp;G-4Yr'!AH44</f>
        <v>8961295.3519999981</v>
      </c>
      <c r="AI44" s="51">
        <f>+'Tuition-4Yr'!AI44+'State Appropriations-4Yr'!AI44+'Local Appropriations-4Yr'!AI44+'Fed Contracts Grnts-4Yr'!AI44+'Other Contract Grnts-4Yr'!AI44+'Investment Income-4Yr'!AI44+'All Other E&amp;G-4Yr'!AI44</f>
        <v>11634373.348999999</v>
      </c>
      <c r="AJ44" s="51">
        <f>+'Tuition-4Yr'!AJ44+'State Appropriations-4Yr'!AJ44+'Local Appropriations-4Yr'!AJ44+'Fed Contracts Grnts-4Yr'!AJ44+'Other Contract Grnts-4Yr'!AJ44+'Investment Income-4Yr'!AJ44+'All Other E&amp;G-4Yr'!AJ44</f>
        <v>0</v>
      </c>
      <c r="AK44" s="51">
        <f>+'Tuition-4Yr'!AK44+'State Appropriations-4Yr'!AK44+'Local Appropriations-4Yr'!AK44+'Fed Contracts Grnts-4Yr'!AK44+'Other Contract Grnts-4Yr'!AK44+'Investment Income-4Yr'!AK44+'All Other E&amp;G-4Yr'!AK44</f>
        <v>11867211.59</v>
      </c>
      <c r="AL44" s="51">
        <f>+'Tuition-4Yr'!AL44+'State Appropriations-4Yr'!AL44+'Local Appropriations-4Yr'!AL44+'Fed Contracts Grnts-4Yr'!AL44+'Other Contract Grnts-4Yr'!AL44+'Investment Income-4Yr'!AL44+'All Other E&amp;G-4Yr'!AL44</f>
        <v>11028162.003</v>
      </c>
    </row>
    <row r="45" spans="1:38" ht="12.75" customHeight="1">
      <c r="A45" s="1" t="s">
        <v>58</v>
      </c>
      <c r="B45" s="51">
        <f>+'Tuition-4Yr'!B45+'State Appropriations-4Yr'!B45+'Local Appropriations-4Yr'!B45+'Fed Contracts Grnts-4Yr'!B45+'Other Contract Grnts-4Yr'!B45+'Investment Income-4Yr'!B45+'All Other E&amp;G-4Yr'!B45</f>
        <v>0</v>
      </c>
      <c r="C45" s="51">
        <f>+'Tuition-4Yr'!C45+'State Appropriations-4Yr'!C45+'Local Appropriations-4Yr'!C45+'Fed Contracts Grnts-4Yr'!C45+'Other Contract Grnts-4Yr'!C45+'Investment Income-4Yr'!C45+'All Other E&amp;G-4Yr'!C45</f>
        <v>0</v>
      </c>
      <c r="D45" s="51">
        <f>+'Tuition-4Yr'!D45+'State Appropriations-4Yr'!D45+'Local Appropriations-4Yr'!D45+'Fed Contracts Grnts-4Yr'!D45+'Other Contract Grnts-4Yr'!D45+'Investment Income-4Yr'!D45+'All Other E&amp;G-4Yr'!D45</f>
        <v>0</v>
      </c>
      <c r="E45" s="51">
        <f>+'Tuition-4Yr'!E45+'State Appropriations-4Yr'!E45+'Local Appropriations-4Yr'!E45+'Fed Contracts Grnts-4Yr'!E45+'Other Contract Grnts-4Yr'!E45+'Investment Income-4Yr'!E45+'All Other E&amp;G-4Yr'!E45</f>
        <v>0</v>
      </c>
      <c r="F45" s="51">
        <f>+'Tuition-4Yr'!F45+'State Appropriations-4Yr'!F45+'Local Appropriations-4Yr'!F45+'Fed Contracts Grnts-4Yr'!F45+'Other Contract Grnts-4Yr'!F45+'Investment Income-4Yr'!F45+'All Other E&amp;G-4Yr'!F45</f>
        <v>0</v>
      </c>
      <c r="G45" s="51">
        <f>+'Tuition-4Yr'!G45+'State Appropriations-4Yr'!G45+'Local Appropriations-4Yr'!G45+'Fed Contracts Grnts-4Yr'!G45+'Other Contract Grnts-4Yr'!G45+'Investment Income-4Yr'!G45+'All Other E&amp;G-4Yr'!G45</f>
        <v>0</v>
      </c>
      <c r="H45" s="51">
        <f>+'Tuition-4Yr'!H45+'State Appropriations-4Yr'!H45+'Local Appropriations-4Yr'!H45+'Fed Contracts Grnts-4Yr'!H45+'Other Contract Grnts-4Yr'!H45+'Investment Income-4Yr'!H45+'All Other E&amp;G-4Yr'!H45</f>
        <v>0</v>
      </c>
      <c r="I45" s="51">
        <f>+'Tuition-4Yr'!I45+'State Appropriations-4Yr'!I45+'Local Appropriations-4Yr'!I45+'Fed Contracts Grnts-4Yr'!I45+'Other Contract Grnts-4Yr'!I45+'Investment Income-4Yr'!I45+'All Other E&amp;G-4Yr'!I45</f>
        <v>0</v>
      </c>
      <c r="J45" s="51">
        <f>+'Tuition-4Yr'!J45+'State Appropriations-4Yr'!J45+'Local Appropriations-4Yr'!J45+'Fed Contracts Grnts-4Yr'!J45+'Other Contract Grnts-4Yr'!J45+'Investment Income-4Yr'!J45+'All Other E&amp;G-4Yr'!J45</f>
        <v>1446968.1539999999</v>
      </c>
      <c r="K45" s="51">
        <f>+'Tuition-4Yr'!K45+'State Appropriations-4Yr'!K45+'Local Appropriations-4Yr'!K45+'Fed Contracts Grnts-4Yr'!K45+'Other Contract Grnts-4Yr'!K45+'Investment Income-4Yr'!K45+'All Other E&amp;G-4Yr'!K45</f>
        <v>0</v>
      </c>
      <c r="L45" s="51">
        <f>+'Tuition-4Yr'!L45+'State Appropriations-4Yr'!L45+'Local Appropriations-4Yr'!L45+'Fed Contracts Grnts-4Yr'!L45+'Other Contract Grnts-4Yr'!L45+'Investment Income-4Yr'!L45+'All Other E&amp;G-4Yr'!L45</f>
        <v>0</v>
      </c>
      <c r="M45" s="51">
        <f>+'Tuition-4Yr'!M45+'State Appropriations-4Yr'!M45+'Local Appropriations-4Yr'!M45+'Fed Contracts Grnts-4Yr'!M45+'Other Contract Grnts-4Yr'!M45+'Investment Income-4Yr'!M45+'All Other E&amp;G-4Yr'!M45</f>
        <v>1622596.4020000002</v>
      </c>
      <c r="N45" s="51">
        <f>+'Tuition-4Yr'!N45+'State Appropriations-4Yr'!N45+'Local Appropriations-4Yr'!N45+'Fed Contracts Grnts-4Yr'!N45+'Other Contract Grnts-4Yr'!N45+'Investment Income-4Yr'!N45+'All Other E&amp;G-4Yr'!N45</f>
        <v>0</v>
      </c>
      <c r="O45" s="51">
        <f>+'Tuition-4Yr'!O45+'State Appropriations-4Yr'!O45+'Local Appropriations-4Yr'!O45+'Fed Contracts Grnts-4Yr'!O45+'Other Contract Grnts-4Yr'!O45+'Investment Income-4Yr'!O45+'All Other E&amp;G-4Yr'!O45</f>
        <v>1746462.0210000002</v>
      </c>
      <c r="P45" s="51">
        <f>+'Tuition-4Yr'!P45+'State Appropriations-4Yr'!P45+'Local Appropriations-4Yr'!P45+'Fed Contracts Grnts-4Yr'!P45+'Other Contract Grnts-4Yr'!P45+'Investment Income-4Yr'!P45+'All Other E&amp;G-4Yr'!P45</f>
        <v>0</v>
      </c>
      <c r="Q45" s="51">
        <f>+'Tuition-4Yr'!Q45+'State Appropriations-4Yr'!Q45+'Local Appropriations-4Yr'!Q45+'Fed Contracts Grnts-4Yr'!Q45+'Other Contract Grnts-4Yr'!Q45+'Investment Income-4Yr'!Q45+'All Other E&amp;G-4Yr'!Q45</f>
        <v>0</v>
      </c>
      <c r="R45" s="51">
        <f>+'Tuition-4Yr'!R45+'State Appropriations-4Yr'!R45+'Local Appropriations-4Yr'!R45+'Fed Contracts Grnts-4Yr'!R45+'Other Contract Grnts-4Yr'!R45+'Investment Income-4Yr'!R45+'All Other E&amp;G-4Yr'!R45</f>
        <v>2071779.8930000002</v>
      </c>
      <c r="S45" s="51">
        <f>+'Tuition-4Yr'!S45+'State Appropriations-4Yr'!S45+'Local Appropriations-4Yr'!S45+'Fed Contracts Grnts-4Yr'!S45+'Other Contract Grnts-4Yr'!S45+'Investment Income-4Yr'!S45+'All Other E&amp;G-4Yr'!S45</f>
        <v>2207698.4069999997</v>
      </c>
      <c r="T45" s="51">
        <f>+'Tuition-4Yr'!T45+'State Appropriations-4Yr'!T45+'Local Appropriations-4Yr'!T45+'Fed Contracts Grnts-4Yr'!T45+'Other Contract Grnts-4Yr'!T45+'Investment Income-4Yr'!T45+'All Other E&amp;G-4Yr'!T45</f>
        <v>2322433.2560000001</v>
      </c>
      <c r="U45" s="51">
        <f>+'Tuition-4Yr'!U45+'State Appropriations-4Yr'!U45+'Local Appropriations-4Yr'!U45+'Fed Contracts Grnts-4Yr'!U45+'Other Contract Grnts-4Yr'!U45+'Investment Income-4Yr'!U45+'All Other E&amp;G-4Yr'!U45</f>
        <v>2439545.2070000004</v>
      </c>
      <c r="V45" s="51">
        <f>+'Tuition-4Yr'!V45+'State Appropriations-4Yr'!V45+'Local Appropriations-4Yr'!V45+'Fed Contracts Grnts-4Yr'!V45+'Other Contract Grnts-4Yr'!V45+'Investment Income-4Yr'!V45+'All Other E&amp;G-4Yr'!V45</f>
        <v>2595493.4280000003</v>
      </c>
      <c r="W45" s="51">
        <f>+'Tuition-4Yr'!W45+'State Appropriations-4Yr'!W45+'Local Appropriations-4Yr'!W45+'Fed Contracts Grnts-4Yr'!W45+'Other Contract Grnts-4Yr'!W45+'Investment Income-4Yr'!W45+'All Other E&amp;G-4Yr'!W45</f>
        <v>2871003.8380000005</v>
      </c>
      <c r="X45" s="51">
        <f>+'Tuition-4Yr'!X45+'State Appropriations-4Yr'!X45+'Local Appropriations-4Yr'!X45+'Fed Contracts Grnts-4Yr'!X45+'Other Contract Grnts-4Yr'!X45+'Investment Income-4Yr'!X45+'All Other E&amp;G-4Yr'!X45</f>
        <v>2809300.6880000001</v>
      </c>
      <c r="Y45" s="51">
        <f>+'Tuition-4Yr'!Y45+'State Appropriations-4Yr'!Y45+'Local Appropriations-4Yr'!Y45+'Fed Contracts Grnts-4Yr'!Y45+'Other Contract Grnts-4Yr'!Y45+'Investment Income-4Yr'!Y45+'All Other E&amp;G-4Yr'!Y45</f>
        <v>2957795.3470000001</v>
      </c>
      <c r="Z45" s="51">
        <f>+'Tuition-4Yr'!Z45+'State Appropriations-4Yr'!Z45+'Local Appropriations-4Yr'!Z45+'Fed Contracts Grnts-4Yr'!Z45+'Other Contract Grnts-4Yr'!Z45+'Investment Income-4Yr'!Z45+'All Other E&amp;G-4Yr'!Z45</f>
        <v>2974748.091</v>
      </c>
      <c r="AA45" s="51">
        <f>+'Tuition-4Yr'!AA45+'State Appropriations-4Yr'!AA45+'Local Appropriations-4Yr'!AA45+'Fed Contracts Grnts-4Yr'!AA45+'Other Contract Grnts-4Yr'!AA45+'Investment Income-4Yr'!AA45+'All Other E&amp;G-4Yr'!AA45</f>
        <v>2910151.26</v>
      </c>
      <c r="AB45" s="51">
        <f>+'Tuition-4Yr'!AB45+'State Appropriations-4Yr'!AB45+'Local Appropriations-4Yr'!AB45+'Fed Contracts Grnts-4Yr'!AB45+'Other Contract Grnts-4Yr'!AB45+'Investment Income-4Yr'!AB45+'All Other E&amp;G-4Yr'!AB45</f>
        <v>3684866.0019999999</v>
      </c>
      <c r="AC45" s="51">
        <f>+'Tuition-4Yr'!AC45+'State Appropriations-4Yr'!AC45+'Local Appropriations-4Yr'!AC45+'Fed Contracts Grnts-4Yr'!AC45+'Other Contract Grnts-4Yr'!AC45+'Investment Income-4Yr'!AC45+'All Other E&amp;G-4Yr'!AC45</f>
        <v>3841784</v>
      </c>
      <c r="AD45" s="51">
        <f>+'Tuition-4Yr'!AD45+'State Appropriations-4Yr'!AD45+'Local Appropriations-4Yr'!AD45+'Fed Contracts Grnts-4Yr'!AD45+'Other Contract Grnts-4Yr'!AD45+'Investment Income-4Yr'!AD45+'All Other E&amp;G-4Yr'!AD45</f>
        <v>3694263.4630000005</v>
      </c>
      <c r="AE45" s="51">
        <f>+'Tuition-4Yr'!AE45+'State Appropriations-4Yr'!AE45+'Local Appropriations-4Yr'!AE45+'Fed Contracts Grnts-4Yr'!AE45+'Other Contract Grnts-4Yr'!AE45+'Investment Income-4Yr'!AE45+'All Other E&amp;G-4Yr'!AE45</f>
        <v>3860913.858</v>
      </c>
      <c r="AF45" s="51">
        <f>+'Tuition-4Yr'!AF45+'State Appropriations-4Yr'!AF45+'Local Appropriations-4Yr'!AF45+'Fed Contracts Grnts-4Yr'!AF45+'Other Contract Grnts-4Yr'!AF45+'Investment Income-4Yr'!AF45+'All Other E&amp;G-4Yr'!AF45</f>
        <v>3930142.2909999997</v>
      </c>
      <c r="AG45" s="51">
        <f>+'Tuition-4Yr'!AG45+'State Appropriations-4Yr'!AG45+'Local Appropriations-4Yr'!AG45+'Fed Contracts Grnts-4Yr'!AG45+'Other Contract Grnts-4Yr'!AG45+'Investment Income-4Yr'!AG45+'All Other E&amp;G-4Yr'!AG45</f>
        <v>3979971.7349999999</v>
      </c>
      <c r="AH45" s="51">
        <f>+'Tuition-4Yr'!AH45+'State Appropriations-4Yr'!AH45+'Local Appropriations-4Yr'!AH45+'Fed Contracts Grnts-4Yr'!AH45+'Other Contract Grnts-4Yr'!AH45+'Investment Income-4Yr'!AH45+'All Other E&amp;G-4Yr'!AH45</f>
        <v>4073119.5739999996</v>
      </c>
      <c r="AI45" s="51">
        <f>+'Tuition-4Yr'!AI45+'State Appropriations-4Yr'!AI45+'Local Appropriations-4Yr'!AI45+'Fed Contracts Grnts-4Yr'!AI45+'Other Contract Grnts-4Yr'!AI45+'Investment Income-4Yr'!AI45+'All Other E&amp;G-4Yr'!AI45</f>
        <v>4191780.8690000004</v>
      </c>
      <c r="AJ45" s="51">
        <f>+'Tuition-4Yr'!AJ45+'State Appropriations-4Yr'!AJ45+'Local Appropriations-4Yr'!AJ45+'Fed Contracts Grnts-4Yr'!AJ45+'Other Contract Grnts-4Yr'!AJ45+'Investment Income-4Yr'!AJ45+'All Other E&amp;G-4Yr'!AJ45</f>
        <v>0</v>
      </c>
      <c r="AK45" s="51">
        <f>+'Tuition-4Yr'!AK45+'State Appropriations-4Yr'!AK45+'Local Appropriations-4Yr'!AK45+'Fed Contracts Grnts-4Yr'!AK45+'Other Contract Grnts-4Yr'!AK45+'Investment Income-4Yr'!AK45+'All Other E&amp;G-4Yr'!AK45</f>
        <v>4672938.5820000004</v>
      </c>
      <c r="AL45" s="51">
        <f>+'Tuition-4Yr'!AL45+'State Appropriations-4Yr'!AL45+'Local Appropriations-4Yr'!AL45+'Fed Contracts Grnts-4Yr'!AL45+'Other Contract Grnts-4Yr'!AL45+'Investment Income-4Yr'!AL45+'All Other E&amp;G-4Yr'!AL45</f>
        <v>4521092.7120000003</v>
      </c>
    </row>
    <row r="46" spans="1:38" ht="12.75" customHeight="1">
      <c r="A46" s="1" t="s">
        <v>59</v>
      </c>
      <c r="B46" s="51">
        <f>+'Tuition-4Yr'!B46+'State Appropriations-4Yr'!B46+'Local Appropriations-4Yr'!B46+'Fed Contracts Grnts-4Yr'!B46+'Other Contract Grnts-4Yr'!B46+'Investment Income-4Yr'!B46+'All Other E&amp;G-4Yr'!B46</f>
        <v>0</v>
      </c>
      <c r="C46" s="51">
        <f>+'Tuition-4Yr'!C46+'State Appropriations-4Yr'!C46+'Local Appropriations-4Yr'!C46+'Fed Contracts Grnts-4Yr'!C46+'Other Contract Grnts-4Yr'!C46+'Investment Income-4Yr'!C46+'All Other E&amp;G-4Yr'!C46</f>
        <v>0</v>
      </c>
      <c r="D46" s="51">
        <f>+'Tuition-4Yr'!D46+'State Appropriations-4Yr'!D46+'Local Appropriations-4Yr'!D46+'Fed Contracts Grnts-4Yr'!D46+'Other Contract Grnts-4Yr'!D46+'Investment Income-4Yr'!D46+'All Other E&amp;G-4Yr'!D46</f>
        <v>0</v>
      </c>
      <c r="E46" s="51">
        <f>+'Tuition-4Yr'!E46+'State Appropriations-4Yr'!E46+'Local Appropriations-4Yr'!E46+'Fed Contracts Grnts-4Yr'!E46+'Other Contract Grnts-4Yr'!E46+'Investment Income-4Yr'!E46+'All Other E&amp;G-4Yr'!E46</f>
        <v>0</v>
      </c>
      <c r="F46" s="51">
        <f>+'Tuition-4Yr'!F46+'State Appropriations-4Yr'!F46+'Local Appropriations-4Yr'!F46+'Fed Contracts Grnts-4Yr'!F46+'Other Contract Grnts-4Yr'!F46+'Investment Income-4Yr'!F46+'All Other E&amp;G-4Yr'!F46</f>
        <v>0</v>
      </c>
      <c r="G46" s="51">
        <f>+'Tuition-4Yr'!G46+'State Appropriations-4Yr'!G46+'Local Appropriations-4Yr'!G46+'Fed Contracts Grnts-4Yr'!G46+'Other Contract Grnts-4Yr'!G46+'Investment Income-4Yr'!G46+'All Other E&amp;G-4Yr'!G46</f>
        <v>0</v>
      </c>
      <c r="H46" s="51">
        <f>+'Tuition-4Yr'!H46+'State Appropriations-4Yr'!H46+'Local Appropriations-4Yr'!H46+'Fed Contracts Grnts-4Yr'!H46+'Other Contract Grnts-4Yr'!H46+'Investment Income-4Yr'!H46+'All Other E&amp;G-4Yr'!H46</f>
        <v>0</v>
      </c>
      <c r="I46" s="51">
        <f>+'Tuition-4Yr'!I46+'State Appropriations-4Yr'!I46+'Local Appropriations-4Yr'!I46+'Fed Contracts Grnts-4Yr'!I46+'Other Contract Grnts-4Yr'!I46+'Investment Income-4Yr'!I46+'All Other E&amp;G-4Yr'!I46</f>
        <v>0</v>
      </c>
      <c r="J46" s="51">
        <f>+'Tuition-4Yr'!J46+'State Appropriations-4Yr'!J46+'Local Appropriations-4Yr'!J46+'Fed Contracts Grnts-4Yr'!J46+'Other Contract Grnts-4Yr'!J46+'Investment Income-4Yr'!J46+'All Other E&amp;G-4Yr'!J46</f>
        <v>1032455.9029999999</v>
      </c>
      <c r="K46" s="51">
        <f>+'Tuition-4Yr'!K46+'State Appropriations-4Yr'!K46+'Local Appropriations-4Yr'!K46+'Fed Contracts Grnts-4Yr'!K46+'Other Contract Grnts-4Yr'!K46+'Investment Income-4Yr'!K46+'All Other E&amp;G-4Yr'!K46</f>
        <v>0</v>
      </c>
      <c r="L46" s="51">
        <f>+'Tuition-4Yr'!L46+'State Appropriations-4Yr'!L46+'Local Appropriations-4Yr'!L46+'Fed Contracts Grnts-4Yr'!L46+'Other Contract Grnts-4Yr'!L46+'Investment Income-4Yr'!L46+'All Other E&amp;G-4Yr'!L46</f>
        <v>0</v>
      </c>
      <c r="M46" s="51">
        <f>+'Tuition-4Yr'!M46+'State Appropriations-4Yr'!M46+'Local Appropriations-4Yr'!M46+'Fed Contracts Grnts-4Yr'!M46+'Other Contract Grnts-4Yr'!M46+'Investment Income-4Yr'!M46+'All Other E&amp;G-4Yr'!M46</f>
        <v>1245686.9479999999</v>
      </c>
      <c r="N46" s="51">
        <f>+'Tuition-4Yr'!N46+'State Appropriations-4Yr'!N46+'Local Appropriations-4Yr'!N46+'Fed Contracts Grnts-4Yr'!N46+'Other Contract Grnts-4Yr'!N46+'Investment Income-4Yr'!N46+'All Other E&amp;G-4Yr'!N46</f>
        <v>0</v>
      </c>
      <c r="O46" s="51">
        <f>+'Tuition-4Yr'!O46+'State Appropriations-4Yr'!O46+'Local Appropriations-4Yr'!O46+'Fed Contracts Grnts-4Yr'!O46+'Other Contract Grnts-4Yr'!O46+'Investment Income-4Yr'!O46+'All Other E&amp;G-4Yr'!O46</f>
        <v>1496719.0060000001</v>
      </c>
      <c r="P46" s="51">
        <f>+'Tuition-4Yr'!P46+'State Appropriations-4Yr'!P46+'Local Appropriations-4Yr'!P46+'Fed Contracts Grnts-4Yr'!P46+'Other Contract Grnts-4Yr'!P46+'Investment Income-4Yr'!P46+'All Other E&amp;G-4Yr'!P46</f>
        <v>0</v>
      </c>
      <c r="Q46" s="51">
        <f>+'Tuition-4Yr'!Q46+'State Appropriations-4Yr'!Q46+'Local Appropriations-4Yr'!Q46+'Fed Contracts Grnts-4Yr'!Q46+'Other Contract Grnts-4Yr'!Q46+'Investment Income-4Yr'!Q46+'All Other E&amp;G-4Yr'!Q46</f>
        <v>0</v>
      </c>
      <c r="R46" s="51">
        <f>+'Tuition-4Yr'!R46+'State Appropriations-4Yr'!R46+'Local Appropriations-4Yr'!R46+'Fed Contracts Grnts-4Yr'!R46+'Other Contract Grnts-4Yr'!R46+'Investment Income-4Yr'!R46+'All Other E&amp;G-4Yr'!R46</f>
        <v>1697019.3370000001</v>
      </c>
      <c r="S46" s="51">
        <f>+'Tuition-4Yr'!S46+'State Appropriations-4Yr'!S46+'Local Appropriations-4Yr'!S46+'Fed Contracts Grnts-4Yr'!S46+'Other Contract Grnts-4Yr'!S46+'Investment Income-4Yr'!S46+'All Other E&amp;G-4Yr'!S46</f>
        <v>2158441.9780000001</v>
      </c>
      <c r="T46" s="51">
        <f>+'Tuition-4Yr'!T46+'State Appropriations-4Yr'!T46+'Local Appropriations-4Yr'!T46+'Fed Contracts Grnts-4Yr'!T46+'Other Contract Grnts-4Yr'!T46+'Investment Income-4Yr'!T46+'All Other E&amp;G-4Yr'!T46</f>
        <v>1672318.4570000002</v>
      </c>
      <c r="U46" s="51">
        <f>+'Tuition-4Yr'!U46+'State Appropriations-4Yr'!U46+'Local Appropriations-4Yr'!U46+'Fed Contracts Grnts-4Yr'!U46+'Other Contract Grnts-4Yr'!U46+'Investment Income-4Yr'!U46+'All Other E&amp;G-4Yr'!U46</f>
        <v>1741771.0789999999</v>
      </c>
      <c r="V46" s="51">
        <f>+'Tuition-4Yr'!V46+'State Appropriations-4Yr'!V46+'Local Appropriations-4Yr'!V46+'Fed Contracts Grnts-4Yr'!V46+'Other Contract Grnts-4Yr'!V46+'Investment Income-4Yr'!V46+'All Other E&amp;G-4Yr'!V46</f>
        <v>1851471.1410000001</v>
      </c>
      <c r="W46" s="51">
        <f>+'Tuition-4Yr'!W46+'State Appropriations-4Yr'!W46+'Local Appropriations-4Yr'!W46+'Fed Contracts Grnts-4Yr'!W46+'Other Contract Grnts-4Yr'!W46+'Investment Income-4Yr'!W46+'All Other E&amp;G-4Yr'!W46</f>
        <v>2193863.3199999998</v>
      </c>
      <c r="X46" s="51">
        <f>+'Tuition-4Yr'!X46+'State Appropriations-4Yr'!X46+'Local Appropriations-4Yr'!X46+'Fed Contracts Grnts-4Yr'!X46+'Other Contract Grnts-4Yr'!X46+'Investment Income-4Yr'!X46+'All Other E&amp;G-4Yr'!X46</f>
        <v>2063581.9610000001</v>
      </c>
      <c r="Y46" s="51">
        <f>+'Tuition-4Yr'!Y46+'State Appropriations-4Yr'!Y46+'Local Appropriations-4Yr'!Y46+'Fed Contracts Grnts-4Yr'!Y46+'Other Contract Grnts-4Yr'!Y46+'Investment Income-4Yr'!Y46+'All Other E&amp;G-4Yr'!Y46</f>
        <v>2169918.4649999999</v>
      </c>
      <c r="Z46" s="51">
        <f>+'Tuition-4Yr'!Z46+'State Appropriations-4Yr'!Z46+'Local Appropriations-4Yr'!Z46+'Fed Contracts Grnts-4Yr'!Z46+'Other Contract Grnts-4Yr'!Z46+'Investment Income-4Yr'!Z46+'All Other E&amp;G-4Yr'!Z46</f>
        <v>2129429.7820000001</v>
      </c>
      <c r="AA46" s="51">
        <f>+'Tuition-4Yr'!AA46+'State Appropriations-4Yr'!AA46+'Local Appropriations-4Yr'!AA46+'Fed Contracts Grnts-4Yr'!AA46+'Other Contract Grnts-4Yr'!AA46+'Investment Income-4Yr'!AA46+'All Other E&amp;G-4Yr'!AA46</f>
        <v>2353655.69</v>
      </c>
      <c r="AB46" s="51">
        <f>+'Tuition-4Yr'!AB46+'State Appropriations-4Yr'!AB46+'Local Appropriations-4Yr'!AB46+'Fed Contracts Grnts-4Yr'!AB46+'Other Contract Grnts-4Yr'!AB46+'Investment Income-4Yr'!AB46+'All Other E&amp;G-4Yr'!AB46</f>
        <v>2708295.75</v>
      </c>
      <c r="AC46" s="51">
        <f>+'Tuition-4Yr'!AC46+'State Appropriations-4Yr'!AC46+'Local Appropriations-4Yr'!AC46+'Fed Contracts Grnts-4Yr'!AC46+'Other Contract Grnts-4Yr'!AC46+'Investment Income-4Yr'!AC46+'All Other E&amp;G-4Yr'!AC46</f>
        <v>2797189</v>
      </c>
      <c r="AD46" s="51">
        <f>+'Tuition-4Yr'!AD46+'State Appropriations-4Yr'!AD46+'Local Appropriations-4Yr'!AD46+'Fed Contracts Grnts-4Yr'!AD46+'Other Contract Grnts-4Yr'!AD46+'Investment Income-4Yr'!AD46+'All Other E&amp;G-4Yr'!AD46</f>
        <v>2754632.1509999996</v>
      </c>
      <c r="AE46" s="51">
        <f>+'Tuition-4Yr'!AE46+'State Appropriations-4Yr'!AE46+'Local Appropriations-4Yr'!AE46+'Fed Contracts Grnts-4Yr'!AE46+'Other Contract Grnts-4Yr'!AE46+'Investment Income-4Yr'!AE46+'All Other E&amp;G-4Yr'!AE46</f>
        <v>2860678.736</v>
      </c>
      <c r="AF46" s="51">
        <f>+'Tuition-4Yr'!AF46+'State Appropriations-4Yr'!AF46+'Local Appropriations-4Yr'!AF46+'Fed Contracts Grnts-4Yr'!AF46+'Other Contract Grnts-4Yr'!AF46+'Investment Income-4Yr'!AF46+'All Other E&amp;G-4Yr'!AF46</f>
        <v>2938146.8819999998</v>
      </c>
      <c r="AG46" s="51">
        <f>+'Tuition-4Yr'!AG46+'State Appropriations-4Yr'!AG46+'Local Appropriations-4Yr'!AG46+'Fed Contracts Grnts-4Yr'!AG46+'Other Contract Grnts-4Yr'!AG46+'Investment Income-4Yr'!AG46+'All Other E&amp;G-4Yr'!AG46</f>
        <v>2954039.7249999996</v>
      </c>
      <c r="AH46" s="51">
        <f>+'Tuition-4Yr'!AH46+'State Appropriations-4Yr'!AH46+'Local Appropriations-4Yr'!AH46+'Fed Contracts Grnts-4Yr'!AH46+'Other Contract Grnts-4Yr'!AH46+'Investment Income-4Yr'!AH46+'All Other E&amp;G-4Yr'!AH46</f>
        <v>3002810.3810000001</v>
      </c>
      <c r="AI46" s="51">
        <f>+'Tuition-4Yr'!AI46+'State Appropriations-4Yr'!AI46+'Local Appropriations-4Yr'!AI46+'Fed Contracts Grnts-4Yr'!AI46+'Other Contract Grnts-4Yr'!AI46+'Investment Income-4Yr'!AI46+'All Other E&amp;G-4Yr'!AI46</f>
        <v>3090486.4489999996</v>
      </c>
      <c r="AJ46" s="51">
        <f>+'Tuition-4Yr'!AJ46+'State Appropriations-4Yr'!AJ46+'Local Appropriations-4Yr'!AJ46+'Fed Contracts Grnts-4Yr'!AJ46+'Other Contract Grnts-4Yr'!AJ46+'Investment Income-4Yr'!AJ46+'All Other E&amp;G-4Yr'!AJ46</f>
        <v>0</v>
      </c>
      <c r="AK46" s="51">
        <f>+'Tuition-4Yr'!AK46+'State Appropriations-4Yr'!AK46+'Local Appropriations-4Yr'!AK46+'Fed Contracts Grnts-4Yr'!AK46+'Other Contract Grnts-4Yr'!AK46+'Investment Income-4Yr'!AK46+'All Other E&amp;G-4Yr'!AK46</f>
        <v>3252496.6969999997</v>
      </c>
      <c r="AL46" s="51">
        <f>+'Tuition-4Yr'!AL46+'State Appropriations-4Yr'!AL46+'Local Appropriations-4Yr'!AL46+'Fed Contracts Grnts-4Yr'!AL46+'Other Contract Grnts-4Yr'!AL46+'Investment Income-4Yr'!AL46+'All Other E&amp;G-4Yr'!AL46</f>
        <v>3135391.4240000006</v>
      </c>
    </row>
    <row r="47" spans="1:38" ht="12.75" customHeight="1">
      <c r="A47" s="1" t="s">
        <v>60</v>
      </c>
      <c r="B47" s="51">
        <f>+'Tuition-4Yr'!B47+'State Appropriations-4Yr'!B47+'Local Appropriations-4Yr'!B47+'Fed Contracts Grnts-4Yr'!B47+'Other Contract Grnts-4Yr'!B47+'Investment Income-4Yr'!B47+'All Other E&amp;G-4Yr'!B47</f>
        <v>0</v>
      </c>
      <c r="C47" s="51">
        <f>+'Tuition-4Yr'!C47+'State Appropriations-4Yr'!C47+'Local Appropriations-4Yr'!C47+'Fed Contracts Grnts-4Yr'!C47+'Other Contract Grnts-4Yr'!C47+'Investment Income-4Yr'!C47+'All Other E&amp;G-4Yr'!C47</f>
        <v>0</v>
      </c>
      <c r="D47" s="51">
        <f>+'Tuition-4Yr'!D47+'State Appropriations-4Yr'!D47+'Local Appropriations-4Yr'!D47+'Fed Contracts Grnts-4Yr'!D47+'Other Contract Grnts-4Yr'!D47+'Investment Income-4Yr'!D47+'All Other E&amp;G-4Yr'!D47</f>
        <v>0</v>
      </c>
      <c r="E47" s="51">
        <f>+'Tuition-4Yr'!E47+'State Appropriations-4Yr'!E47+'Local Appropriations-4Yr'!E47+'Fed Contracts Grnts-4Yr'!E47+'Other Contract Grnts-4Yr'!E47+'Investment Income-4Yr'!E47+'All Other E&amp;G-4Yr'!E47</f>
        <v>0</v>
      </c>
      <c r="F47" s="51">
        <f>+'Tuition-4Yr'!F47+'State Appropriations-4Yr'!F47+'Local Appropriations-4Yr'!F47+'Fed Contracts Grnts-4Yr'!F47+'Other Contract Grnts-4Yr'!F47+'Investment Income-4Yr'!F47+'All Other E&amp;G-4Yr'!F47</f>
        <v>0</v>
      </c>
      <c r="G47" s="51">
        <f>+'Tuition-4Yr'!G47+'State Appropriations-4Yr'!G47+'Local Appropriations-4Yr'!G47+'Fed Contracts Grnts-4Yr'!G47+'Other Contract Grnts-4Yr'!G47+'Investment Income-4Yr'!G47+'All Other E&amp;G-4Yr'!G47</f>
        <v>0</v>
      </c>
      <c r="H47" s="51">
        <f>+'Tuition-4Yr'!H47+'State Appropriations-4Yr'!H47+'Local Appropriations-4Yr'!H47+'Fed Contracts Grnts-4Yr'!H47+'Other Contract Grnts-4Yr'!H47+'Investment Income-4Yr'!H47+'All Other E&amp;G-4Yr'!H47</f>
        <v>0</v>
      </c>
      <c r="I47" s="51">
        <f>+'Tuition-4Yr'!I47+'State Appropriations-4Yr'!I47+'Local Appropriations-4Yr'!I47+'Fed Contracts Grnts-4Yr'!I47+'Other Contract Grnts-4Yr'!I47+'Investment Income-4Yr'!I47+'All Other E&amp;G-4Yr'!I47</f>
        <v>0</v>
      </c>
      <c r="J47" s="51">
        <f>+'Tuition-4Yr'!J47+'State Appropriations-4Yr'!J47+'Local Appropriations-4Yr'!J47+'Fed Contracts Grnts-4Yr'!J47+'Other Contract Grnts-4Yr'!J47+'Investment Income-4Yr'!J47+'All Other E&amp;G-4Yr'!J47</f>
        <v>580409.16899999988</v>
      </c>
      <c r="K47" s="51">
        <f>+'Tuition-4Yr'!K47+'State Appropriations-4Yr'!K47+'Local Appropriations-4Yr'!K47+'Fed Contracts Grnts-4Yr'!K47+'Other Contract Grnts-4Yr'!K47+'Investment Income-4Yr'!K47+'All Other E&amp;G-4Yr'!K47</f>
        <v>0</v>
      </c>
      <c r="L47" s="51">
        <f>+'Tuition-4Yr'!L47+'State Appropriations-4Yr'!L47+'Local Appropriations-4Yr'!L47+'Fed Contracts Grnts-4Yr'!L47+'Other Contract Grnts-4Yr'!L47+'Investment Income-4Yr'!L47+'All Other E&amp;G-4Yr'!L47</f>
        <v>0</v>
      </c>
      <c r="M47" s="51">
        <f>+'Tuition-4Yr'!M47+'State Appropriations-4Yr'!M47+'Local Appropriations-4Yr'!M47+'Fed Contracts Grnts-4Yr'!M47+'Other Contract Grnts-4Yr'!M47+'Investment Income-4Yr'!M47+'All Other E&amp;G-4Yr'!M47</f>
        <v>643868.88499999989</v>
      </c>
      <c r="N47" s="51">
        <f>+'Tuition-4Yr'!N47+'State Appropriations-4Yr'!N47+'Local Appropriations-4Yr'!N47+'Fed Contracts Grnts-4Yr'!N47+'Other Contract Grnts-4Yr'!N47+'Investment Income-4Yr'!N47+'All Other E&amp;G-4Yr'!N47</f>
        <v>0</v>
      </c>
      <c r="O47" s="51">
        <f>+'Tuition-4Yr'!O47+'State Appropriations-4Yr'!O47+'Local Appropriations-4Yr'!O47+'Fed Contracts Grnts-4Yr'!O47+'Other Contract Grnts-4Yr'!O47+'Investment Income-4Yr'!O47+'All Other E&amp;G-4Yr'!O47</f>
        <v>747525.13600000006</v>
      </c>
      <c r="P47" s="51">
        <f>+'Tuition-4Yr'!P47+'State Appropriations-4Yr'!P47+'Local Appropriations-4Yr'!P47+'Fed Contracts Grnts-4Yr'!P47+'Other Contract Grnts-4Yr'!P47+'Investment Income-4Yr'!P47+'All Other E&amp;G-4Yr'!P47</f>
        <v>0</v>
      </c>
      <c r="Q47" s="51">
        <f>+'Tuition-4Yr'!Q47+'State Appropriations-4Yr'!Q47+'Local Appropriations-4Yr'!Q47+'Fed Contracts Grnts-4Yr'!Q47+'Other Contract Grnts-4Yr'!Q47+'Investment Income-4Yr'!Q47+'All Other E&amp;G-4Yr'!Q47</f>
        <v>0</v>
      </c>
      <c r="R47" s="51">
        <f>+'Tuition-4Yr'!R47+'State Appropriations-4Yr'!R47+'Local Appropriations-4Yr'!R47+'Fed Contracts Grnts-4Yr'!R47+'Other Contract Grnts-4Yr'!R47+'Investment Income-4Yr'!R47+'All Other E&amp;G-4Yr'!R47</f>
        <v>822509.99900000007</v>
      </c>
      <c r="S47" s="51">
        <f>+'Tuition-4Yr'!S47+'State Appropriations-4Yr'!S47+'Local Appropriations-4Yr'!S47+'Fed Contracts Grnts-4Yr'!S47+'Other Contract Grnts-4Yr'!S47+'Investment Income-4Yr'!S47+'All Other E&amp;G-4Yr'!S47</f>
        <v>884718.54700000025</v>
      </c>
      <c r="T47" s="51">
        <f>+'Tuition-4Yr'!T47+'State Appropriations-4Yr'!T47+'Local Appropriations-4Yr'!T47+'Fed Contracts Grnts-4Yr'!T47+'Other Contract Grnts-4Yr'!T47+'Investment Income-4Yr'!T47+'All Other E&amp;G-4Yr'!T47</f>
        <v>1069928.95</v>
      </c>
      <c r="U47" s="51">
        <f>+'Tuition-4Yr'!U47+'State Appropriations-4Yr'!U47+'Local Appropriations-4Yr'!U47+'Fed Contracts Grnts-4Yr'!U47+'Other Contract Grnts-4Yr'!U47+'Investment Income-4Yr'!U47+'All Other E&amp;G-4Yr'!U47</f>
        <v>1043496.0009999999</v>
      </c>
      <c r="V47" s="51">
        <f>+'Tuition-4Yr'!V47+'State Appropriations-4Yr'!V47+'Local Appropriations-4Yr'!V47+'Fed Contracts Grnts-4Yr'!V47+'Other Contract Grnts-4Yr'!V47+'Investment Income-4Yr'!V47+'All Other E&amp;G-4Yr'!V47</f>
        <v>1053937.9369999999</v>
      </c>
      <c r="W47" s="51">
        <f>+'Tuition-4Yr'!W47+'State Appropriations-4Yr'!W47+'Local Appropriations-4Yr'!W47+'Fed Contracts Grnts-4Yr'!W47+'Other Contract Grnts-4Yr'!W47+'Investment Income-4Yr'!W47+'All Other E&amp;G-4Yr'!W47</f>
        <v>1170233.4280000001</v>
      </c>
      <c r="X47" s="51">
        <f>+'Tuition-4Yr'!X47+'State Appropriations-4Yr'!X47+'Local Appropriations-4Yr'!X47+'Fed Contracts Grnts-4Yr'!X47+'Other Contract Grnts-4Yr'!X47+'Investment Income-4Yr'!X47+'All Other E&amp;G-4Yr'!X47</f>
        <v>1217914.571</v>
      </c>
      <c r="Y47" s="51">
        <f>+'Tuition-4Yr'!Y47+'State Appropriations-4Yr'!Y47+'Local Appropriations-4Yr'!Y47+'Fed Contracts Grnts-4Yr'!Y47+'Other Contract Grnts-4Yr'!Y47+'Investment Income-4Yr'!Y47+'All Other E&amp;G-4Yr'!Y47</f>
        <v>1277065.1500000001</v>
      </c>
      <c r="Z47" s="51">
        <f>+'Tuition-4Yr'!Z47+'State Appropriations-4Yr'!Z47+'Local Appropriations-4Yr'!Z47+'Fed Contracts Grnts-4Yr'!Z47+'Other Contract Grnts-4Yr'!Z47+'Investment Income-4Yr'!Z47+'All Other E&amp;G-4Yr'!Z47</f>
        <v>1402000.7779999999</v>
      </c>
      <c r="AA47" s="51">
        <f>+'Tuition-4Yr'!AA47+'State Appropriations-4Yr'!AA47+'Local Appropriations-4Yr'!AA47+'Fed Contracts Grnts-4Yr'!AA47+'Other Contract Grnts-4Yr'!AA47+'Investment Income-4Yr'!AA47+'All Other E&amp;G-4Yr'!AA47</f>
        <v>1072089.3489999999</v>
      </c>
      <c r="AB47" s="51">
        <f>+'Tuition-4Yr'!AB47+'State Appropriations-4Yr'!AB47+'Local Appropriations-4Yr'!AB47+'Fed Contracts Grnts-4Yr'!AB47+'Other Contract Grnts-4Yr'!AB47+'Investment Income-4Yr'!AB47+'All Other E&amp;G-4Yr'!AB47</f>
        <v>1596273.6889999998</v>
      </c>
      <c r="AC47" s="51">
        <f>+'Tuition-4Yr'!AC47+'State Appropriations-4Yr'!AC47+'Local Appropriations-4Yr'!AC47+'Fed Contracts Grnts-4Yr'!AC47+'Other Contract Grnts-4Yr'!AC47+'Investment Income-4Yr'!AC47+'All Other E&amp;G-4Yr'!AC47</f>
        <v>1671151</v>
      </c>
      <c r="AD47" s="51">
        <f>+'Tuition-4Yr'!AD47+'State Appropriations-4Yr'!AD47+'Local Appropriations-4Yr'!AD47+'Fed Contracts Grnts-4Yr'!AD47+'Other Contract Grnts-4Yr'!AD47+'Investment Income-4Yr'!AD47+'All Other E&amp;G-4Yr'!AD47</f>
        <v>1629481.2520000001</v>
      </c>
      <c r="AE47" s="51">
        <f>+'Tuition-4Yr'!AE47+'State Appropriations-4Yr'!AE47+'Local Appropriations-4Yr'!AE47+'Fed Contracts Grnts-4Yr'!AE47+'Other Contract Grnts-4Yr'!AE47+'Investment Income-4Yr'!AE47+'All Other E&amp;G-4Yr'!AE47</f>
        <v>1716721.513</v>
      </c>
      <c r="AF47" s="51">
        <f>+'Tuition-4Yr'!AF47+'State Appropriations-4Yr'!AF47+'Local Appropriations-4Yr'!AF47+'Fed Contracts Grnts-4Yr'!AF47+'Other Contract Grnts-4Yr'!AF47+'Investment Income-4Yr'!AF47+'All Other E&amp;G-4Yr'!AF47</f>
        <v>1714874.5689999999</v>
      </c>
      <c r="AG47" s="51">
        <f>+'Tuition-4Yr'!AG47+'State Appropriations-4Yr'!AG47+'Local Appropriations-4Yr'!AG47+'Fed Contracts Grnts-4Yr'!AG47+'Other Contract Grnts-4Yr'!AG47+'Investment Income-4Yr'!AG47+'All Other E&amp;G-4Yr'!AG47</f>
        <v>1981701.1140000001</v>
      </c>
      <c r="AH47" s="51">
        <f>+'Tuition-4Yr'!AH47+'State Appropriations-4Yr'!AH47+'Local Appropriations-4Yr'!AH47+'Fed Contracts Grnts-4Yr'!AH47+'Other Contract Grnts-4Yr'!AH47+'Investment Income-4Yr'!AH47+'All Other E&amp;G-4Yr'!AH47</f>
        <v>1924584.7239999999</v>
      </c>
      <c r="AI47" s="51">
        <f>+'Tuition-4Yr'!AI47+'State Appropriations-4Yr'!AI47+'Local Appropriations-4Yr'!AI47+'Fed Contracts Grnts-4Yr'!AI47+'Other Contract Grnts-4Yr'!AI47+'Investment Income-4Yr'!AI47+'All Other E&amp;G-4Yr'!AI47</f>
        <v>2007187.1569999999</v>
      </c>
      <c r="AJ47" s="51">
        <f>+'Tuition-4Yr'!AJ47+'State Appropriations-4Yr'!AJ47+'Local Appropriations-4Yr'!AJ47+'Fed Contracts Grnts-4Yr'!AJ47+'Other Contract Grnts-4Yr'!AJ47+'Investment Income-4Yr'!AJ47+'All Other E&amp;G-4Yr'!AJ47</f>
        <v>0</v>
      </c>
      <c r="AK47" s="51">
        <f>+'Tuition-4Yr'!AK47+'State Appropriations-4Yr'!AK47+'Local Appropriations-4Yr'!AK47+'Fed Contracts Grnts-4Yr'!AK47+'Other Contract Grnts-4Yr'!AK47+'Investment Income-4Yr'!AK47+'All Other E&amp;G-4Yr'!AK47</f>
        <v>2260855.077</v>
      </c>
      <c r="AL47" s="51">
        <f>+'Tuition-4Yr'!AL47+'State Appropriations-4Yr'!AL47+'Local Appropriations-4Yr'!AL47+'Fed Contracts Grnts-4Yr'!AL47+'Other Contract Grnts-4Yr'!AL47+'Investment Income-4Yr'!AL47+'All Other E&amp;G-4Yr'!AL47</f>
        <v>2168813.5729999999</v>
      </c>
    </row>
    <row r="48" spans="1:38" ht="12.75" customHeight="1">
      <c r="A48" s="1" t="s">
        <v>61</v>
      </c>
      <c r="B48" s="51">
        <f>+'Tuition-4Yr'!B48+'State Appropriations-4Yr'!B48+'Local Appropriations-4Yr'!B48+'Fed Contracts Grnts-4Yr'!B48+'Other Contract Grnts-4Yr'!B48+'Investment Income-4Yr'!B48+'All Other E&amp;G-4Yr'!B48</f>
        <v>0</v>
      </c>
      <c r="C48" s="51">
        <f>+'Tuition-4Yr'!C48+'State Appropriations-4Yr'!C48+'Local Appropriations-4Yr'!C48+'Fed Contracts Grnts-4Yr'!C48+'Other Contract Grnts-4Yr'!C48+'Investment Income-4Yr'!C48+'All Other E&amp;G-4Yr'!C48</f>
        <v>0</v>
      </c>
      <c r="D48" s="51">
        <f>+'Tuition-4Yr'!D48+'State Appropriations-4Yr'!D48+'Local Appropriations-4Yr'!D48+'Fed Contracts Grnts-4Yr'!D48+'Other Contract Grnts-4Yr'!D48+'Investment Income-4Yr'!D48+'All Other E&amp;G-4Yr'!D48</f>
        <v>0</v>
      </c>
      <c r="E48" s="51">
        <f>+'Tuition-4Yr'!E48+'State Appropriations-4Yr'!E48+'Local Appropriations-4Yr'!E48+'Fed Contracts Grnts-4Yr'!E48+'Other Contract Grnts-4Yr'!E48+'Investment Income-4Yr'!E48+'All Other E&amp;G-4Yr'!E48</f>
        <v>0</v>
      </c>
      <c r="F48" s="51">
        <f>+'Tuition-4Yr'!F48+'State Appropriations-4Yr'!F48+'Local Appropriations-4Yr'!F48+'Fed Contracts Grnts-4Yr'!F48+'Other Contract Grnts-4Yr'!F48+'Investment Income-4Yr'!F48+'All Other E&amp;G-4Yr'!F48</f>
        <v>0</v>
      </c>
      <c r="G48" s="51">
        <f>+'Tuition-4Yr'!G48+'State Appropriations-4Yr'!G48+'Local Appropriations-4Yr'!G48+'Fed Contracts Grnts-4Yr'!G48+'Other Contract Grnts-4Yr'!G48+'Investment Income-4Yr'!G48+'All Other E&amp;G-4Yr'!G48</f>
        <v>0</v>
      </c>
      <c r="H48" s="51">
        <f>+'Tuition-4Yr'!H48+'State Appropriations-4Yr'!H48+'Local Appropriations-4Yr'!H48+'Fed Contracts Grnts-4Yr'!H48+'Other Contract Grnts-4Yr'!H48+'Investment Income-4Yr'!H48+'All Other E&amp;G-4Yr'!H48</f>
        <v>0</v>
      </c>
      <c r="I48" s="51">
        <f>+'Tuition-4Yr'!I48+'State Appropriations-4Yr'!I48+'Local Appropriations-4Yr'!I48+'Fed Contracts Grnts-4Yr'!I48+'Other Contract Grnts-4Yr'!I48+'Investment Income-4Yr'!I48+'All Other E&amp;G-4Yr'!I48</f>
        <v>0</v>
      </c>
      <c r="J48" s="51">
        <f>+'Tuition-4Yr'!J48+'State Appropriations-4Yr'!J48+'Local Appropriations-4Yr'!J48+'Fed Contracts Grnts-4Yr'!J48+'Other Contract Grnts-4Yr'!J48+'Investment Income-4Yr'!J48+'All Other E&amp;G-4Yr'!J48</f>
        <v>304484.02399999998</v>
      </c>
      <c r="K48" s="51">
        <f>+'Tuition-4Yr'!K48+'State Appropriations-4Yr'!K48+'Local Appropriations-4Yr'!K48+'Fed Contracts Grnts-4Yr'!K48+'Other Contract Grnts-4Yr'!K48+'Investment Income-4Yr'!K48+'All Other E&amp;G-4Yr'!K48</f>
        <v>0</v>
      </c>
      <c r="L48" s="51">
        <f>+'Tuition-4Yr'!L48+'State Appropriations-4Yr'!L48+'Local Appropriations-4Yr'!L48+'Fed Contracts Grnts-4Yr'!L48+'Other Contract Grnts-4Yr'!L48+'Investment Income-4Yr'!L48+'All Other E&amp;G-4Yr'!L48</f>
        <v>0</v>
      </c>
      <c r="M48" s="51">
        <f>+'Tuition-4Yr'!M48+'State Appropriations-4Yr'!M48+'Local Appropriations-4Yr'!M48+'Fed Contracts Grnts-4Yr'!M48+'Other Contract Grnts-4Yr'!M48+'Investment Income-4Yr'!M48+'All Other E&amp;G-4Yr'!M48</f>
        <v>336053.00899999996</v>
      </c>
      <c r="N48" s="51">
        <f>+'Tuition-4Yr'!N48+'State Appropriations-4Yr'!N48+'Local Appropriations-4Yr'!N48+'Fed Contracts Grnts-4Yr'!N48+'Other Contract Grnts-4Yr'!N48+'Investment Income-4Yr'!N48+'All Other E&amp;G-4Yr'!N48</f>
        <v>0</v>
      </c>
      <c r="O48" s="51">
        <f>+'Tuition-4Yr'!O48+'State Appropriations-4Yr'!O48+'Local Appropriations-4Yr'!O48+'Fed Contracts Grnts-4Yr'!O48+'Other Contract Grnts-4Yr'!O48+'Investment Income-4Yr'!O48+'All Other E&amp;G-4Yr'!O48</f>
        <v>352559.39700000006</v>
      </c>
      <c r="P48" s="51">
        <f>+'Tuition-4Yr'!P48+'State Appropriations-4Yr'!P48+'Local Appropriations-4Yr'!P48+'Fed Contracts Grnts-4Yr'!P48+'Other Contract Grnts-4Yr'!P48+'Investment Income-4Yr'!P48+'All Other E&amp;G-4Yr'!P48</f>
        <v>0</v>
      </c>
      <c r="Q48" s="51">
        <f>+'Tuition-4Yr'!Q48+'State Appropriations-4Yr'!Q48+'Local Appropriations-4Yr'!Q48+'Fed Contracts Grnts-4Yr'!Q48+'Other Contract Grnts-4Yr'!Q48+'Investment Income-4Yr'!Q48+'All Other E&amp;G-4Yr'!Q48</f>
        <v>0</v>
      </c>
      <c r="R48" s="51">
        <f>+'Tuition-4Yr'!R48+'State Appropriations-4Yr'!R48+'Local Appropriations-4Yr'!R48+'Fed Contracts Grnts-4Yr'!R48+'Other Contract Grnts-4Yr'!R48+'Investment Income-4Yr'!R48+'All Other E&amp;G-4Yr'!R48</f>
        <v>383573.06800000003</v>
      </c>
      <c r="S48" s="51">
        <f>+'Tuition-4Yr'!S48+'State Appropriations-4Yr'!S48+'Local Appropriations-4Yr'!S48+'Fed Contracts Grnts-4Yr'!S48+'Other Contract Grnts-4Yr'!S48+'Investment Income-4Yr'!S48+'All Other E&amp;G-4Yr'!S48</f>
        <v>430666.01699999999</v>
      </c>
      <c r="T48" s="51">
        <f>+'Tuition-4Yr'!T48+'State Appropriations-4Yr'!T48+'Local Appropriations-4Yr'!T48+'Fed Contracts Grnts-4Yr'!T48+'Other Contract Grnts-4Yr'!T48+'Investment Income-4Yr'!T48+'All Other E&amp;G-4Yr'!T48</f>
        <v>466543.45399999997</v>
      </c>
      <c r="U48" s="51">
        <f>+'Tuition-4Yr'!U48+'State Appropriations-4Yr'!U48+'Local Appropriations-4Yr'!U48+'Fed Contracts Grnts-4Yr'!U48+'Other Contract Grnts-4Yr'!U48+'Investment Income-4Yr'!U48+'All Other E&amp;G-4Yr'!U48</f>
        <v>490827.03499999997</v>
      </c>
      <c r="V48" s="51">
        <f>+'Tuition-4Yr'!V48+'State Appropriations-4Yr'!V48+'Local Appropriations-4Yr'!V48+'Fed Contracts Grnts-4Yr'!V48+'Other Contract Grnts-4Yr'!V48+'Investment Income-4Yr'!V48+'All Other E&amp;G-4Yr'!V48</f>
        <v>538581.46600000001</v>
      </c>
      <c r="W48" s="51">
        <f>+'Tuition-4Yr'!W48+'State Appropriations-4Yr'!W48+'Local Appropriations-4Yr'!W48+'Fed Contracts Grnts-4Yr'!W48+'Other Contract Grnts-4Yr'!W48+'Investment Income-4Yr'!W48+'All Other E&amp;G-4Yr'!W48</f>
        <v>601560.66899999999</v>
      </c>
      <c r="X48" s="51">
        <f>+'Tuition-4Yr'!X48+'State Appropriations-4Yr'!X48+'Local Appropriations-4Yr'!X48+'Fed Contracts Grnts-4Yr'!X48+'Other Contract Grnts-4Yr'!X48+'Investment Income-4Yr'!X48+'All Other E&amp;G-4Yr'!X48</f>
        <v>610472.33100000001</v>
      </c>
      <c r="Y48" s="51">
        <f>+'Tuition-4Yr'!Y48+'State Appropriations-4Yr'!Y48+'Local Appropriations-4Yr'!Y48+'Fed Contracts Grnts-4Yr'!Y48+'Other Contract Grnts-4Yr'!Y48+'Investment Income-4Yr'!Y48+'All Other E&amp;G-4Yr'!Y48</f>
        <v>644111.32200000004</v>
      </c>
      <c r="Z48" s="51">
        <f>+'Tuition-4Yr'!Z48+'State Appropriations-4Yr'!Z48+'Local Appropriations-4Yr'!Z48+'Fed Contracts Grnts-4Yr'!Z48+'Other Contract Grnts-4Yr'!Z48+'Investment Income-4Yr'!Z48+'All Other E&amp;G-4Yr'!Z48</f>
        <v>702566.29000000015</v>
      </c>
      <c r="AA48" s="51">
        <f>+'Tuition-4Yr'!AA48+'State Appropriations-4Yr'!AA48+'Local Appropriations-4Yr'!AA48+'Fed Contracts Grnts-4Yr'!AA48+'Other Contract Grnts-4Yr'!AA48+'Investment Income-4Yr'!AA48+'All Other E&amp;G-4Yr'!AA48</f>
        <v>734322.85400000005</v>
      </c>
      <c r="AB48" s="51">
        <f>+'Tuition-4Yr'!AB48+'State Appropriations-4Yr'!AB48+'Local Appropriations-4Yr'!AB48+'Fed Contracts Grnts-4Yr'!AB48+'Other Contract Grnts-4Yr'!AB48+'Investment Income-4Yr'!AB48+'All Other E&amp;G-4Yr'!AB48</f>
        <v>806231.79700000002</v>
      </c>
      <c r="AC48" s="51">
        <f>+'Tuition-4Yr'!AC48+'State Appropriations-4Yr'!AC48+'Local Appropriations-4Yr'!AC48+'Fed Contracts Grnts-4Yr'!AC48+'Other Contract Grnts-4Yr'!AC48+'Investment Income-4Yr'!AC48+'All Other E&amp;G-4Yr'!AC48</f>
        <v>835364</v>
      </c>
      <c r="AD48" s="51">
        <f>+'Tuition-4Yr'!AD48+'State Appropriations-4Yr'!AD48+'Local Appropriations-4Yr'!AD48+'Fed Contracts Grnts-4Yr'!AD48+'Other Contract Grnts-4Yr'!AD48+'Investment Income-4Yr'!AD48+'All Other E&amp;G-4Yr'!AD48</f>
        <v>852917.74800000002</v>
      </c>
      <c r="AE48" s="51">
        <f>+'Tuition-4Yr'!AE48+'State Appropriations-4Yr'!AE48+'Local Appropriations-4Yr'!AE48+'Fed Contracts Grnts-4Yr'!AE48+'Other Contract Grnts-4Yr'!AE48+'Investment Income-4Yr'!AE48+'All Other E&amp;G-4Yr'!AE48</f>
        <v>886835.71500000008</v>
      </c>
      <c r="AF48" s="51">
        <f>+'Tuition-4Yr'!AF48+'State Appropriations-4Yr'!AF48+'Local Appropriations-4Yr'!AF48+'Fed Contracts Grnts-4Yr'!AF48+'Other Contract Grnts-4Yr'!AF48+'Investment Income-4Yr'!AF48+'All Other E&amp;G-4Yr'!AF48</f>
        <v>839119.24100000004</v>
      </c>
      <c r="AG48" s="51">
        <f>+'Tuition-4Yr'!AG48+'State Appropriations-4Yr'!AG48+'Local Appropriations-4Yr'!AG48+'Fed Contracts Grnts-4Yr'!AG48+'Other Contract Grnts-4Yr'!AG48+'Investment Income-4Yr'!AG48+'All Other E&amp;G-4Yr'!AG48</f>
        <v>934526.72400000005</v>
      </c>
      <c r="AH48" s="51">
        <f>+'Tuition-4Yr'!AH48+'State Appropriations-4Yr'!AH48+'Local Appropriations-4Yr'!AH48+'Fed Contracts Grnts-4Yr'!AH48+'Other Contract Grnts-4Yr'!AH48+'Investment Income-4Yr'!AH48+'All Other E&amp;G-4Yr'!AH48</f>
        <v>961404.57200000016</v>
      </c>
      <c r="AI48" s="51">
        <f>+'Tuition-4Yr'!AI48+'State Appropriations-4Yr'!AI48+'Local Appropriations-4Yr'!AI48+'Fed Contracts Grnts-4Yr'!AI48+'Other Contract Grnts-4Yr'!AI48+'Investment Income-4Yr'!AI48+'All Other E&amp;G-4Yr'!AI48</f>
        <v>962534.51599999995</v>
      </c>
      <c r="AJ48" s="51">
        <f>+'Tuition-4Yr'!AJ48+'State Appropriations-4Yr'!AJ48+'Local Appropriations-4Yr'!AJ48+'Fed Contracts Grnts-4Yr'!AJ48+'Other Contract Grnts-4Yr'!AJ48+'Investment Income-4Yr'!AJ48+'All Other E&amp;G-4Yr'!AJ48</f>
        <v>0</v>
      </c>
      <c r="AK48" s="51">
        <f>+'Tuition-4Yr'!AK48+'State Appropriations-4Yr'!AK48+'Local Appropriations-4Yr'!AK48+'Fed Contracts Grnts-4Yr'!AK48+'Other Contract Grnts-4Yr'!AK48+'Investment Income-4Yr'!AK48+'All Other E&amp;G-4Yr'!AK48</f>
        <v>990403.5689999999</v>
      </c>
      <c r="AL48" s="51">
        <f>+'Tuition-4Yr'!AL48+'State Appropriations-4Yr'!AL48+'Local Appropriations-4Yr'!AL48+'Fed Contracts Grnts-4Yr'!AL48+'Other Contract Grnts-4Yr'!AL48+'Investment Income-4Yr'!AL48+'All Other E&amp;G-4Yr'!AL48</f>
        <v>981673.15899999999</v>
      </c>
    </row>
    <row r="49" spans="1:38" ht="12.75" customHeight="1">
      <c r="A49" s="1" t="s">
        <v>62</v>
      </c>
      <c r="B49" s="51">
        <f>+'Tuition-4Yr'!B49+'State Appropriations-4Yr'!B49+'Local Appropriations-4Yr'!B49+'Fed Contracts Grnts-4Yr'!B49+'Other Contract Grnts-4Yr'!B49+'Investment Income-4Yr'!B49+'All Other E&amp;G-4Yr'!B49</f>
        <v>0</v>
      </c>
      <c r="C49" s="51">
        <f>+'Tuition-4Yr'!C49+'State Appropriations-4Yr'!C49+'Local Appropriations-4Yr'!C49+'Fed Contracts Grnts-4Yr'!C49+'Other Contract Grnts-4Yr'!C49+'Investment Income-4Yr'!C49+'All Other E&amp;G-4Yr'!C49</f>
        <v>0</v>
      </c>
      <c r="D49" s="51">
        <f>+'Tuition-4Yr'!D49+'State Appropriations-4Yr'!D49+'Local Appropriations-4Yr'!D49+'Fed Contracts Grnts-4Yr'!D49+'Other Contract Grnts-4Yr'!D49+'Investment Income-4Yr'!D49+'All Other E&amp;G-4Yr'!D49</f>
        <v>0</v>
      </c>
      <c r="E49" s="51">
        <f>+'Tuition-4Yr'!E49+'State Appropriations-4Yr'!E49+'Local Appropriations-4Yr'!E49+'Fed Contracts Grnts-4Yr'!E49+'Other Contract Grnts-4Yr'!E49+'Investment Income-4Yr'!E49+'All Other E&amp;G-4Yr'!E49</f>
        <v>0</v>
      </c>
      <c r="F49" s="51">
        <f>+'Tuition-4Yr'!F49+'State Appropriations-4Yr'!F49+'Local Appropriations-4Yr'!F49+'Fed Contracts Grnts-4Yr'!F49+'Other Contract Grnts-4Yr'!F49+'Investment Income-4Yr'!F49+'All Other E&amp;G-4Yr'!F49</f>
        <v>0</v>
      </c>
      <c r="G49" s="51">
        <f>+'Tuition-4Yr'!G49+'State Appropriations-4Yr'!G49+'Local Appropriations-4Yr'!G49+'Fed Contracts Grnts-4Yr'!G49+'Other Contract Grnts-4Yr'!G49+'Investment Income-4Yr'!G49+'All Other E&amp;G-4Yr'!G49</f>
        <v>0</v>
      </c>
      <c r="H49" s="51">
        <f>+'Tuition-4Yr'!H49+'State Appropriations-4Yr'!H49+'Local Appropriations-4Yr'!H49+'Fed Contracts Grnts-4Yr'!H49+'Other Contract Grnts-4Yr'!H49+'Investment Income-4Yr'!H49+'All Other E&amp;G-4Yr'!H49</f>
        <v>0</v>
      </c>
      <c r="I49" s="51">
        <f>+'Tuition-4Yr'!I49+'State Appropriations-4Yr'!I49+'Local Appropriations-4Yr'!I49+'Fed Contracts Grnts-4Yr'!I49+'Other Contract Grnts-4Yr'!I49+'Investment Income-4Yr'!I49+'All Other E&amp;G-4Yr'!I49</f>
        <v>0</v>
      </c>
      <c r="J49" s="51">
        <f>+'Tuition-4Yr'!J49+'State Appropriations-4Yr'!J49+'Local Appropriations-4Yr'!J49+'Fed Contracts Grnts-4Yr'!J49+'Other Contract Grnts-4Yr'!J49+'Investment Income-4Yr'!J49+'All Other E&amp;G-4Yr'!J49</f>
        <v>2909685.95</v>
      </c>
      <c r="K49" s="51">
        <f>+'Tuition-4Yr'!K49+'State Appropriations-4Yr'!K49+'Local Appropriations-4Yr'!K49+'Fed Contracts Grnts-4Yr'!K49+'Other Contract Grnts-4Yr'!K49+'Investment Income-4Yr'!K49+'All Other E&amp;G-4Yr'!K49</f>
        <v>0</v>
      </c>
      <c r="L49" s="51">
        <f>+'Tuition-4Yr'!L49+'State Appropriations-4Yr'!L49+'Local Appropriations-4Yr'!L49+'Fed Contracts Grnts-4Yr'!L49+'Other Contract Grnts-4Yr'!L49+'Investment Income-4Yr'!L49+'All Other E&amp;G-4Yr'!L49</f>
        <v>0</v>
      </c>
      <c r="M49" s="51">
        <f>+'Tuition-4Yr'!M49+'State Appropriations-4Yr'!M49+'Local Appropriations-4Yr'!M49+'Fed Contracts Grnts-4Yr'!M49+'Other Contract Grnts-4Yr'!M49+'Investment Income-4Yr'!M49+'All Other E&amp;G-4Yr'!M49</f>
        <v>3186238.8220000002</v>
      </c>
      <c r="N49" s="51">
        <f>+'Tuition-4Yr'!N49+'State Appropriations-4Yr'!N49+'Local Appropriations-4Yr'!N49+'Fed Contracts Grnts-4Yr'!N49+'Other Contract Grnts-4Yr'!N49+'Investment Income-4Yr'!N49+'All Other E&amp;G-4Yr'!N49</f>
        <v>0</v>
      </c>
      <c r="O49" s="51">
        <f>+'Tuition-4Yr'!O49+'State Appropriations-4Yr'!O49+'Local Appropriations-4Yr'!O49+'Fed Contracts Grnts-4Yr'!O49+'Other Contract Grnts-4Yr'!O49+'Investment Income-4Yr'!O49+'All Other E&amp;G-4Yr'!O49</f>
        <v>3496452.1840000004</v>
      </c>
      <c r="P49" s="51">
        <f>+'Tuition-4Yr'!P49+'State Appropriations-4Yr'!P49+'Local Appropriations-4Yr'!P49+'Fed Contracts Grnts-4Yr'!P49+'Other Contract Grnts-4Yr'!P49+'Investment Income-4Yr'!P49+'All Other E&amp;G-4Yr'!P49</f>
        <v>0</v>
      </c>
      <c r="Q49" s="51">
        <f>+'Tuition-4Yr'!Q49+'State Appropriations-4Yr'!Q49+'Local Appropriations-4Yr'!Q49+'Fed Contracts Grnts-4Yr'!Q49+'Other Contract Grnts-4Yr'!Q49+'Investment Income-4Yr'!Q49+'All Other E&amp;G-4Yr'!Q49</f>
        <v>0</v>
      </c>
      <c r="R49" s="51">
        <f>+'Tuition-4Yr'!R49+'State Appropriations-4Yr'!R49+'Local Appropriations-4Yr'!R49+'Fed Contracts Grnts-4Yr'!R49+'Other Contract Grnts-4Yr'!R49+'Investment Income-4Yr'!R49+'All Other E&amp;G-4Yr'!R49</f>
        <v>4057228.1730000004</v>
      </c>
      <c r="S49" s="51">
        <f>+'Tuition-4Yr'!S49+'State Appropriations-4Yr'!S49+'Local Appropriations-4Yr'!S49+'Fed Contracts Grnts-4Yr'!S49+'Other Contract Grnts-4Yr'!S49+'Investment Income-4Yr'!S49+'All Other E&amp;G-4Yr'!S49</f>
        <v>4376762.926</v>
      </c>
      <c r="T49" s="51">
        <f>+'Tuition-4Yr'!T49+'State Appropriations-4Yr'!T49+'Local Appropriations-4Yr'!T49+'Fed Contracts Grnts-4Yr'!T49+'Other Contract Grnts-4Yr'!T49+'Investment Income-4Yr'!T49+'All Other E&amp;G-4Yr'!T49</f>
        <v>4554534.0120000001</v>
      </c>
      <c r="U49" s="51">
        <f>+'Tuition-4Yr'!U49+'State Appropriations-4Yr'!U49+'Local Appropriations-4Yr'!U49+'Fed Contracts Grnts-4Yr'!U49+'Other Contract Grnts-4Yr'!U49+'Investment Income-4Yr'!U49+'All Other E&amp;G-4Yr'!U49</f>
        <v>4752467.9579999996</v>
      </c>
      <c r="V49" s="51">
        <f>+'Tuition-4Yr'!V49+'State Appropriations-4Yr'!V49+'Local Appropriations-4Yr'!V49+'Fed Contracts Grnts-4Yr'!V49+'Other Contract Grnts-4Yr'!V49+'Investment Income-4Yr'!V49+'All Other E&amp;G-4Yr'!V49</f>
        <v>5317411.6119999997</v>
      </c>
      <c r="W49" s="51">
        <f>+'Tuition-4Yr'!W49+'State Appropriations-4Yr'!W49+'Local Appropriations-4Yr'!W49+'Fed Contracts Grnts-4Yr'!W49+'Other Contract Grnts-4Yr'!W49+'Investment Income-4Yr'!W49+'All Other E&amp;G-4Yr'!W49</f>
        <v>5962466.6409999998</v>
      </c>
      <c r="X49" s="51">
        <f>+'Tuition-4Yr'!X49+'State Appropriations-4Yr'!X49+'Local Appropriations-4Yr'!X49+'Fed Contracts Grnts-4Yr'!X49+'Other Contract Grnts-4Yr'!X49+'Investment Income-4Yr'!X49+'All Other E&amp;G-4Yr'!X49</f>
        <v>5808360.1460000006</v>
      </c>
      <c r="Y49" s="51">
        <f>+'Tuition-4Yr'!Y49+'State Appropriations-4Yr'!Y49+'Local Appropriations-4Yr'!Y49+'Fed Contracts Grnts-4Yr'!Y49+'Other Contract Grnts-4Yr'!Y49+'Investment Income-4Yr'!Y49+'All Other E&amp;G-4Yr'!Y49</f>
        <v>6478377.012000001</v>
      </c>
      <c r="Z49" s="51">
        <f>+'Tuition-4Yr'!Z49+'State Appropriations-4Yr'!Z49+'Local Appropriations-4Yr'!Z49+'Fed Contracts Grnts-4Yr'!Z49+'Other Contract Grnts-4Yr'!Z49+'Investment Income-4Yr'!Z49+'All Other E&amp;G-4Yr'!Z49</f>
        <v>5693470.7780000009</v>
      </c>
      <c r="AA49" s="51">
        <f>+'Tuition-4Yr'!AA49+'State Appropriations-4Yr'!AA49+'Local Appropriations-4Yr'!AA49+'Fed Contracts Grnts-4Yr'!AA49+'Other Contract Grnts-4Yr'!AA49+'Investment Income-4Yr'!AA49+'All Other E&amp;G-4Yr'!AA49</f>
        <v>5481817.3820000002</v>
      </c>
      <c r="AB49" s="51">
        <f>+'Tuition-4Yr'!AB49+'State Appropriations-4Yr'!AB49+'Local Appropriations-4Yr'!AB49+'Fed Contracts Grnts-4Yr'!AB49+'Other Contract Grnts-4Yr'!AB49+'Investment Income-4Yr'!AB49+'All Other E&amp;G-4Yr'!AB49</f>
        <v>7373083.2379999999</v>
      </c>
      <c r="AC49" s="51">
        <f>+'Tuition-4Yr'!AC49+'State Appropriations-4Yr'!AC49+'Local Appropriations-4Yr'!AC49+'Fed Contracts Grnts-4Yr'!AC49+'Other Contract Grnts-4Yr'!AC49+'Investment Income-4Yr'!AC49+'All Other E&amp;G-4Yr'!AC49</f>
        <v>8215991</v>
      </c>
      <c r="AD49" s="51">
        <f>+'Tuition-4Yr'!AD49+'State Appropriations-4Yr'!AD49+'Local Appropriations-4Yr'!AD49+'Fed Contracts Grnts-4Yr'!AD49+'Other Contract Grnts-4Yr'!AD49+'Investment Income-4Yr'!AD49+'All Other E&amp;G-4Yr'!AD49</f>
        <v>7209883.3260000004</v>
      </c>
      <c r="AE49" s="51">
        <f>+'Tuition-4Yr'!AE49+'State Appropriations-4Yr'!AE49+'Local Appropriations-4Yr'!AE49+'Fed Contracts Grnts-4Yr'!AE49+'Other Contract Grnts-4Yr'!AE49+'Investment Income-4Yr'!AE49+'All Other E&amp;G-4Yr'!AE49</f>
        <v>7784841.8990000002</v>
      </c>
      <c r="AF49" s="51">
        <f>+'Tuition-4Yr'!AF49+'State Appropriations-4Yr'!AF49+'Local Appropriations-4Yr'!AF49+'Fed Contracts Grnts-4Yr'!AF49+'Other Contract Grnts-4Yr'!AF49+'Investment Income-4Yr'!AF49+'All Other E&amp;G-4Yr'!AF49</f>
        <v>8094396.6239999998</v>
      </c>
      <c r="AG49" s="51">
        <f>+'Tuition-4Yr'!AG49+'State Appropriations-4Yr'!AG49+'Local Appropriations-4Yr'!AG49+'Fed Contracts Grnts-4Yr'!AG49+'Other Contract Grnts-4Yr'!AG49+'Investment Income-4Yr'!AG49+'All Other E&amp;G-4Yr'!AG49</f>
        <v>7638648.4080000008</v>
      </c>
      <c r="AH49" s="51">
        <f>+'Tuition-4Yr'!AH49+'State Appropriations-4Yr'!AH49+'Local Appropriations-4Yr'!AH49+'Fed Contracts Grnts-4Yr'!AH49+'Other Contract Grnts-4Yr'!AH49+'Investment Income-4Yr'!AH49+'All Other E&amp;G-4Yr'!AH49</f>
        <v>7631245.3680000007</v>
      </c>
      <c r="AI49" s="51">
        <f>+'Tuition-4Yr'!AI49+'State Appropriations-4Yr'!AI49+'Local Appropriations-4Yr'!AI49+'Fed Contracts Grnts-4Yr'!AI49+'Other Contract Grnts-4Yr'!AI49+'Investment Income-4Yr'!AI49+'All Other E&amp;G-4Yr'!AI49</f>
        <v>8739606.1530000009</v>
      </c>
      <c r="AJ49" s="51">
        <f>+'Tuition-4Yr'!AJ49+'State Appropriations-4Yr'!AJ49+'Local Appropriations-4Yr'!AJ49+'Fed Contracts Grnts-4Yr'!AJ49+'Other Contract Grnts-4Yr'!AJ49+'Investment Income-4Yr'!AJ49+'All Other E&amp;G-4Yr'!AJ49</f>
        <v>0</v>
      </c>
      <c r="AK49" s="51">
        <f>+'Tuition-4Yr'!AK49+'State Appropriations-4Yr'!AK49+'Local Appropriations-4Yr'!AK49+'Fed Contracts Grnts-4Yr'!AK49+'Other Contract Grnts-4Yr'!AK49+'Investment Income-4Yr'!AK49+'All Other E&amp;G-4Yr'!AK49</f>
        <v>8870262.7759999987</v>
      </c>
      <c r="AL49" s="51">
        <f>+'Tuition-4Yr'!AL49+'State Appropriations-4Yr'!AL49+'Local Appropriations-4Yr'!AL49+'Fed Contracts Grnts-4Yr'!AL49+'Other Contract Grnts-4Yr'!AL49+'Investment Income-4Yr'!AL49+'All Other E&amp;G-4Yr'!AL49</f>
        <v>9367167.7529999986</v>
      </c>
    </row>
    <row r="50" spans="1:38" ht="12.75" customHeight="1">
      <c r="A50" s="1" t="s">
        <v>63</v>
      </c>
      <c r="B50" s="51">
        <f>+'Tuition-4Yr'!B50+'State Appropriations-4Yr'!B50+'Local Appropriations-4Yr'!B50+'Fed Contracts Grnts-4Yr'!B50+'Other Contract Grnts-4Yr'!B50+'Investment Income-4Yr'!B50+'All Other E&amp;G-4Yr'!B50</f>
        <v>0</v>
      </c>
      <c r="C50" s="51">
        <f>+'Tuition-4Yr'!C50+'State Appropriations-4Yr'!C50+'Local Appropriations-4Yr'!C50+'Fed Contracts Grnts-4Yr'!C50+'Other Contract Grnts-4Yr'!C50+'Investment Income-4Yr'!C50+'All Other E&amp;G-4Yr'!C50</f>
        <v>0</v>
      </c>
      <c r="D50" s="51">
        <f>+'Tuition-4Yr'!D50+'State Appropriations-4Yr'!D50+'Local Appropriations-4Yr'!D50+'Fed Contracts Grnts-4Yr'!D50+'Other Contract Grnts-4Yr'!D50+'Investment Income-4Yr'!D50+'All Other E&amp;G-4Yr'!D50</f>
        <v>0</v>
      </c>
      <c r="E50" s="51">
        <f>+'Tuition-4Yr'!E50+'State Appropriations-4Yr'!E50+'Local Appropriations-4Yr'!E50+'Fed Contracts Grnts-4Yr'!E50+'Other Contract Grnts-4Yr'!E50+'Investment Income-4Yr'!E50+'All Other E&amp;G-4Yr'!E50</f>
        <v>0</v>
      </c>
      <c r="F50" s="51">
        <f>+'Tuition-4Yr'!F50+'State Appropriations-4Yr'!F50+'Local Appropriations-4Yr'!F50+'Fed Contracts Grnts-4Yr'!F50+'Other Contract Grnts-4Yr'!F50+'Investment Income-4Yr'!F50+'All Other E&amp;G-4Yr'!F50</f>
        <v>0</v>
      </c>
      <c r="G50" s="51">
        <f>+'Tuition-4Yr'!G50+'State Appropriations-4Yr'!G50+'Local Appropriations-4Yr'!G50+'Fed Contracts Grnts-4Yr'!G50+'Other Contract Grnts-4Yr'!G50+'Investment Income-4Yr'!G50+'All Other E&amp;G-4Yr'!G50</f>
        <v>0</v>
      </c>
      <c r="H50" s="51">
        <f>+'Tuition-4Yr'!H50+'State Appropriations-4Yr'!H50+'Local Appropriations-4Yr'!H50+'Fed Contracts Grnts-4Yr'!H50+'Other Contract Grnts-4Yr'!H50+'Investment Income-4Yr'!H50+'All Other E&amp;G-4Yr'!H50</f>
        <v>0</v>
      </c>
      <c r="I50" s="51">
        <f>+'Tuition-4Yr'!I50+'State Appropriations-4Yr'!I50+'Local Appropriations-4Yr'!I50+'Fed Contracts Grnts-4Yr'!I50+'Other Contract Grnts-4Yr'!I50+'Investment Income-4Yr'!I50+'All Other E&amp;G-4Yr'!I50</f>
        <v>0</v>
      </c>
      <c r="J50" s="51">
        <f>+'Tuition-4Yr'!J50+'State Appropriations-4Yr'!J50+'Local Appropriations-4Yr'!J50+'Fed Contracts Grnts-4Yr'!J50+'Other Contract Grnts-4Yr'!J50+'Investment Income-4Yr'!J50+'All Other E&amp;G-4Yr'!J50</f>
        <v>209870.34700000001</v>
      </c>
      <c r="K50" s="51">
        <f>+'Tuition-4Yr'!K50+'State Appropriations-4Yr'!K50+'Local Appropriations-4Yr'!K50+'Fed Contracts Grnts-4Yr'!K50+'Other Contract Grnts-4Yr'!K50+'Investment Income-4Yr'!K50+'All Other E&amp;G-4Yr'!K50</f>
        <v>0</v>
      </c>
      <c r="L50" s="51">
        <f>+'Tuition-4Yr'!L50+'State Appropriations-4Yr'!L50+'Local Appropriations-4Yr'!L50+'Fed Contracts Grnts-4Yr'!L50+'Other Contract Grnts-4Yr'!L50+'Investment Income-4Yr'!L50+'All Other E&amp;G-4Yr'!L50</f>
        <v>0</v>
      </c>
      <c r="M50" s="51">
        <f>+'Tuition-4Yr'!M50+'State Appropriations-4Yr'!M50+'Local Appropriations-4Yr'!M50+'Fed Contracts Grnts-4Yr'!M50+'Other Contract Grnts-4Yr'!M50+'Investment Income-4Yr'!M50+'All Other E&amp;G-4Yr'!M50</f>
        <v>241848.37000000002</v>
      </c>
      <c r="N50" s="51">
        <f>+'Tuition-4Yr'!N50+'State Appropriations-4Yr'!N50+'Local Appropriations-4Yr'!N50+'Fed Contracts Grnts-4Yr'!N50+'Other Contract Grnts-4Yr'!N50+'Investment Income-4Yr'!N50+'All Other E&amp;G-4Yr'!N50</f>
        <v>0</v>
      </c>
      <c r="O50" s="51">
        <f>+'Tuition-4Yr'!O50+'State Appropriations-4Yr'!O50+'Local Appropriations-4Yr'!O50+'Fed Contracts Grnts-4Yr'!O50+'Other Contract Grnts-4Yr'!O50+'Investment Income-4Yr'!O50+'All Other E&amp;G-4Yr'!O50</f>
        <v>249258.31943999999</v>
      </c>
      <c r="P50" s="51">
        <f>+'Tuition-4Yr'!P50+'State Appropriations-4Yr'!P50+'Local Appropriations-4Yr'!P50+'Fed Contracts Grnts-4Yr'!P50+'Other Contract Grnts-4Yr'!P50+'Investment Income-4Yr'!P50+'All Other E&amp;G-4Yr'!P50</f>
        <v>0</v>
      </c>
      <c r="Q50" s="51">
        <f>+'Tuition-4Yr'!Q50+'State Appropriations-4Yr'!Q50+'Local Appropriations-4Yr'!Q50+'Fed Contracts Grnts-4Yr'!Q50+'Other Contract Grnts-4Yr'!Q50+'Investment Income-4Yr'!Q50+'All Other E&amp;G-4Yr'!Q50</f>
        <v>0</v>
      </c>
      <c r="R50" s="51">
        <f>+'Tuition-4Yr'!R50+'State Appropriations-4Yr'!R50+'Local Appropriations-4Yr'!R50+'Fed Contracts Grnts-4Yr'!R50+'Other Contract Grnts-4Yr'!R50+'Investment Income-4Yr'!R50+'All Other E&amp;G-4Yr'!R50</f>
        <v>308354.79800000001</v>
      </c>
      <c r="S50" s="51">
        <f>+'Tuition-4Yr'!S50+'State Appropriations-4Yr'!S50+'Local Appropriations-4Yr'!S50+'Fed Contracts Grnts-4Yr'!S50+'Other Contract Grnts-4Yr'!S50+'Investment Income-4Yr'!S50+'All Other E&amp;G-4Yr'!S50</f>
        <v>323307.39600000001</v>
      </c>
      <c r="T50" s="51">
        <f>+'Tuition-4Yr'!T50+'State Appropriations-4Yr'!T50+'Local Appropriations-4Yr'!T50+'Fed Contracts Grnts-4Yr'!T50+'Other Contract Grnts-4Yr'!T50+'Investment Income-4Yr'!T50+'All Other E&amp;G-4Yr'!T50</f>
        <v>328667.41200000001</v>
      </c>
      <c r="U50" s="51">
        <f>+'Tuition-4Yr'!U50+'State Appropriations-4Yr'!U50+'Local Appropriations-4Yr'!U50+'Fed Contracts Grnts-4Yr'!U50+'Other Contract Grnts-4Yr'!U50+'Investment Income-4Yr'!U50+'All Other E&amp;G-4Yr'!U50</f>
        <v>351695.90699999995</v>
      </c>
      <c r="V50" s="51">
        <f>+'Tuition-4Yr'!V50+'State Appropriations-4Yr'!V50+'Local Appropriations-4Yr'!V50+'Fed Contracts Grnts-4Yr'!V50+'Other Contract Grnts-4Yr'!V50+'Investment Income-4Yr'!V50+'All Other E&amp;G-4Yr'!V50</f>
        <v>374672.47000000003</v>
      </c>
      <c r="W50" s="51">
        <f>+'Tuition-4Yr'!W50+'State Appropriations-4Yr'!W50+'Local Appropriations-4Yr'!W50+'Fed Contracts Grnts-4Yr'!W50+'Other Contract Grnts-4Yr'!W50+'Investment Income-4Yr'!W50+'All Other E&amp;G-4Yr'!W50</f>
        <v>404639.22200000001</v>
      </c>
      <c r="X50" s="51">
        <f>+'Tuition-4Yr'!X50+'State Appropriations-4Yr'!X50+'Local Appropriations-4Yr'!X50+'Fed Contracts Grnts-4Yr'!X50+'Other Contract Grnts-4Yr'!X50+'Investment Income-4Yr'!X50+'All Other E&amp;G-4Yr'!X50</f>
        <v>416534.22299999994</v>
      </c>
      <c r="Y50" s="51">
        <f>+'Tuition-4Yr'!Y50+'State Appropriations-4Yr'!Y50+'Local Appropriations-4Yr'!Y50+'Fed Contracts Grnts-4Yr'!Y50+'Other Contract Grnts-4Yr'!Y50+'Investment Income-4Yr'!Y50+'All Other E&amp;G-4Yr'!Y50</f>
        <v>452142.33299999998</v>
      </c>
      <c r="Z50" s="51">
        <f>+'Tuition-4Yr'!Z50+'State Appropriations-4Yr'!Z50+'Local Appropriations-4Yr'!Z50+'Fed Contracts Grnts-4Yr'!Z50+'Other Contract Grnts-4Yr'!Z50+'Investment Income-4Yr'!Z50+'All Other E&amp;G-4Yr'!Z50</f>
        <v>486148.3980000001</v>
      </c>
      <c r="AA50" s="51">
        <f>+'Tuition-4Yr'!AA50+'State Appropriations-4Yr'!AA50+'Local Appropriations-4Yr'!AA50+'Fed Contracts Grnts-4Yr'!AA50+'Other Contract Grnts-4Yr'!AA50+'Investment Income-4Yr'!AA50+'All Other E&amp;G-4Yr'!AA50</f>
        <v>543617.50899999996</v>
      </c>
      <c r="AB50" s="51">
        <f>+'Tuition-4Yr'!AB50+'State Appropriations-4Yr'!AB50+'Local Appropriations-4Yr'!AB50+'Fed Contracts Grnts-4Yr'!AB50+'Other Contract Grnts-4Yr'!AB50+'Investment Income-4Yr'!AB50+'All Other E&amp;G-4Yr'!AB50</f>
        <v>616644.65399999998</v>
      </c>
      <c r="AC50" s="51">
        <f>+'Tuition-4Yr'!AC50+'State Appropriations-4Yr'!AC50+'Local Appropriations-4Yr'!AC50+'Fed Contracts Grnts-4Yr'!AC50+'Other Contract Grnts-4Yr'!AC50+'Investment Income-4Yr'!AC50+'All Other E&amp;G-4Yr'!AC50</f>
        <v>645713</v>
      </c>
      <c r="AD50" s="51">
        <f>+'Tuition-4Yr'!AD50+'State Appropriations-4Yr'!AD50+'Local Appropriations-4Yr'!AD50+'Fed Contracts Grnts-4Yr'!AD50+'Other Contract Grnts-4Yr'!AD50+'Investment Income-4Yr'!AD50+'All Other E&amp;G-4Yr'!AD50</f>
        <v>655467.32199999993</v>
      </c>
      <c r="AE50" s="51">
        <f>+'Tuition-4Yr'!AE50+'State Appropriations-4Yr'!AE50+'Local Appropriations-4Yr'!AE50+'Fed Contracts Grnts-4Yr'!AE50+'Other Contract Grnts-4Yr'!AE50+'Investment Income-4Yr'!AE50+'All Other E&amp;G-4Yr'!AE50</f>
        <v>4038720.2230000002</v>
      </c>
      <c r="AF50" s="51">
        <f>+'Tuition-4Yr'!AF50+'State Appropriations-4Yr'!AF50+'Local Appropriations-4Yr'!AF50+'Fed Contracts Grnts-4Yr'!AF50+'Other Contract Grnts-4Yr'!AF50+'Investment Income-4Yr'!AF50+'All Other E&amp;G-4Yr'!AF50</f>
        <v>584451.24100000004</v>
      </c>
      <c r="AG50" s="51">
        <f>+'Tuition-4Yr'!AG50+'State Appropriations-4Yr'!AG50+'Local Appropriations-4Yr'!AG50+'Fed Contracts Grnts-4Yr'!AG50+'Other Contract Grnts-4Yr'!AG50+'Investment Income-4Yr'!AG50+'All Other E&amp;G-4Yr'!AG50</f>
        <v>644552.03399999999</v>
      </c>
      <c r="AH50" s="51">
        <f>+'Tuition-4Yr'!AH50+'State Appropriations-4Yr'!AH50+'Local Appropriations-4Yr'!AH50+'Fed Contracts Grnts-4Yr'!AH50+'Other Contract Grnts-4Yr'!AH50+'Investment Income-4Yr'!AH50+'All Other E&amp;G-4Yr'!AH50</f>
        <v>675140.51100000006</v>
      </c>
      <c r="AI50" s="51">
        <f>+'Tuition-4Yr'!AI50+'State Appropriations-4Yr'!AI50+'Local Appropriations-4Yr'!AI50+'Fed Contracts Grnts-4Yr'!AI50+'Other Contract Grnts-4Yr'!AI50+'Investment Income-4Yr'!AI50+'All Other E&amp;G-4Yr'!AI50</f>
        <v>691336.598</v>
      </c>
      <c r="AJ50" s="51">
        <f>+'Tuition-4Yr'!AJ50+'State Appropriations-4Yr'!AJ50+'Local Appropriations-4Yr'!AJ50+'Fed Contracts Grnts-4Yr'!AJ50+'Other Contract Grnts-4Yr'!AJ50+'Investment Income-4Yr'!AJ50+'All Other E&amp;G-4Yr'!AJ50</f>
        <v>0</v>
      </c>
      <c r="AK50" s="51">
        <f>+'Tuition-4Yr'!AK50+'State Appropriations-4Yr'!AK50+'Local Appropriations-4Yr'!AK50+'Fed Contracts Grnts-4Yr'!AK50+'Other Contract Grnts-4Yr'!AK50+'Investment Income-4Yr'!AK50+'All Other E&amp;G-4Yr'!AK50</f>
        <v>742912.32299999997</v>
      </c>
      <c r="AL50" s="51">
        <f>+'Tuition-4Yr'!AL50+'State Appropriations-4Yr'!AL50+'Local Appropriations-4Yr'!AL50+'Fed Contracts Grnts-4Yr'!AL50+'Other Contract Grnts-4Yr'!AL50+'Investment Income-4Yr'!AL50+'All Other E&amp;G-4Yr'!AL50</f>
        <v>726060.91899999999</v>
      </c>
    </row>
    <row r="51" spans="1:38" ht="12.75" customHeight="1">
      <c r="A51" s="27" t="s">
        <v>64</v>
      </c>
      <c r="B51" s="55">
        <f>+'Tuition-4Yr'!B51+'State Appropriations-4Yr'!B51+'Local Appropriations-4Yr'!B51+'Fed Contracts Grnts-4Yr'!B51+'Other Contract Grnts-4Yr'!B51+'Investment Income-4Yr'!B51+'All Other E&amp;G-4Yr'!B51</f>
        <v>0</v>
      </c>
      <c r="C51" s="55">
        <f>+'Tuition-4Yr'!C51+'State Appropriations-4Yr'!C51+'Local Appropriations-4Yr'!C51+'Fed Contracts Grnts-4Yr'!C51+'Other Contract Grnts-4Yr'!C51+'Investment Income-4Yr'!C51+'All Other E&amp;G-4Yr'!C51</f>
        <v>0</v>
      </c>
      <c r="D51" s="55">
        <f>+'Tuition-4Yr'!D51+'State Appropriations-4Yr'!D51+'Local Appropriations-4Yr'!D51+'Fed Contracts Grnts-4Yr'!D51+'Other Contract Grnts-4Yr'!D51+'Investment Income-4Yr'!D51+'All Other E&amp;G-4Yr'!D51</f>
        <v>0</v>
      </c>
      <c r="E51" s="55">
        <f>+'Tuition-4Yr'!E51+'State Appropriations-4Yr'!E51+'Local Appropriations-4Yr'!E51+'Fed Contracts Grnts-4Yr'!E51+'Other Contract Grnts-4Yr'!E51+'Investment Income-4Yr'!E51+'All Other E&amp;G-4Yr'!E51</f>
        <v>0</v>
      </c>
      <c r="F51" s="55">
        <f>+'Tuition-4Yr'!F51+'State Appropriations-4Yr'!F51+'Local Appropriations-4Yr'!F51+'Fed Contracts Grnts-4Yr'!F51+'Other Contract Grnts-4Yr'!F51+'Investment Income-4Yr'!F51+'All Other E&amp;G-4Yr'!F51</f>
        <v>0</v>
      </c>
      <c r="G51" s="55">
        <f>+'Tuition-4Yr'!G51+'State Appropriations-4Yr'!G51+'Local Appropriations-4Yr'!G51+'Fed Contracts Grnts-4Yr'!G51+'Other Contract Grnts-4Yr'!G51+'Investment Income-4Yr'!G51+'All Other E&amp;G-4Yr'!G51</f>
        <v>0</v>
      </c>
      <c r="H51" s="55">
        <f>+'Tuition-4Yr'!H51+'State Appropriations-4Yr'!H51+'Local Appropriations-4Yr'!H51+'Fed Contracts Grnts-4Yr'!H51+'Other Contract Grnts-4Yr'!H51+'Investment Income-4Yr'!H51+'All Other E&amp;G-4Yr'!H51</f>
        <v>0</v>
      </c>
      <c r="I51" s="55">
        <f>+'Tuition-4Yr'!I51+'State Appropriations-4Yr'!I51+'Local Appropriations-4Yr'!I51+'Fed Contracts Grnts-4Yr'!I51+'Other Contract Grnts-4Yr'!I51+'Investment Income-4Yr'!I51+'All Other E&amp;G-4Yr'!I51</f>
        <v>0</v>
      </c>
      <c r="J51" s="55">
        <f>+'Tuition-4Yr'!J51+'State Appropriations-4Yr'!J51+'Local Appropriations-4Yr'!J51+'Fed Contracts Grnts-4Yr'!J51+'Other Contract Grnts-4Yr'!J51+'Investment Income-4Yr'!J51+'All Other E&amp;G-4Yr'!J51</f>
        <v>1762672.335</v>
      </c>
      <c r="K51" s="55">
        <f>+'Tuition-4Yr'!K51+'State Appropriations-4Yr'!K51+'Local Appropriations-4Yr'!K51+'Fed Contracts Grnts-4Yr'!K51+'Other Contract Grnts-4Yr'!K51+'Investment Income-4Yr'!K51+'All Other E&amp;G-4Yr'!K51</f>
        <v>0</v>
      </c>
      <c r="L51" s="55">
        <f>+'Tuition-4Yr'!L51+'State Appropriations-4Yr'!L51+'Local Appropriations-4Yr'!L51+'Fed Contracts Grnts-4Yr'!L51+'Other Contract Grnts-4Yr'!L51+'Investment Income-4Yr'!L51+'All Other E&amp;G-4Yr'!L51</f>
        <v>0</v>
      </c>
      <c r="M51" s="55">
        <f>+'Tuition-4Yr'!M51+'State Appropriations-4Yr'!M51+'Local Appropriations-4Yr'!M51+'Fed Contracts Grnts-4Yr'!M51+'Other Contract Grnts-4Yr'!M51+'Investment Income-4Yr'!M51+'All Other E&amp;G-4Yr'!M51</f>
        <v>1938644.3640000001</v>
      </c>
      <c r="N51" s="55">
        <f>+'Tuition-4Yr'!N51+'State Appropriations-4Yr'!N51+'Local Appropriations-4Yr'!N51+'Fed Contracts Grnts-4Yr'!N51+'Other Contract Grnts-4Yr'!N51+'Investment Income-4Yr'!N51+'All Other E&amp;G-4Yr'!N51</f>
        <v>0</v>
      </c>
      <c r="O51" s="55">
        <f>+'Tuition-4Yr'!O51+'State Appropriations-4Yr'!O51+'Local Appropriations-4Yr'!O51+'Fed Contracts Grnts-4Yr'!O51+'Other Contract Grnts-4Yr'!O51+'Investment Income-4Yr'!O51+'All Other E&amp;G-4Yr'!O51</f>
        <v>2056052.1009999998</v>
      </c>
      <c r="P51" s="55">
        <f>+'Tuition-4Yr'!P51+'State Appropriations-4Yr'!P51+'Local Appropriations-4Yr'!P51+'Fed Contracts Grnts-4Yr'!P51+'Other Contract Grnts-4Yr'!P51+'Investment Income-4Yr'!P51+'All Other E&amp;G-4Yr'!P51</f>
        <v>0</v>
      </c>
      <c r="Q51" s="55">
        <f>+'Tuition-4Yr'!Q51+'State Appropriations-4Yr'!Q51+'Local Appropriations-4Yr'!Q51+'Fed Contracts Grnts-4Yr'!Q51+'Other Contract Grnts-4Yr'!Q51+'Investment Income-4Yr'!Q51+'All Other E&amp;G-4Yr'!Q51</f>
        <v>0</v>
      </c>
      <c r="R51" s="55">
        <f>+'Tuition-4Yr'!R51+'State Appropriations-4Yr'!R51+'Local Appropriations-4Yr'!R51+'Fed Contracts Grnts-4Yr'!R51+'Other Contract Grnts-4Yr'!R51+'Investment Income-4Yr'!R51+'All Other E&amp;G-4Yr'!R51</f>
        <v>2494094.378</v>
      </c>
      <c r="S51" s="55">
        <f>+'Tuition-4Yr'!S51+'State Appropriations-4Yr'!S51+'Local Appropriations-4Yr'!S51+'Fed Contracts Grnts-4Yr'!S51+'Other Contract Grnts-4Yr'!S51+'Investment Income-4Yr'!S51+'All Other E&amp;G-4Yr'!S51</f>
        <v>2703355.6529999999</v>
      </c>
      <c r="T51" s="55">
        <f>+'Tuition-4Yr'!T51+'State Appropriations-4Yr'!T51+'Local Appropriations-4Yr'!T51+'Fed Contracts Grnts-4Yr'!T51+'Other Contract Grnts-4Yr'!T51+'Investment Income-4Yr'!T51+'All Other E&amp;G-4Yr'!T51</f>
        <v>2475052.4950000001</v>
      </c>
      <c r="U51" s="55">
        <f>+'Tuition-4Yr'!U51+'State Appropriations-4Yr'!U51+'Local Appropriations-4Yr'!U51+'Fed Contracts Grnts-4Yr'!U51+'Other Contract Grnts-4Yr'!U51+'Investment Income-4Yr'!U51+'All Other E&amp;G-4Yr'!U51</f>
        <v>2723995.875</v>
      </c>
      <c r="V51" s="55">
        <f>+'Tuition-4Yr'!V51+'State Appropriations-4Yr'!V51+'Local Appropriations-4Yr'!V51+'Fed Contracts Grnts-4Yr'!V51+'Other Contract Grnts-4Yr'!V51+'Investment Income-4Yr'!V51+'All Other E&amp;G-4Yr'!V51</f>
        <v>2795831.5460000001</v>
      </c>
      <c r="W51" s="55">
        <f>+'Tuition-4Yr'!W51+'State Appropriations-4Yr'!W51+'Local Appropriations-4Yr'!W51+'Fed Contracts Grnts-4Yr'!W51+'Other Contract Grnts-4Yr'!W51+'Investment Income-4Yr'!W51+'All Other E&amp;G-4Yr'!W51</f>
        <v>3040391.531</v>
      </c>
      <c r="X51" s="55">
        <f>+'Tuition-4Yr'!X51+'State Appropriations-4Yr'!X51+'Local Appropriations-4Yr'!X51+'Fed Contracts Grnts-4Yr'!X51+'Other Contract Grnts-4Yr'!X51+'Investment Income-4Yr'!X51+'All Other E&amp;G-4Yr'!X51</f>
        <v>3073646.9960000003</v>
      </c>
      <c r="Y51" s="55">
        <f>+'Tuition-4Yr'!Y51+'State Appropriations-4Yr'!Y51+'Local Appropriations-4Yr'!Y51+'Fed Contracts Grnts-4Yr'!Y51+'Other Contract Grnts-4Yr'!Y51+'Investment Income-4Yr'!Y51+'All Other E&amp;G-4Yr'!Y51</f>
        <v>3342006.2339999997</v>
      </c>
      <c r="Z51" s="55">
        <f>+'Tuition-4Yr'!Z51+'State Appropriations-4Yr'!Z51+'Local Appropriations-4Yr'!Z51+'Fed Contracts Grnts-4Yr'!Z51+'Other Contract Grnts-4Yr'!Z51+'Investment Income-4Yr'!Z51+'All Other E&amp;G-4Yr'!Z51</f>
        <v>3435469.4460000005</v>
      </c>
      <c r="AA51" s="55">
        <f>+'Tuition-4Yr'!AA51+'State Appropriations-4Yr'!AA51+'Local Appropriations-4Yr'!AA51+'Fed Contracts Grnts-4Yr'!AA51+'Other Contract Grnts-4Yr'!AA51+'Investment Income-4Yr'!AA51+'All Other E&amp;G-4Yr'!AA51</f>
        <v>3824872.523</v>
      </c>
      <c r="AB51" s="55">
        <f>+'Tuition-4Yr'!AB51+'State Appropriations-4Yr'!AB51+'Local Appropriations-4Yr'!AB51+'Fed Contracts Grnts-4Yr'!AB51+'Other Contract Grnts-4Yr'!AB51+'Investment Income-4Yr'!AB51+'All Other E&amp;G-4Yr'!AB51</f>
        <v>3838064.727</v>
      </c>
      <c r="AC51" s="55">
        <f>+'Tuition-4Yr'!AC51+'State Appropriations-4Yr'!AC51+'Local Appropriations-4Yr'!AC51+'Fed Contracts Grnts-4Yr'!AC51+'Other Contract Grnts-4Yr'!AC51+'Investment Income-4Yr'!AC51+'All Other E&amp;G-4Yr'!AC51</f>
        <v>4114078</v>
      </c>
      <c r="AD51" s="55">
        <f>+'Tuition-4Yr'!AD51+'State Appropriations-4Yr'!AD51+'Local Appropriations-4Yr'!AD51+'Fed Contracts Grnts-4Yr'!AD51+'Other Contract Grnts-4Yr'!AD51+'Investment Income-4Yr'!AD51+'All Other E&amp;G-4Yr'!AD51</f>
        <v>4028253.0219999999</v>
      </c>
      <c r="AE51" s="55">
        <f>+'Tuition-4Yr'!AE51+'State Appropriations-4Yr'!AE51+'Local Appropriations-4Yr'!AE51+'Fed Contracts Grnts-4Yr'!AE51+'Other Contract Grnts-4Yr'!AE51+'Investment Income-4Yr'!AE51+'All Other E&amp;G-4Yr'!AE51</f>
        <v>6666369.2650000006</v>
      </c>
      <c r="AF51" s="55">
        <f>+'Tuition-4Yr'!AF51+'State Appropriations-4Yr'!AF51+'Local Appropriations-4Yr'!AF51+'Fed Contracts Grnts-4Yr'!AF51+'Other Contract Grnts-4Yr'!AF51+'Investment Income-4Yr'!AF51+'All Other E&amp;G-4Yr'!AF51</f>
        <v>3981654.699</v>
      </c>
      <c r="AG51" s="55">
        <f>+'Tuition-4Yr'!AG51+'State Appropriations-4Yr'!AG51+'Local Appropriations-4Yr'!AG51+'Fed Contracts Grnts-4Yr'!AG51+'Other Contract Grnts-4Yr'!AG51+'Investment Income-4Yr'!AG51+'All Other E&amp;G-4Yr'!AG51</f>
        <v>4242475.977</v>
      </c>
      <c r="AH51" s="55">
        <f>+'Tuition-4Yr'!AH51+'State Appropriations-4Yr'!AH51+'Local Appropriations-4Yr'!AH51+'Fed Contracts Grnts-4Yr'!AH51+'Other Contract Grnts-4Yr'!AH51+'Investment Income-4Yr'!AH51+'All Other E&amp;G-4Yr'!AH51</f>
        <v>4335960.7539999997</v>
      </c>
      <c r="AI51" s="55">
        <f>+'Tuition-4Yr'!AI51+'State Appropriations-4Yr'!AI51+'Local Appropriations-4Yr'!AI51+'Fed Contracts Grnts-4Yr'!AI51+'Other Contract Grnts-4Yr'!AI51+'Investment Income-4Yr'!AI51+'All Other E&amp;G-4Yr'!AI51</f>
        <v>4448411.9289999995</v>
      </c>
      <c r="AJ51" s="55">
        <f>+'Tuition-4Yr'!AJ51+'State Appropriations-4Yr'!AJ51+'Local Appropriations-4Yr'!AJ51+'Fed Contracts Grnts-4Yr'!AJ51+'Other Contract Grnts-4Yr'!AJ51+'Investment Income-4Yr'!AJ51+'All Other E&amp;G-4Yr'!AJ51</f>
        <v>0</v>
      </c>
      <c r="AK51" s="55">
        <f>+'Tuition-4Yr'!AK51+'State Appropriations-4Yr'!AK51+'Local Appropriations-4Yr'!AK51+'Fed Contracts Grnts-4Yr'!AK51+'Other Contract Grnts-4Yr'!AK51+'Investment Income-4Yr'!AK51+'All Other E&amp;G-4Yr'!AK51</f>
        <v>5037466.1060000006</v>
      </c>
      <c r="AL51" s="55">
        <f>+'Tuition-4Yr'!AL51+'State Appropriations-4Yr'!AL51+'Local Appropriations-4Yr'!AL51+'Fed Contracts Grnts-4Yr'!AL51+'Other Contract Grnts-4Yr'!AL51+'Investment Income-4Yr'!AL51+'All Other E&amp;G-4Yr'!AL51</f>
        <v>5062772.0629999992</v>
      </c>
    </row>
    <row r="52" spans="1:38" ht="12.75" customHeight="1">
      <c r="A52" s="6" t="s">
        <v>65</v>
      </c>
      <c r="B52" s="51">
        <f>+'Tuition-4Yr'!B52+'State Appropriations-4Yr'!B52+'Local Appropriations-4Yr'!B52+'Fed Contracts Grnts-4Yr'!B52+'Other Contract Grnts-4Yr'!B52+'Investment Income-4Yr'!B52+'All Other E&amp;G-4Yr'!B52</f>
        <v>0</v>
      </c>
      <c r="C52" s="51">
        <f>+'Tuition-4Yr'!C52+'State Appropriations-4Yr'!C52+'Local Appropriations-4Yr'!C52+'Fed Contracts Grnts-4Yr'!C52+'Other Contract Grnts-4Yr'!C52+'Investment Income-4Yr'!C52+'All Other E&amp;G-4Yr'!C52</f>
        <v>0</v>
      </c>
      <c r="D52" s="51">
        <f>+'Tuition-4Yr'!D52+'State Appropriations-4Yr'!D52+'Local Appropriations-4Yr'!D52+'Fed Contracts Grnts-4Yr'!D52+'Other Contract Grnts-4Yr'!D52+'Investment Income-4Yr'!D52+'All Other E&amp;G-4Yr'!D52</f>
        <v>0</v>
      </c>
      <c r="E52" s="51">
        <f>+'Tuition-4Yr'!E52+'State Appropriations-4Yr'!E52+'Local Appropriations-4Yr'!E52+'Fed Contracts Grnts-4Yr'!E52+'Other Contract Grnts-4Yr'!E52+'Investment Income-4Yr'!E52+'All Other E&amp;G-4Yr'!E52</f>
        <v>0</v>
      </c>
      <c r="F52" s="51">
        <f>+'Tuition-4Yr'!F52+'State Appropriations-4Yr'!F52+'Local Appropriations-4Yr'!F52+'Fed Contracts Grnts-4Yr'!F52+'Other Contract Grnts-4Yr'!F52+'Investment Income-4Yr'!F52+'All Other E&amp;G-4Yr'!F52</f>
        <v>0</v>
      </c>
      <c r="G52" s="51">
        <f>+'Tuition-4Yr'!G52+'State Appropriations-4Yr'!G52+'Local Appropriations-4Yr'!G52+'Fed Contracts Grnts-4Yr'!G52+'Other Contract Grnts-4Yr'!G52+'Investment Income-4Yr'!G52+'All Other E&amp;G-4Yr'!G52</f>
        <v>0</v>
      </c>
      <c r="H52" s="51">
        <f>+'Tuition-4Yr'!H52+'State Appropriations-4Yr'!H52+'Local Appropriations-4Yr'!H52+'Fed Contracts Grnts-4Yr'!H52+'Other Contract Grnts-4Yr'!H52+'Investment Income-4Yr'!H52+'All Other E&amp;G-4Yr'!H52</f>
        <v>0</v>
      </c>
      <c r="I52" s="51">
        <f>+'Tuition-4Yr'!I52+'State Appropriations-4Yr'!I52+'Local Appropriations-4Yr'!I52+'Fed Contracts Grnts-4Yr'!I52+'Other Contract Grnts-4Yr'!I52+'Investment Income-4Yr'!I52+'All Other E&amp;G-4Yr'!I52</f>
        <v>0</v>
      </c>
      <c r="J52" s="51">
        <f>+'Tuition-4Yr'!J52+'State Appropriations-4Yr'!J52+'Local Appropriations-4Yr'!J52+'Fed Contracts Grnts-4Yr'!J52+'Other Contract Grnts-4Yr'!J52+'Investment Income-4Yr'!J52+'All Other E&amp;G-4Yr'!J52</f>
        <v>9705250.9129999988</v>
      </c>
      <c r="K52" s="51">
        <f>+'Tuition-4Yr'!K52+'State Appropriations-4Yr'!K52+'Local Appropriations-4Yr'!K52+'Fed Contracts Grnts-4Yr'!K52+'Other Contract Grnts-4Yr'!K52+'Investment Income-4Yr'!K52+'All Other E&amp;G-4Yr'!K52</f>
        <v>0</v>
      </c>
      <c r="L52" s="51">
        <f>+'Tuition-4Yr'!L52+'State Appropriations-4Yr'!L52+'Local Appropriations-4Yr'!L52+'Fed Contracts Grnts-4Yr'!L52+'Other Contract Grnts-4Yr'!L52+'Investment Income-4Yr'!L52+'All Other E&amp;G-4Yr'!L52</f>
        <v>0</v>
      </c>
      <c r="M52" s="51">
        <f>+'Tuition-4Yr'!M52+'State Appropriations-4Yr'!M52+'Local Appropriations-4Yr'!M52+'Fed Contracts Grnts-4Yr'!M52+'Other Contract Grnts-4Yr'!M52+'Investment Income-4Yr'!M52+'All Other E&amp;G-4Yr'!M52</f>
        <v>11321882.934</v>
      </c>
      <c r="N52" s="51">
        <f>+'Tuition-4Yr'!N52+'State Appropriations-4Yr'!N52+'Local Appropriations-4Yr'!N52+'Fed Contracts Grnts-4Yr'!N52+'Other Contract Grnts-4Yr'!N52+'Investment Income-4Yr'!N52+'All Other E&amp;G-4Yr'!N52</f>
        <v>0</v>
      </c>
      <c r="O52" s="51">
        <f>+'Tuition-4Yr'!O52+'State Appropriations-4Yr'!O52+'Local Appropriations-4Yr'!O52+'Fed Contracts Grnts-4Yr'!O52+'Other Contract Grnts-4Yr'!O52+'Investment Income-4Yr'!O52+'All Other E&amp;G-4Yr'!O52</f>
        <v>13307676.162</v>
      </c>
      <c r="P52" s="51">
        <f>+'Tuition-4Yr'!P52+'State Appropriations-4Yr'!P52+'Local Appropriations-4Yr'!P52+'Fed Contracts Grnts-4Yr'!P52+'Other Contract Grnts-4Yr'!P52+'Investment Income-4Yr'!P52+'All Other E&amp;G-4Yr'!P52</f>
        <v>0</v>
      </c>
      <c r="Q52" s="51">
        <f>+'Tuition-4Yr'!Q52+'State Appropriations-4Yr'!Q52+'Local Appropriations-4Yr'!Q52+'Fed Contracts Grnts-4Yr'!Q52+'Other Contract Grnts-4Yr'!Q52+'Investment Income-4Yr'!Q52+'All Other E&amp;G-4Yr'!Q52</f>
        <v>0</v>
      </c>
      <c r="R52" s="51">
        <f>+'Tuition-4Yr'!R52+'State Appropriations-4Yr'!R52+'Local Appropriations-4Yr'!R52+'Fed Contracts Grnts-4Yr'!R52+'Other Contract Grnts-4Yr'!R52+'Investment Income-4Yr'!R52+'All Other E&amp;G-4Yr'!R52</f>
        <v>14240240.776999999</v>
      </c>
      <c r="S52" s="51">
        <f>+'Tuition-4Yr'!S52+'State Appropriations-4Yr'!S52+'Local Appropriations-4Yr'!S52+'Fed Contracts Grnts-4Yr'!S52+'Other Contract Grnts-4Yr'!S52+'Investment Income-4Yr'!S52+'All Other E&amp;G-4Yr'!S52</f>
        <v>14650329.453000003</v>
      </c>
      <c r="T52" s="51">
        <f>+'Tuition-4Yr'!T52+'State Appropriations-4Yr'!T52+'Local Appropriations-4Yr'!T52+'Fed Contracts Grnts-4Yr'!T52+'Other Contract Grnts-4Yr'!T52+'Investment Income-4Yr'!T52+'All Other E&amp;G-4Yr'!T52</f>
        <v>14642848.334000001</v>
      </c>
      <c r="U52" s="51">
        <f>+'Tuition-4Yr'!U52+'State Appropriations-4Yr'!U52+'Local Appropriations-4Yr'!U52+'Fed Contracts Grnts-4Yr'!U52+'Other Contract Grnts-4Yr'!U52+'Investment Income-4Yr'!U52+'All Other E&amp;G-4Yr'!U52</f>
        <v>12494756.952</v>
      </c>
      <c r="V52" s="51">
        <f>+'Tuition-4Yr'!V52+'State Appropriations-4Yr'!V52+'Local Appropriations-4Yr'!V52+'Fed Contracts Grnts-4Yr'!V52+'Other Contract Grnts-4Yr'!V52+'Investment Income-4Yr'!V52+'All Other E&amp;G-4Yr'!V52</f>
        <v>13668502.439999999</v>
      </c>
      <c r="W52" s="51">
        <f>+'Tuition-4Yr'!W52+'State Appropriations-4Yr'!W52+'Local Appropriations-4Yr'!W52+'Fed Contracts Grnts-4Yr'!W52+'Other Contract Grnts-4Yr'!W52+'Investment Income-4Yr'!W52+'All Other E&amp;G-4Yr'!W52</f>
        <v>17805317.537</v>
      </c>
      <c r="X52" s="51">
        <f>+'Tuition-4Yr'!X52+'State Appropriations-4Yr'!X52+'Local Appropriations-4Yr'!X52+'Fed Contracts Grnts-4Yr'!X52+'Other Contract Grnts-4Yr'!X52+'Investment Income-4Yr'!X52+'All Other E&amp;G-4Yr'!X52</f>
        <v>16817908.184999999</v>
      </c>
      <c r="Y52" s="51">
        <f>+'Tuition-4Yr'!Y52+'State Appropriations-4Yr'!Y52+'Local Appropriations-4Yr'!Y52+'Fed Contracts Grnts-4Yr'!Y52+'Other Contract Grnts-4Yr'!Y52+'Investment Income-4Yr'!Y52+'All Other E&amp;G-4Yr'!Y52</f>
        <v>18084785.962000001</v>
      </c>
      <c r="Z52" s="51">
        <f>+'Tuition-4Yr'!Z52+'State Appropriations-4Yr'!Z52+'Local Appropriations-4Yr'!Z52+'Fed Contracts Grnts-4Yr'!Z52+'Other Contract Grnts-4Yr'!Z52+'Investment Income-4Yr'!Z52+'All Other E&amp;G-4Yr'!Z52</f>
        <v>18602022.460999999</v>
      </c>
      <c r="AA52" s="51">
        <f>+'Tuition-4Yr'!AA52+'State Appropriations-4Yr'!AA52+'Local Appropriations-4Yr'!AA52+'Fed Contracts Grnts-4Yr'!AA52+'Other Contract Grnts-4Yr'!AA52+'Investment Income-4Yr'!AA52+'All Other E&amp;G-4Yr'!AA52</f>
        <v>17954342.177000001</v>
      </c>
      <c r="AB52" s="51">
        <f>+'Tuition-4Yr'!AB52+'State Appropriations-4Yr'!AB52+'Local Appropriations-4Yr'!AB52+'Fed Contracts Grnts-4Yr'!AB52+'Other Contract Grnts-4Yr'!AB52+'Investment Income-4Yr'!AB52+'All Other E&amp;G-4Yr'!AB52</f>
        <v>22159084.484000001</v>
      </c>
      <c r="AC52" s="51">
        <f>+'Tuition-4Yr'!AC52+'State Appropriations-4Yr'!AC52+'Local Appropriations-4Yr'!AC52+'Fed Contracts Grnts-4Yr'!AC52+'Other Contract Grnts-4Yr'!AC52+'Investment Income-4Yr'!AC52+'All Other E&amp;G-4Yr'!AC52</f>
        <v>23210797</v>
      </c>
      <c r="AD52" s="51">
        <f>+'Tuition-4Yr'!AD52+'State Appropriations-4Yr'!AD52+'Local Appropriations-4Yr'!AD52+'Fed Contracts Grnts-4Yr'!AD52+'Other Contract Grnts-4Yr'!AD52+'Investment Income-4Yr'!AD52+'All Other E&amp;G-4Yr'!AD52</f>
        <v>23057259.561999999</v>
      </c>
      <c r="AE52" s="51">
        <f>+'Tuition-4Yr'!AE52+'State Appropriations-4Yr'!AE52+'Local Appropriations-4Yr'!AE52+'Fed Contracts Grnts-4Yr'!AE52+'Other Contract Grnts-4Yr'!AE52+'Investment Income-4Yr'!AE52+'All Other E&amp;G-4Yr'!AE52</f>
        <v>22139948.271000002</v>
      </c>
      <c r="AF52" s="51">
        <f>+'Tuition-4Yr'!AF52+'State Appropriations-4Yr'!AF52+'Local Appropriations-4Yr'!AF52+'Fed Contracts Grnts-4Yr'!AF52+'Other Contract Grnts-4Yr'!AF52+'Investment Income-4Yr'!AF52+'All Other E&amp;G-4Yr'!AF52</f>
        <v>24105319.832000002</v>
      </c>
      <c r="AG52" s="51">
        <f>+'Tuition-4Yr'!AG52+'State Appropriations-4Yr'!AG52+'Local Appropriations-4Yr'!AG52+'Fed Contracts Grnts-4Yr'!AG52+'Other Contract Grnts-4Yr'!AG52+'Investment Income-4Yr'!AG52+'All Other E&amp;G-4Yr'!AG52</f>
        <v>24742099.606000002</v>
      </c>
      <c r="AH52" s="51">
        <f>+'Tuition-4Yr'!AH52+'State Appropriations-4Yr'!AH52+'Local Appropriations-4Yr'!AH52+'Fed Contracts Grnts-4Yr'!AH52+'Other Contract Grnts-4Yr'!AH52+'Investment Income-4Yr'!AH52+'All Other E&amp;G-4Yr'!AH52</f>
        <v>26795400.907000002</v>
      </c>
      <c r="AI52" s="51">
        <f>+'Tuition-4Yr'!AI52+'State Appropriations-4Yr'!AI52+'Local Appropriations-4Yr'!AI52+'Fed Contracts Grnts-4Yr'!AI52+'Other Contract Grnts-4Yr'!AI52+'Investment Income-4Yr'!AI52+'All Other E&amp;G-4Yr'!AI52</f>
        <v>27620486.649000004</v>
      </c>
      <c r="AJ52" s="51">
        <f>+'Tuition-4Yr'!AJ52+'State Appropriations-4Yr'!AJ52+'Local Appropriations-4Yr'!AJ52+'Fed Contracts Grnts-4Yr'!AJ52+'Other Contract Grnts-4Yr'!AJ52+'Investment Income-4Yr'!AJ52+'All Other E&amp;G-4Yr'!AJ52</f>
        <v>0</v>
      </c>
      <c r="AK52" s="51">
        <f>+'Tuition-4Yr'!AK52+'State Appropriations-4Yr'!AK52+'Local Appropriations-4Yr'!AK52+'Fed Contracts Grnts-4Yr'!AK52+'Other Contract Grnts-4Yr'!AK52+'Investment Income-4Yr'!AK52+'All Other E&amp;G-4Yr'!AK52</f>
        <v>31366547.409000002</v>
      </c>
      <c r="AL52" s="51">
        <f>+'Tuition-4Yr'!AL52+'State Appropriations-4Yr'!AL52+'Local Appropriations-4Yr'!AL52+'Fed Contracts Grnts-4Yr'!AL52+'Other Contract Grnts-4Yr'!AL52+'Investment Income-4Yr'!AL52+'All Other E&amp;G-4Yr'!AL52</f>
        <v>30875276.457000002</v>
      </c>
    </row>
    <row r="53" spans="1:38" ht="12.75" customHeight="1">
      <c r="A53" s="6" t="s">
        <v>94</v>
      </c>
      <c r="B53" s="51">
        <f>+'Tuition-4Yr'!B53+'State Appropriations-4Yr'!B53+'Local Appropriations-4Yr'!B53+'Fed Contracts Grnts-4Yr'!B53+'Other Contract Grnts-4Yr'!B53+'Investment Income-4Yr'!B53+'All Other E&amp;G-4Yr'!B53</f>
        <v>0</v>
      </c>
      <c r="C53" s="51">
        <f>+'Tuition-4Yr'!C53+'State Appropriations-4Yr'!C53+'Local Appropriations-4Yr'!C53+'Fed Contracts Grnts-4Yr'!C53+'Other Contract Grnts-4Yr'!C53+'Investment Income-4Yr'!C53+'All Other E&amp;G-4Yr'!C53</f>
        <v>0</v>
      </c>
      <c r="D53" s="51">
        <f>+'Tuition-4Yr'!D53+'State Appropriations-4Yr'!D53+'Local Appropriations-4Yr'!D53+'Fed Contracts Grnts-4Yr'!D53+'Other Contract Grnts-4Yr'!D53+'Investment Income-4Yr'!D53+'All Other E&amp;G-4Yr'!D53</f>
        <v>0</v>
      </c>
      <c r="E53" s="51">
        <f>+'Tuition-4Yr'!E53+'State Appropriations-4Yr'!E53+'Local Appropriations-4Yr'!E53+'Fed Contracts Grnts-4Yr'!E53+'Other Contract Grnts-4Yr'!E53+'Investment Income-4Yr'!E53+'All Other E&amp;G-4Yr'!E53</f>
        <v>0</v>
      </c>
      <c r="F53" s="51">
        <f>+'Tuition-4Yr'!F53+'State Appropriations-4Yr'!F53+'Local Appropriations-4Yr'!F53+'Fed Contracts Grnts-4Yr'!F53+'Other Contract Grnts-4Yr'!F53+'Investment Income-4Yr'!F53+'All Other E&amp;G-4Yr'!F53</f>
        <v>0</v>
      </c>
      <c r="G53" s="51">
        <f>+'Tuition-4Yr'!G53+'State Appropriations-4Yr'!G53+'Local Appropriations-4Yr'!G53+'Fed Contracts Grnts-4Yr'!G53+'Other Contract Grnts-4Yr'!G53+'Investment Income-4Yr'!G53+'All Other E&amp;G-4Yr'!G53</f>
        <v>0</v>
      </c>
      <c r="H53" s="51">
        <f>+'Tuition-4Yr'!H53+'State Appropriations-4Yr'!H53+'Local Appropriations-4Yr'!H53+'Fed Contracts Grnts-4Yr'!H53+'Other Contract Grnts-4Yr'!H53+'Investment Income-4Yr'!H53+'All Other E&amp;G-4Yr'!H53</f>
        <v>0</v>
      </c>
      <c r="I53" s="51">
        <f>+'Tuition-4Yr'!I53+'State Appropriations-4Yr'!I53+'Local Appropriations-4Yr'!I53+'Fed Contracts Grnts-4Yr'!I53+'Other Contract Grnts-4Yr'!I53+'Investment Income-4Yr'!I53+'All Other E&amp;G-4Yr'!I53</f>
        <v>0</v>
      </c>
      <c r="J53" s="51">
        <f>+'Tuition-4Yr'!J53+'State Appropriations-4Yr'!J53+'Local Appropriations-4Yr'!J53+'Fed Contracts Grnts-4Yr'!J53+'Other Contract Grnts-4Yr'!J53+'Investment Income-4Yr'!J53+'All Other E&amp;G-4Yr'!J53</f>
        <v>0</v>
      </c>
      <c r="K53" s="51">
        <f>+'Tuition-4Yr'!K53+'State Appropriations-4Yr'!K53+'Local Appropriations-4Yr'!K53+'Fed Contracts Grnts-4Yr'!K53+'Other Contract Grnts-4Yr'!K53+'Investment Income-4Yr'!K53+'All Other E&amp;G-4Yr'!K53</f>
        <v>0</v>
      </c>
      <c r="L53" s="51">
        <f>+'Tuition-4Yr'!L53+'State Appropriations-4Yr'!L53+'Local Appropriations-4Yr'!L53+'Fed Contracts Grnts-4Yr'!L53+'Other Contract Grnts-4Yr'!L53+'Investment Income-4Yr'!L53+'All Other E&amp;G-4Yr'!L53</f>
        <v>0</v>
      </c>
      <c r="M53" s="51">
        <f>+'Tuition-4Yr'!M53+'State Appropriations-4Yr'!M53+'Local Appropriations-4Yr'!M53+'Fed Contracts Grnts-4Yr'!M53+'Other Contract Grnts-4Yr'!M53+'Investment Income-4Yr'!M53+'All Other E&amp;G-4Yr'!M53</f>
        <v>0</v>
      </c>
      <c r="N53" s="51">
        <f>+'Tuition-4Yr'!N53+'State Appropriations-4Yr'!N53+'Local Appropriations-4Yr'!N53+'Fed Contracts Grnts-4Yr'!N53+'Other Contract Grnts-4Yr'!N53+'Investment Income-4Yr'!N53+'All Other E&amp;G-4Yr'!N53</f>
        <v>0</v>
      </c>
      <c r="O53" s="51">
        <f>+'Tuition-4Yr'!O53+'State Appropriations-4Yr'!O53+'Local Appropriations-4Yr'!O53+'Fed Contracts Grnts-4Yr'!O53+'Other Contract Grnts-4Yr'!O53+'Investment Income-4Yr'!O53+'All Other E&amp;G-4Yr'!O53</f>
        <v>0</v>
      </c>
      <c r="P53" s="51">
        <f>+'Tuition-4Yr'!P53+'State Appropriations-4Yr'!P53+'Local Appropriations-4Yr'!P53+'Fed Contracts Grnts-4Yr'!P53+'Other Contract Grnts-4Yr'!P53+'Investment Income-4Yr'!P53+'All Other E&amp;G-4Yr'!P53</f>
        <v>0</v>
      </c>
      <c r="Q53" s="51">
        <f>+'Tuition-4Yr'!Q53+'State Appropriations-4Yr'!Q53+'Local Appropriations-4Yr'!Q53+'Fed Contracts Grnts-4Yr'!Q53+'Other Contract Grnts-4Yr'!Q53+'Investment Income-4Yr'!Q53+'All Other E&amp;G-4Yr'!Q53</f>
        <v>0</v>
      </c>
      <c r="R53" s="51">
        <f>+'Tuition-4Yr'!R53+'State Appropriations-4Yr'!R53+'Local Appropriations-4Yr'!R53+'Fed Contracts Grnts-4Yr'!R53+'Other Contract Grnts-4Yr'!R53+'Investment Income-4Yr'!R53+'All Other E&amp;G-4Yr'!R53</f>
        <v>0</v>
      </c>
      <c r="S53" s="51">
        <f>+'Tuition-4Yr'!S53+'State Appropriations-4Yr'!S53+'Local Appropriations-4Yr'!S53+'Fed Contracts Grnts-4Yr'!S53+'Other Contract Grnts-4Yr'!S53+'Investment Income-4Yr'!S53+'All Other E&amp;G-4Yr'!S53</f>
        <v>0</v>
      </c>
      <c r="T53" s="51">
        <f>+'Tuition-4Yr'!T53+'State Appropriations-4Yr'!T53+'Local Appropriations-4Yr'!T53+'Fed Contracts Grnts-4Yr'!T53+'Other Contract Grnts-4Yr'!T53+'Investment Income-4Yr'!T53+'All Other E&amp;G-4Yr'!T53</f>
        <v>0</v>
      </c>
      <c r="U53" s="51">
        <f>+'Tuition-4Yr'!U53+'State Appropriations-4Yr'!U53+'Local Appropriations-4Yr'!U53+'Fed Contracts Grnts-4Yr'!U53+'Other Contract Grnts-4Yr'!U53+'Investment Income-4Yr'!U53+'All Other E&amp;G-4Yr'!U53</f>
        <v>0</v>
      </c>
      <c r="V53" s="51">
        <f>+'Tuition-4Yr'!V53+'State Appropriations-4Yr'!V53+'Local Appropriations-4Yr'!V53+'Fed Contracts Grnts-4Yr'!V53+'Other Contract Grnts-4Yr'!V53+'Investment Income-4Yr'!V53+'All Other E&amp;G-4Yr'!V53</f>
        <v>0</v>
      </c>
      <c r="W53" s="51">
        <f>+'Tuition-4Yr'!W53+'State Appropriations-4Yr'!W53+'Local Appropriations-4Yr'!W53+'Fed Contracts Grnts-4Yr'!W53+'Other Contract Grnts-4Yr'!W53+'Investment Income-4Yr'!W53+'All Other E&amp;G-4Yr'!W53</f>
        <v>0</v>
      </c>
      <c r="X53" s="51">
        <f>+'Tuition-4Yr'!X53+'State Appropriations-4Yr'!X53+'Local Appropriations-4Yr'!X53+'Fed Contracts Grnts-4Yr'!X53+'Other Contract Grnts-4Yr'!X53+'Investment Income-4Yr'!X53+'All Other E&amp;G-4Yr'!X53</f>
        <v>0</v>
      </c>
      <c r="Y53" s="51">
        <f>+'Tuition-4Yr'!Y53+'State Appropriations-4Yr'!Y53+'Local Appropriations-4Yr'!Y53+'Fed Contracts Grnts-4Yr'!Y53+'Other Contract Grnts-4Yr'!Y53+'Investment Income-4Yr'!Y53+'All Other E&amp;G-4Yr'!Y53</f>
        <v>0</v>
      </c>
      <c r="Z53" s="51">
        <f>+'Tuition-4Yr'!Z53+'State Appropriations-4Yr'!Z53+'Local Appropriations-4Yr'!Z53+'Fed Contracts Grnts-4Yr'!Z53+'Other Contract Grnts-4Yr'!Z53+'Investment Income-4Yr'!Z53+'All Other E&amp;G-4Yr'!Z53</f>
        <v>0</v>
      </c>
      <c r="AA53" s="51">
        <f>+'Tuition-4Yr'!AA53+'State Appropriations-4Yr'!AA53+'Local Appropriations-4Yr'!AA53+'Fed Contracts Grnts-4Yr'!AA53+'Other Contract Grnts-4Yr'!AA53+'Investment Income-4Yr'!AA53+'All Other E&amp;G-4Yr'!AA53</f>
        <v>0</v>
      </c>
      <c r="AB53" s="51">
        <f>+'Tuition-4Yr'!AB53+'State Appropriations-4Yr'!AB53+'Local Appropriations-4Yr'!AB53+'Fed Contracts Grnts-4Yr'!AB53+'Other Contract Grnts-4Yr'!AB53+'Investment Income-4Yr'!AB53+'All Other E&amp;G-4Yr'!AB53</f>
        <v>0</v>
      </c>
      <c r="AC53" s="51">
        <f>+'Tuition-4Yr'!AC53+'State Appropriations-4Yr'!AC53+'Local Appropriations-4Yr'!AC53+'Fed Contracts Grnts-4Yr'!AC53+'Other Contract Grnts-4Yr'!AC53+'Investment Income-4Yr'!AC53+'All Other E&amp;G-4Yr'!AC53</f>
        <v>0</v>
      </c>
      <c r="AD53" s="51">
        <f>+'Tuition-4Yr'!AD53+'State Appropriations-4Yr'!AD53+'Local Appropriations-4Yr'!AD53+'Fed Contracts Grnts-4Yr'!AD53+'Other Contract Grnts-4Yr'!AD53+'Investment Income-4Yr'!AD53+'All Other E&amp;G-4Yr'!AD53</f>
        <v>0</v>
      </c>
      <c r="AE53" s="51">
        <f>+'Tuition-4Yr'!AE53+'State Appropriations-4Yr'!AE53+'Local Appropriations-4Yr'!AE53+'Fed Contracts Grnts-4Yr'!AE53+'Other Contract Grnts-4Yr'!AE53+'Investment Income-4Yr'!AE53+'All Other E&amp;G-4Yr'!AE53</f>
        <v>0</v>
      </c>
      <c r="AF53" s="51">
        <f>+'Tuition-4Yr'!AF53+'State Appropriations-4Yr'!AF53+'Local Appropriations-4Yr'!AF53+'Fed Contracts Grnts-4Yr'!AF53+'Other Contract Grnts-4Yr'!AF53+'Investment Income-4Yr'!AF53+'All Other E&amp;G-4Yr'!AF53</f>
        <v>0</v>
      </c>
      <c r="AG53" s="51">
        <f>+'Tuition-4Yr'!AG53+'State Appropriations-4Yr'!AG53+'Local Appropriations-4Yr'!AG53+'Fed Contracts Grnts-4Yr'!AG53+'Other Contract Grnts-4Yr'!AG53+'Investment Income-4Yr'!AG53+'All Other E&amp;G-4Yr'!AG53</f>
        <v>0</v>
      </c>
      <c r="AH53" s="51">
        <f>+'Tuition-4Yr'!AH53+'State Appropriations-4Yr'!AH53+'Local Appropriations-4Yr'!AH53+'Fed Contracts Grnts-4Yr'!AH53+'Other Contract Grnts-4Yr'!AH53+'Investment Income-4Yr'!AH53+'All Other E&amp;G-4Yr'!AH53</f>
        <v>0</v>
      </c>
      <c r="AI53" s="51">
        <f>+'Tuition-4Yr'!AI53+'State Appropriations-4Yr'!AI53+'Local Appropriations-4Yr'!AI53+'Fed Contracts Grnts-4Yr'!AI53+'Other Contract Grnts-4Yr'!AI53+'Investment Income-4Yr'!AI53+'All Other E&amp;G-4Yr'!AI53</f>
        <v>0</v>
      </c>
      <c r="AJ53" s="51">
        <f>+'Tuition-4Yr'!AJ53+'State Appropriations-4Yr'!AJ53+'Local Appropriations-4Yr'!AJ53+'Fed Contracts Grnts-4Yr'!AJ53+'Other Contract Grnts-4Yr'!AJ53+'Investment Income-4Yr'!AJ53+'All Other E&amp;G-4Yr'!AJ53</f>
        <v>0</v>
      </c>
      <c r="AK53" s="51">
        <f>+'Tuition-4Yr'!AK53+'State Appropriations-4Yr'!AK53+'Local Appropriations-4Yr'!AK53+'Fed Contracts Grnts-4Yr'!AK53+'Other Contract Grnts-4Yr'!AK53+'Investment Income-4Yr'!AK53+'All Other E&amp;G-4Yr'!AK53</f>
        <v>0</v>
      </c>
      <c r="AL53" s="51">
        <f>+'Tuition-4Yr'!AL53+'State Appropriations-4Yr'!AL53+'Local Appropriations-4Yr'!AL53+'Fed Contracts Grnts-4Yr'!AL53+'Other Contract Grnts-4Yr'!AL53+'Investment Income-4Yr'!AL53+'All Other E&amp;G-4Yr'!AL53</f>
        <v>0</v>
      </c>
    </row>
    <row r="54" spans="1:38" ht="12.75" customHeight="1">
      <c r="A54" s="1" t="s">
        <v>66</v>
      </c>
      <c r="B54" s="51">
        <f>+'Tuition-4Yr'!B54+'State Appropriations-4Yr'!B54+'Local Appropriations-4Yr'!B54+'Fed Contracts Grnts-4Yr'!B54+'Other Contract Grnts-4Yr'!B54+'Investment Income-4Yr'!B54+'All Other E&amp;G-4Yr'!B54</f>
        <v>0</v>
      </c>
      <c r="C54" s="51">
        <f>+'Tuition-4Yr'!C54+'State Appropriations-4Yr'!C54+'Local Appropriations-4Yr'!C54+'Fed Contracts Grnts-4Yr'!C54+'Other Contract Grnts-4Yr'!C54+'Investment Income-4Yr'!C54+'All Other E&amp;G-4Yr'!C54</f>
        <v>0</v>
      </c>
      <c r="D54" s="51">
        <f>+'Tuition-4Yr'!D54+'State Appropriations-4Yr'!D54+'Local Appropriations-4Yr'!D54+'Fed Contracts Grnts-4Yr'!D54+'Other Contract Grnts-4Yr'!D54+'Investment Income-4Yr'!D54+'All Other E&amp;G-4Yr'!D54</f>
        <v>0</v>
      </c>
      <c r="E54" s="51">
        <f>+'Tuition-4Yr'!E54+'State Appropriations-4Yr'!E54+'Local Appropriations-4Yr'!E54+'Fed Contracts Grnts-4Yr'!E54+'Other Contract Grnts-4Yr'!E54+'Investment Income-4Yr'!E54+'All Other E&amp;G-4Yr'!E54</f>
        <v>0</v>
      </c>
      <c r="F54" s="51">
        <f>+'Tuition-4Yr'!F54+'State Appropriations-4Yr'!F54+'Local Appropriations-4Yr'!F54+'Fed Contracts Grnts-4Yr'!F54+'Other Contract Grnts-4Yr'!F54+'Investment Income-4Yr'!F54+'All Other E&amp;G-4Yr'!F54</f>
        <v>0</v>
      </c>
      <c r="G54" s="51">
        <f>+'Tuition-4Yr'!G54+'State Appropriations-4Yr'!G54+'Local Appropriations-4Yr'!G54+'Fed Contracts Grnts-4Yr'!G54+'Other Contract Grnts-4Yr'!G54+'Investment Income-4Yr'!G54+'All Other E&amp;G-4Yr'!G54</f>
        <v>0</v>
      </c>
      <c r="H54" s="51">
        <f>+'Tuition-4Yr'!H54+'State Appropriations-4Yr'!H54+'Local Appropriations-4Yr'!H54+'Fed Contracts Grnts-4Yr'!H54+'Other Contract Grnts-4Yr'!H54+'Investment Income-4Yr'!H54+'All Other E&amp;G-4Yr'!H54</f>
        <v>0</v>
      </c>
      <c r="I54" s="51">
        <f>+'Tuition-4Yr'!I54+'State Appropriations-4Yr'!I54+'Local Appropriations-4Yr'!I54+'Fed Contracts Grnts-4Yr'!I54+'Other Contract Grnts-4Yr'!I54+'Investment Income-4Yr'!I54+'All Other E&amp;G-4Yr'!I54</f>
        <v>0</v>
      </c>
      <c r="J54" s="51">
        <f>+'Tuition-4Yr'!J54+'State Appropriations-4Yr'!J54+'Local Appropriations-4Yr'!J54+'Fed Contracts Grnts-4Yr'!J54+'Other Contract Grnts-4Yr'!J54+'Investment Income-4Yr'!J54+'All Other E&amp;G-4Yr'!J54</f>
        <v>549970.78799999994</v>
      </c>
      <c r="K54" s="51">
        <f>+'Tuition-4Yr'!K54+'State Appropriations-4Yr'!K54+'Local Appropriations-4Yr'!K54+'Fed Contracts Grnts-4Yr'!K54+'Other Contract Grnts-4Yr'!K54+'Investment Income-4Yr'!K54+'All Other E&amp;G-4Yr'!K54</f>
        <v>0</v>
      </c>
      <c r="L54" s="51">
        <f>+'Tuition-4Yr'!L54+'State Appropriations-4Yr'!L54+'Local Appropriations-4Yr'!L54+'Fed Contracts Grnts-4Yr'!L54+'Other Contract Grnts-4Yr'!L54+'Investment Income-4Yr'!L54+'All Other E&amp;G-4Yr'!L54</f>
        <v>0</v>
      </c>
      <c r="M54" s="51">
        <f>+'Tuition-4Yr'!M54+'State Appropriations-4Yr'!M54+'Local Appropriations-4Yr'!M54+'Fed Contracts Grnts-4Yr'!M54+'Other Contract Grnts-4Yr'!M54+'Investment Income-4Yr'!M54+'All Other E&amp;G-4Yr'!M54</f>
        <v>740340.68500000006</v>
      </c>
      <c r="N54" s="51">
        <f>+'Tuition-4Yr'!N54+'State Appropriations-4Yr'!N54+'Local Appropriations-4Yr'!N54+'Fed Contracts Grnts-4Yr'!N54+'Other Contract Grnts-4Yr'!N54+'Investment Income-4Yr'!N54+'All Other E&amp;G-4Yr'!N54</f>
        <v>0</v>
      </c>
      <c r="O54" s="51">
        <f>+'Tuition-4Yr'!O54+'State Appropriations-4Yr'!O54+'Local Appropriations-4Yr'!O54+'Fed Contracts Grnts-4Yr'!O54+'Other Contract Grnts-4Yr'!O54+'Investment Income-4Yr'!O54+'All Other E&amp;G-4Yr'!O54</f>
        <v>764125.23199999996</v>
      </c>
      <c r="P54" s="51">
        <f>+'Tuition-4Yr'!P54+'State Appropriations-4Yr'!P54+'Local Appropriations-4Yr'!P54+'Fed Contracts Grnts-4Yr'!P54+'Other Contract Grnts-4Yr'!P54+'Investment Income-4Yr'!P54+'All Other E&amp;G-4Yr'!P54</f>
        <v>0</v>
      </c>
      <c r="Q54" s="51">
        <f>+'Tuition-4Yr'!Q54+'State Appropriations-4Yr'!Q54+'Local Appropriations-4Yr'!Q54+'Fed Contracts Grnts-4Yr'!Q54+'Other Contract Grnts-4Yr'!Q54+'Investment Income-4Yr'!Q54+'All Other E&amp;G-4Yr'!Q54</f>
        <v>0</v>
      </c>
      <c r="R54" s="51">
        <f>+'Tuition-4Yr'!R54+'State Appropriations-4Yr'!R54+'Local Appropriations-4Yr'!R54+'Fed Contracts Grnts-4Yr'!R54+'Other Contract Grnts-4Yr'!R54+'Investment Income-4Yr'!R54+'All Other E&amp;G-4Yr'!R54</f>
        <v>989043.15700000012</v>
      </c>
      <c r="S54" s="51">
        <f>+'Tuition-4Yr'!S54+'State Appropriations-4Yr'!S54+'Local Appropriations-4Yr'!S54+'Fed Contracts Grnts-4Yr'!S54+'Other Contract Grnts-4Yr'!S54+'Investment Income-4Yr'!S54+'All Other E&amp;G-4Yr'!S54</f>
        <v>1016221.804</v>
      </c>
      <c r="T54" s="51">
        <f>+'Tuition-4Yr'!T54+'State Appropriations-4Yr'!T54+'Local Appropriations-4Yr'!T54+'Fed Contracts Grnts-4Yr'!T54+'Other Contract Grnts-4Yr'!T54+'Investment Income-4Yr'!T54+'All Other E&amp;G-4Yr'!T54</f>
        <v>1422060.1310000001</v>
      </c>
      <c r="U54" s="51">
        <f>+'Tuition-4Yr'!U54+'State Appropriations-4Yr'!U54+'Local Appropriations-4Yr'!U54+'Fed Contracts Grnts-4Yr'!U54+'Other Contract Grnts-4Yr'!U54+'Investment Income-4Yr'!U54+'All Other E&amp;G-4Yr'!U54</f>
        <v>1320325.8530000001</v>
      </c>
      <c r="V54" s="51">
        <f>+'Tuition-4Yr'!V54+'State Appropriations-4Yr'!V54+'Local Appropriations-4Yr'!V54+'Fed Contracts Grnts-4Yr'!V54+'Other Contract Grnts-4Yr'!V54+'Investment Income-4Yr'!V54+'All Other E&amp;G-4Yr'!V54</f>
        <v>1540497.4680000003</v>
      </c>
      <c r="W54" s="51">
        <f>+'Tuition-4Yr'!W54+'State Appropriations-4Yr'!W54+'Local Appropriations-4Yr'!W54+'Fed Contracts Grnts-4Yr'!W54+'Other Contract Grnts-4Yr'!W54+'Investment Income-4Yr'!W54+'All Other E&amp;G-4Yr'!W54</f>
        <v>1967689.4419999998</v>
      </c>
      <c r="X54" s="51">
        <f>+'Tuition-4Yr'!X54+'State Appropriations-4Yr'!X54+'Local Appropriations-4Yr'!X54+'Fed Contracts Grnts-4Yr'!X54+'Other Contract Grnts-4Yr'!X54+'Investment Income-4Yr'!X54+'All Other E&amp;G-4Yr'!X54</f>
        <v>1743173.977</v>
      </c>
      <c r="Y54" s="51">
        <f>+'Tuition-4Yr'!Y54+'State Appropriations-4Yr'!Y54+'Local Appropriations-4Yr'!Y54+'Fed Contracts Grnts-4Yr'!Y54+'Other Contract Grnts-4Yr'!Y54+'Investment Income-4Yr'!Y54+'All Other E&amp;G-4Yr'!Y54</f>
        <v>1697094.3509999998</v>
      </c>
      <c r="Z54" s="51">
        <f>+'Tuition-4Yr'!Z54+'State Appropriations-4Yr'!Z54+'Local Appropriations-4Yr'!Z54+'Fed Contracts Grnts-4Yr'!Z54+'Other Contract Grnts-4Yr'!Z54+'Investment Income-4Yr'!Z54+'All Other E&amp;G-4Yr'!Z54</f>
        <v>1827089.2079999999</v>
      </c>
      <c r="AA54" s="51">
        <f>+'Tuition-4Yr'!AA54+'State Appropriations-4Yr'!AA54+'Local Appropriations-4Yr'!AA54+'Fed Contracts Grnts-4Yr'!AA54+'Other Contract Grnts-4Yr'!AA54+'Investment Income-4Yr'!AA54+'All Other E&amp;G-4Yr'!AA54</f>
        <v>1815884.4850000001</v>
      </c>
      <c r="AB54" s="51">
        <f>+'Tuition-4Yr'!AB54+'State Appropriations-4Yr'!AB54+'Local Appropriations-4Yr'!AB54+'Fed Contracts Grnts-4Yr'!AB54+'Other Contract Grnts-4Yr'!AB54+'Investment Income-4Yr'!AB54+'All Other E&amp;G-4Yr'!AB54</f>
        <v>1828552.0690000004</v>
      </c>
      <c r="AC54" s="51">
        <f>+'Tuition-4Yr'!AC54+'State Appropriations-4Yr'!AC54+'Local Appropriations-4Yr'!AC54+'Fed Contracts Grnts-4Yr'!AC54+'Other Contract Grnts-4Yr'!AC54+'Investment Income-4Yr'!AC54+'All Other E&amp;G-4Yr'!AC54</f>
        <v>1949389</v>
      </c>
      <c r="AD54" s="51">
        <f>+'Tuition-4Yr'!AD54+'State Appropriations-4Yr'!AD54+'Local Appropriations-4Yr'!AD54+'Fed Contracts Grnts-4Yr'!AD54+'Other Contract Grnts-4Yr'!AD54+'Investment Income-4Yr'!AD54+'All Other E&amp;G-4Yr'!AD54</f>
        <v>1866264.62</v>
      </c>
      <c r="AE54" s="51">
        <f>+'Tuition-4Yr'!AE54+'State Appropriations-4Yr'!AE54+'Local Appropriations-4Yr'!AE54+'Fed Contracts Grnts-4Yr'!AE54+'Other Contract Grnts-4Yr'!AE54+'Investment Income-4Yr'!AE54+'All Other E&amp;G-4Yr'!AE54</f>
        <v>1922277.2880000002</v>
      </c>
      <c r="AF54" s="51">
        <f>+'Tuition-4Yr'!AF54+'State Appropriations-4Yr'!AF54+'Local Appropriations-4Yr'!AF54+'Fed Contracts Grnts-4Yr'!AF54+'Other Contract Grnts-4Yr'!AF54+'Investment Income-4Yr'!AF54+'All Other E&amp;G-4Yr'!AF54</f>
        <v>2055071.8309999998</v>
      </c>
      <c r="AG54" s="51">
        <f>+'Tuition-4Yr'!AG54+'State Appropriations-4Yr'!AG54+'Local Appropriations-4Yr'!AG54+'Fed Contracts Grnts-4Yr'!AG54+'Other Contract Grnts-4Yr'!AG54+'Investment Income-4Yr'!AG54+'All Other E&amp;G-4Yr'!AG54</f>
        <v>2241995.727</v>
      </c>
      <c r="AH54" s="51">
        <f>+'Tuition-4Yr'!AH54+'State Appropriations-4Yr'!AH54+'Local Appropriations-4Yr'!AH54+'Fed Contracts Grnts-4Yr'!AH54+'Other Contract Grnts-4Yr'!AH54+'Investment Income-4Yr'!AH54+'All Other E&amp;G-4Yr'!AH54</f>
        <v>2384075.7000000002</v>
      </c>
      <c r="AI54" s="51">
        <f>+'Tuition-4Yr'!AI54+'State Appropriations-4Yr'!AI54+'Local Appropriations-4Yr'!AI54+'Fed Contracts Grnts-4Yr'!AI54+'Other Contract Grnts-4Yr'!AI54+'Investment Income-4Yr'!AI54+'All Other E&amp;G-4Yr'!AI54</f>
        <v>2381468.5819999999</v>
      </c>
      <c r="AJ54" s="51">
        <f>+'Tuition-4Yr'!AJ54+'State Appropriations-4Yr'!AJ54+'Local Appropriations-4Yr'!AJ54+'Fed Contracts Grnts-4Yr'!AJ54+'Other Contract Grnts-4Yr'!AJ54+'Investment Income-4Yr'!AJ54+'All Other E&amp;G-4Yr'!AJ54</f>
        <v>0</v>
      </c>
      <c r="AK54" s="51">
        <f>+'Tuition-4Yr'!AK54+'State Appropriations-4Yr'!AK54+'Local Appropriations-4Yr'!AK54+'Fed Contracts Grnts-4Yr'!AK54+'Other Contract Grnts-4Yr'!AK54+'Investment Income-4Yr'!AK54+'All Other E&amp;G-4Yr'!AK54</f>
        <v>2682427.4049999998</v>
      </c>
      <c r="AL54" s="51">
        <f>+'Tuition-4Yr'!AL54+'State Appropriations-4Yr'!AL54+'Local Appropriations-4Yr'!AL54+'Fed Contracts Grnts-4Yr'!AL54+'Other Contract Grnts-4Yr'!AL54+'Investment Income-4Yr'!AL54+'All Other E&amp;G-4Yr'!AL54</f>
        <v>2707276.247</v>
      </c>
    </row>
    <row r="55" spans="1:38" ht="12.75" customHeight="1">
      <c r="A55" s="1" t="s">
        <v>67</v>
      </c>
      <c r="B55" s="51">
        <f>+'Tuition-4Yr'!B55+'State Appropriations-4Yr'!B55+'Local Appropriations-4Yr'!B55+'Fed Contracts Grnts-4Yr'!B55+'Other Contract Grnts-4Yr'!B55+'Investment Income-4Yr'!B55+'All Other E&amp;G-4Yr'!B55</f>
        <v>0</v>
      </c>
      <c r="C55" s="51">
        <f>+'Tuition-4Yr'!C55+'State Appropriations-4Yr'!C55+'Local Appropriations-4Yr'!C55+'Fed Contracts Grnts-4Yr'!C55+'Other Contract Grnts-4Yr'!C55+'Investment Income-4Yr'!C55+'All Other E&amp;G-4Yr'!C55</f>
        <v>0</v>
      </c>
      <c r="D55" s="51">
        <f>+'Tuition-4Yr'!D55+'State Appropriations-4Yr'!D55+'Local Appropriations-4Yr'!D55+'Fed Contracts Grnts-4Yr'!D55+'Other Contract Grnts-4Yr'!D55+'Investment Income-4Yr'!D55+'All Other E&amp;G-4Yr'!D55</f>
        <v>0</v>
      </c>
      <c r="E55" s="51">
        <f>+'Tuition-4Yr'!E55+'State Appropriations-4Yr'!E55+'Local Appropriations-4Yr'!E55+'Fed Contracts Grnts-4Yr'!E55+'Other Contract Grnts-4Yr'!E55+'Investment Income-4Yr'!E55+'All Other E&amp;G-4Yr'!E55</f>
        <v>0</v>
      </c>
      <c r="F55" s="51">
        <f>+'Tuition-4Yr'!F55+'State Appropriations-4Yr'!F55+'Local Appropriations-4Yr'!F55+'Fed Contracts Grnts-4Yr'!F55+'Other Contract Grnts-4Yr'!F55+'Investment Income-4Yr'!F55+'All Other E&amp;G-4Yr'!F55</f>
        <v>0</v>
      </c>
      <c r="G55" s="51">
        <f>+'Tuition-4Yr'!G55+'State Appropriations-4Yr'!G55+'Local Appropriations-4Yr'!G55+'Fed Contracts Grnts-4Yr'!G55+'Other Contract Grnts-4Yr'!G55+'Investment Income-4Yr'!G55+'All Other E&amp;G-4Yr'!G55</f>
        <v>0</v>
      </c>
      <c r="H55" s="51">
        <f>+'Tuition-4Yr'!H55+'State Appropriations-4Yr'!H55+'Local Appropriations-4Yr'!H55+'Fed Contracts Grnts-4Yr'!H55+'Other Contract Grnts-4Yr'!H55+'Investment Income-4Yr'!H55+'All Other E&amp;G-4Yr'!H55</f>
        <v>0</v>
      </c>
      <c r="I55" s="51">
        <f>+'Tuition-4Yr'!I55+'State Appropriations-4Yr'!I55+'Local Appropriations-4Yr'!I55+'Fed Contracts Grnts-4Yr'!I55+'Other Contract Grnts-4Yr'!I55+'Investment Income-4Yr'!I55+'All Other E&amp;G-4Yr'!I55</f>
        <v>0</v>
      </c>
      <c r="J55" s="51">
        <f>+'Tuition-4Yr'!J55+'State Appropriations-4Yr'!J55+'Local Appropriations-4Yr'!J55+'Fed Contracts Grnts-4Yr'!J55+'Other Contract Grnts-4Yr'!J55+'Investment Income-4Yr'!J55+'All Other E&amp;G-4Yr'!J55</f>
        <v>274786.68800000002</v>
      </c>
      <c r="K55" s="51">
        <f>+'Tuition-4Yr'!K55+'State Appropriations-4Yr'!K55+'Local Appropriations-4Yr'!K55+'Fed Contracts Grnts-4Yr'!K55+'Other Contract Grnts-4Yr'!K55+'Investment Income-4Yr'!K55+'All Other E&amp;G-4Yr'!K55</f>
        <v>0</v>
      </c>
      <c r="L55" s="51">
        <f>+'Tuition-4Yr'!L55+'State Appropriations-4Yr'!L55+'Local Appropriations-4Yr'!L55+'Fed Contracts Grnts-4Yr'!L55+'Other Contract Grnts-4Yr'!L55+'Investment Income-4Yr'!L55+'All Other E&amp;G-4Yr'!L55</f>
        <v>0</v>
      </c>
      <c r="M55" s="51">
        <f>+'Tuition-4Yr'!M55+'State Appropriations-4Yr'!M55+'Local Appropriations-4Yr'!M55+'Fed Contracts Grnts-4Yr'!M55+'Other Contract Grnts-4Yr'!M55+'Investment Income-4Yr'!M55+'All Other E&amp;G-4Yr'!M55</f>
        <v>306412.10700000008</v>
      </c>
      <c r="N55" s="51">
        <f>+'Tuition-4Yr'!N55+'State Appropriations-4Yr'!N55+'Local Appropriations-4Yr'!N55+'Fed Contracts Grnts-4Yr'!N55+'Other Contract Grnts-4Yr'!N55+'Investment Income-4Yr'!N55+'All Other E&amp;G-4Yr'!N55</f>
        <v>0</v>
      </c>
      <c r="O55" s="51">
        <f>+'Tuition-4Yr'!O55+'State Appropriations-4Yr'!O55+'Local Appropriations-4Yr'!O55+'Fed Contracts Grnts-4Yr'!O55+'Other Contract Grnts-4Yr'!O55+'Investment Income-4Yr'!O55+'All Other E&amp;G-4Yr'!O55</f>
        <v>350816.08899999998</v>
      </c>
      <c r="P55" s="51">
        <f>+'Tuition-4Yr'!P55+'State Appropriations-4Yr'!P55+'Local Appropriations-4Yr'!P55+'Fed Contracts Grnts-4Yr'!P55+'Other Contract Grnts-4Yr'!P55+'Investment Income-4Yr'!P55+'All Other E&amp;G-4Yr'!P55</f>
        <v>0</v>
      </c>
      <c r="Q55" s="51">
        <f>+'Tuition-4Yr'!Q55+'State Appropriations-4Yr'!Q55+'Local Appropriations-4Yr'!Q55+'Fed Contracts Grnts-4Yr'!Q55+'Other Contract Grnts-4Yr'!Q55+'Investment Income-4Yr'!Q55+'All Other E&amp;G-4Yr'!Q55</f>
        <v>0</v>
      </c>
      <c r="R55" s="51">
        <f>+'Tuition-4Yr'!R55+'State Appropriations-4Yr'!R55+'Local Appropriations-4Yr'!R55+'Fed Contracts Grnts-4Yr'!R55+'Other Contract Grnts-4Yr'!R55+'Investment Income-4Yr'!R55+'All Other E&amp;G-4Yr'!R55</f>
        <v>399818.79100000003</v>
      </c>
      <c r="S55" s="51">
        <f>+'Tuition-4Yr'!S55+'State Appropriations-4Yr'!S55+'Local Appropriations-4Yr'!S55+'Fed Contracts Grnts-4Yr'!S55+'Other Contract Grnts-4Yr'!S55+'Investment Income-4Yr'!S55+'All Other E&amp;G-4Yr'!S55</f>
        <v>426874.239</v>
      </c>
      <c r="T55" s="51">
        <f>+'Tuition-4Yr'!T55+'State Appropriations-4Yr'!T55+'Local Appropriations-4Yr'!T55+'Fed Contracts Grnts-4Yr'!T55+'Other Contract Grnts-4Yr'!T55+'Investment Income-4Yr'!T55+'All Other E&amp;G-4Yr'!T55</f>
        <v>466525.08599999995</v>
      </c>
      <c r="U55" s="51">
        <f>+'Tuition-4Yr'!U55+'State Appropriations-4Yr'!U55+'Local Appropriations-4Yr'!U55+'Fed Contracts Grnts-4Yr'!U55+'Other Contract Grnts-4Yr'!U55+'Investment Income-4Yr'!U55+'All Other E&amp;G-4Yr'!U55</f>
        <v>468250.70299999998</v>
      </c>
      <c r="V55" s="51">
        <f>+'Tuition-4Yr'!V55+'State Appropriations-4Yr'!V55+'Local Appropriations-4Yr'!V55+'Fed Contracts Grnts-4Yr'!V55+'Other Contract Grnts-4Yr'!V55+'Investment Income-4Yr'!V55+'All Other E&amp;G-4Yr'!V55</f>
        <v>495686.74099999998</v>
      </c>
      <c r="W55" s="51">
        <f>+'Tuition-4Yr'!W55+'State Appropriations-4Yr'!W55+'Local Appropriations-4Yr'!W55+'Fed Contracts Grnts-4Yr'!W55+'Other Contract Grnts-4Yr'!W55+'Investment Income-4Yr'!W55+'All Other E&amp;G-4Yr'!W55</f>
        <v>553603.54700000002</v>
      </c>
      <c r="X55" s="51">
        <f>+'Tuition-4Yr'!X55+'State Appropriations-4Yr'!X55+'Local Appropriations-4Yr'!X55+'Fed Contracts Grnts-4Yr'!X55+'Other Contract Grnts-4Yr'!X55+'Investment Income-4Yr'!X55+'All Other E&amp;G-4Yr'!X55</f>
        <v>519223.30599999998</v>
      </c>
      <c r="Y55" s="51">
        <f>+'Tuition-4Yr'!Y55+'State Appropriations-4Yr'!Y55+'Local Appropriations-4Yr'!Y55+'Fed Contracts Grnts-4Yr'!Y55+'Other Contract Grnts-4Yr'!Y55+'Investment Income-4Yr'!Y55+'All Other E&amp;G-4Yr'!Y55</f>
        <v>556327.66599999997</v>
      </c>
      <c r="Z55" s="51">
        <f>+'Tuition-4Yr'!Z55+'State Appropriations-4Yr'!Z55+'Local Appropriations-4Yr'!Z55+'Fed Contracts Grnts-4Yr'!Z55+'Other Contract Grnts-4Yr'!Z55+'Investment Income-4Yr'!Z55+'All Other E&amp;G-4Yr'!Z55</f>
        <v>563354.56799999997</v>
      </c>
      <c r="AA55" s="51">
        <f>+'Tuition-4Yr'!AA55+'State Appropriations-4Yr'!AA55+'Local Appropriations-4Yr'!AA55+'Fed Contracts Grnts-4Yr'!AA55+'Other Contract Grnts-4Yr'!AA55+'Investment Income-4Yr'!AA55+'All Other E&amp;G-4Yr'!AA55</f>
        <v>634657.69200000004</v>
      </c>
      <c r="AB55" s="51">
        <f>+'Tuition-4Yr'!AB55+'State Appropriations-4Yr'!AB55+'Local Appropriations-4Yr'!AB55+'Fed Contracts Grnts-4Yr'!AB55+'Other Contract Grnts-4Yr'!AB55+'Investment Income-4Yr'!AB55+'All Other E&amp;G-4Yr'!AB55</f>
        <v>683566.66499999992</v>
      </c>
      <c r="AC55" s="51">
        <f>+'Tuition-4Yr'!AC55+'State Appropriations-4Yr'!AC55+'Local Appropriations-4Yr'!AC55+'Fed Contracts Grnts-4Yr'!AC55+'Other Contract Grnts-4Yr'!AC55+'Investment Income-4Yr'!AC55+'All Other E&amp;G-4Yr'!AC55</f>
        <v>718800</v>
      </c>
      <c r="AD55" s="51">
        <f>+'Tuition-4Yr'!AD55+'State Appropriations-4Yr'!AD55+'Local Appropriations-4Yr'!AD55+'Fed Contracts Grnts-4Yr'!AD55+'Other Contract Grnts-4Yr'!AD55+'Investment Income-4Yr'!AD55+'All Other E&amp;G-4Yr'!AD55</f>
        <v>691627.49199999997</v>
      </c>
      <c r="AE55" s="51">
        <f>+'Tuition-4Yr'!AE55+'State Appropriations-4Yr'!AE55+'Local Appropriations-4Yr'!AE55+'Fed Contracts Grnts-4Yr'!AE55+'Other Contract Grnts-4Yr'!AE55+'Investment Income-4Yr'!AE55+'All Other E&amp;G-4Yr'!AE55</f>
        <v>678952.06199999992</v>
      </c>
      <c r="AF55" s="51">
        <f>+'Tuition-4Yr'!AF55+'State Appropriations-4Yr'!AF55+'Local Appropriations-4Yr'!AF55+'Fed Contracts Grnts-4Yr'!AF55+'Other Contract Grnts-4Yr'!AF55+'Investment Income-4Yr'!AF55+'All Other E&amp;G-4Yr'!AF55</f>
        <v>654401.10700000008</v>
      </c>
      <c r="AG55" s="51">
        <f>+'Tuition-4Yr'!AG55+'State Appropriations-4Yr'!AG55+'Local Appropriations-4Yr'!AG55+'Fed Contracts Grnts-4Yr'!AG55+'Other Contract Grnts-4Yr'!AG55+'Investment Income-4Yr'!AG55+'All Other E&amp;G-4Yr'!AG55</f>
        <v>665422.125</v>
      </c>
      <c r="AH55" s="51">
        <f>+'Tuition-4Yr'!AH55+'State Appropriations-4Yr'!AH55+'Local Appropriations-4Yr'!AH55+'Fed Contracts Grnts-4Yr'!AH55+'Other Contract Grnts-4Yr'!AH55+'Investment Income-4Yr'!AH55+'All Other E&amp;G-4Yr'!AH55</f>
        <v>693716.06099999999</v>
      </c>
      <c r="AI55" s="51">
        <f>+'Tuition-4Yr'!AI55+'State Appropriations-4Yr'!AI55+'Local Appropriations-4Yr'!AI55+'Fed Contracts Grnts-4Yr'!AI55+'Other Contract Grnts-4Yr'!AI55+'Investment Income-4Yr'!AI55+'All Other E&amp;G-4Yr'!AI55</f>
        <v>727821.13799999992</v>
      </c>
      <c r="AJ55" s="51">
        <f>+'Tuition-4Yr'!AJ55+'State Appropriations-4Yr'!AJ55+'Local Appropriations-4Yr'!AJ55+'Fed Contracts Grnts-4Yr'!AJ55+'Other Contract Grnts-4Yr'!AJ55+'Investment Income-4Yr'!AJ55+'All Other E&amp;G-4Yr'!AJ55</f>
        <v>0</v>
      </c>
      <c r="AK55" s="51">
        <f>+'Tuition-4Yr'!AK55+'State Appropriations-4Yr'!AK55+'Local Appropriations-4Yr'!AK55+'Fed Contracts Grnts-4Yr'!AK55+'Other Contract Grnts-4Yr'!AK55+'Investment Income-4Yr'!AK55+'All Other E&amp;G-4Yr'!AK55</f>
        <v>812872.22</v>
      </c>
      <c r="AL55" s="51">
        <f>+'Tuition-4Yr'!AL55+'State Appropriations-4Yr'!AL55+'Local Appropriations-4Yr'!AL55+'Fed Contracts Grnts-4Yr'!AL55+'Other Contract Grnts-4Yr'!AL55+'Investment Income-4Yr'!AL55+'All Other E&amp;G-4Yr'!AL55</f>
        <v>793403.42499999981</v>
      </c>
    </row>
    <row r="56" spans="1:38" ht="12.75" customHeight="1">
      <c r="A56" s="1" t="s">
        <v>68</v>
      </c>
      <c r="B56" s="51">
        <f>+'Tuition-4Yr'!B56+'State Appropriations-4Yr'!B56+'Local Appropriations-4Yr'!B56+'Fed Contracts Grnts-4Yr'!B56+'Other Contract Grnts-4Yr'!B56+'Investment Income-4Yr'!B56+'All Other E&amp;G-4Yr'!B56</f>
        <v>0</v>
      </c>
      <c r="C56" s="51">
        <f>+'Tuition-4Yr'!C56+'State Appropriations-4Yr'!C56+'Local Appropriations-4Yr'!C56+'Fed Contracts Grnts-4Yr'!C56+'Other Contract Grnts-4Yr'!C56+'Investment Income-4Yr'!C56+'All Other E&amp;G-4Yr'!C56</f>
        <v>0</v>
      </c>
      <c r="D56" s="51">
        <f>+'Tuition-4Yr'!D56+'State Appropriations-4Yr'!D56+'Local Appropriations-4Yr'!D56+'Fed Contracts Grnts-4Yr'!D56+'Other Contract Grnts-4Yr'!D56+'Investment Income-4Yr'!D56+'All Other E&amp;G-4Yr'!D56</f>
        <v>0</v>
      </c>
      <c r="E56" s="51">
        <f>+'Tuition-4Yr'!E56+'State Appropriations-4Yr'!E56+'Local Appropriations-4Yr'!E56+'Fed Contracts Grnts-4Yr'!E56+'Other Contract Grnts-4Yr'!E56+'Investment Income-4Yr'!E56+'All Other E&amp;G-4Yr'!E56</f>
        <v>0</v>
      </c>
      <c r="F56" s="51">
        <f>+'Tuition-4Yr'!F56+'State Appropriations-4Yr'!F56+'Local Appropriations-4Yr'!F56+'Fed Contracts Grnts-4Yr'!F56+'Other Contract Grnts-4Yr'!F56+'Investment Income-4Yr'!F56+'All Other E&amp;G-4Yr'!F56</f>
        <v>0</v>
      </c>
      <c r="G56" s="51">
        <f>+'Tuition-4Yr'!G56+'State Appropriations-4Yr'!G56+'Local Appropriations-4Yr'!G56+'Fed Contracts Grnts-4Yr'!G56+'Other Contract Grnts-4Yr'!G56+'Investment Income-4Yr'!G56+'All Other E&amp;G-4Yr'!G56</f>
        <v>0</v>
      </c>
      <c r="H56" s="51">
        <f>+'Tuition-4Yr'!H56+'State Appropriations-4Yr'!H56+'Local Appropriations-4Yr'!H56+'Fed Contracts Grnts-4Yr'!H56+'Other Contract Grnts-4Yr'!H56+'Investment Income-4Yr'!H56+'All Other E&amp;G-4Yr'!H56</f>
        <v>0</v>
      </c>
      <c r="I56" s="51">
        <f>+'Tuition-4Yr'!I56+'State Appropriations-4Yr'!I56+'Local Appropriations-4Yr'!I56+'Fed Contracts Grnts-4Yr'!I56+'Other Contract Grnts-4Yr'!I56+'Investment Income-4Yr'!I56+'All Other E&amp;G-4Yr'!I56</f>
        <v>0</v>
      </c>
      <c r="J56" s="51">
        <f>+'Tuition-4Yr'!J56+'State Appropriations-4Yr'!J56+'Local Appropriations-4Yr'!J56+'Fed Contracts Grnts-4Yr'!J56+'Other Contract Grnts-4Yr'!J56+'Investment Income-4Yr'!J56+'All Other E&amp;G-4Yr'!J56</f>
        <v>1002899.3780000001</v>
      </c>
      <c r="K56" s="51">
        <f>+'Tuition-4Yr'!K56+'State Appropriations-4Yr'!K56+'Local Appropriations-4Yr'!K56+'Fed Contracts Grnts-4Yr'!K56+'Other Contract Grnts-4Yr'!K56+'Investment Income-4Yr'!K56+'All Other E&amp;G-4Yr'!K56</f>
        <v>0</v>
      </c>
      <c r="L56" s="51">
        <f>+'Tuition-4Yr'!L56+'State Appropriations-4Yr'!L56+'Local Appropriations-4Yr'!L56+'Fed Contracts Grnts-4Yr'!L56+'Other Contract Grnts-4Yr'!L56+'Investment Income-4Yr'!L56+'All Other E&amp;G-4Yr'!L56</f>
        <v>0</v>
      </c>
      <c r="M56" s="51">
        <f>+'Tuition-4Yr'!M56+'State Appropriations-4Yr'!M56+'Local Appropriations-4Yr'!M56+'Fed Contracts Grnts-4Yr'!M56+'Other Contract Grnts-4Yr'!M56+'Investment Income-4Yr'!M56+'All Other E&amp;G-4Yr'!M56</f>
        <v>1093665.548</v>
      </c>
      <c r="N56" s="51">
        <f>+'Tuition-4Yr'!N56+'State Appropriations-4Yr'!N56+'Local Appropriations-4Yr'!N56+'Fed Contracts Grnts-4Yr'!N56+'Other Contract Grnts-4Yr'!N56+'Investment Income-4Yr'!N56+'All Other E&amp;G-4Yr'!N56</f>
        <v>0</v>
      </c>
      <c r="O56" s="51">
        <f>+'Tuition-4Yr'!O56+'State Appropriations-4Yr'!O56+'Local Appropriations-4Yr'!O56+'Fed Contracts Grnts-4Yr'!O56+'Other Contract Grnts-4Yr'!O56+'Investment Income-4Yr'!O56+'All Other E&amp;G-4Yr'!O56</f>
        <v>1259116.425</v>
      </c>
      <c r="P56" s="51">
        <f>+'Tuition-4Yr'!P56+'State Appropriations-4Yr'!P56+'Local Appropriations-4Yr'!P56+'Fed Contracts Grnts-4Yr'!P56+'Other Contract Grnts-4Yr'!P56+'Investment Income-4Yr'!P56+'All Other E&amp;G-4Yr'!P56</f>
        <v>0</v>
      </c>
      <c r="Q56" s="51">
        <f>+'Tuition-4Yr'!Q56+'State Appropriations-4Yr'!Q56+'Local Appropriations-4Yr'!Q56+'Fed Contracts Grnts-4Yr'!Q56+'Other Contract Grnts-4Yr'!Q56+'Investment Income-4Yr'!Q56+'All Other E&amp;G-4Yr'!Q56</f>
        <v>0</v>
      </c>
      <c r="R56" s="51">
        <f>+'Tuition-4Yr'!R56+'State Appropriations-4Yr'!R56+'Local Appropriations-4Yr'!R56+'Fed Contracts Grnts-4Yr'!R56+'Other Contract Grnts-4Yr'!R56+'Investment Income-4Yr'!R56+'All Other E&amp;G-4Yr'!R56</f>
        <v>1550130.54</v>
      </c>
      <c r="S56" s="51">
        <f>+'Tuition-4Yr'!S56+'State Appropriations-4Yr'!S56+'Local Appropriations-4Yr'!S56+'Fed Contracts Grnts-4Yr'!S56+'Other Contract Grnts-4Yr'!S56+'Investment Income-4Yr'!S56+'All Other E&amp;G-4Yr'!S56</f>
        <v>1641358.7849999999</v>
      </c>
      <c r="T56" s="51">
        <f>+'Tuition-4Yr'!T56+'State Appropriations-4Yr'!T56+'Local Appropriations-4Yr'!T56+'Fed Contracts Grnts-4Yr'!T56+'Other Contract Grnts-4Yr'!T56+'Investment Income-4Yr'!T56+'All Other E&amp;G-4Yr'!T56</f>
        <v>1747039.1230000001</v>
      </c>
      <c r="U56" s="51">
        <f>+'Tuition-4Yr'!U56+'State Appropriations-4Yr'!U56+'Local Appropriations-4Yr'!U56+'Fed Contracts Grnts-4Yr'!U56+'Other Contract Grnts-4Yr'!U56+'Investment Income-4Yr'!U56+'All Other E&amp;G-4Yr'!U56</f>
        <v>1735033.9809999999</v>
      </c>
      <c r="V56" s="51">
        <f>+'Tuition-4Yr'!V56+'State Appropriations-4Yr'!V56+'Local Appropriations-4Yr'!V56+'Fed Contracts Grnts-4Yr'!V56+'Other Contract Grnts-4Yr'!V56+'Investment Income-4Yr'!V56+'All Other E&amp;G-4Yr'!V56</f>
        <v>1856247.091</v>
      </c>
      <c r="W56" s="51">
        <f>+'Tuition-4Yr'!W56+'State Appropriations-4Yr'!W56+'Local Appropriations-4Yr'!W56+'Fed Contracts Grnts-4Yr'!W56+'Other Contract Grnts-4Yr'!W56+'Investment Income-4Yr'!W56+'All Other E&amp;G-4Yr'!W56</f>
        <v>2353799.2450000001</v>
      </c>
      <c r="X56" s="51">
        <f>+'Tuition-4Yr'!X56+'State Appropriations-4Yr'!X56+'Local Appropriations-4Yr'!X56+'Fed Contracts Grnts-4Yr'!X56+'Other Contract Grnts-4Yr'!X56+'Investment Income-4Yr'!X56+'All Other E&amp;G-4Yr'!X56</f>
        <v>2352003.7259999998</v>
      </c>
      <c r="Y56" s="51">
        <f>+'Tuition-4Yr'!Y56+'State Appropriations-4Yr'!Y56+'Local Appropriations-4Yr'!Y56+'Fed Contracts Grnts-4Yr'!Y56+'Other Contract Grnts-4Yr'!Y56+'Investment Income-4Yr'!Y56+'All Other E&amp;G-4Yr'!Y56</f>
        <v>2574190.7069999999</v>
      </c>
      <c r="Z56" s="51">
        <f>+'Tuition-4Yr'!Z56+'State Appropriations-4Yr'!Z56+'Local Appropriations-4Yr'!Z56+'Fed Contracts Grnts-4Yr'!Z56+'Other Contract Grnts-4Yr'!Z56+'Investment Income-4Yr'!Z56+'All Other E&amp;G-4Yr'!Z56</f>
        <v>2599633.548</v>
      </c>
      <c r="AA56" s="51">
        <f>+'Tuition-4Yr'!AA56+'State Appropriations-4Yr'!AA56+'Local Appropriations-4Yr'!AA56+'Fed Contracts Grnts-4Yr'!AA56+'Other Contract Grnts-4Yr'!AA56+'Investment Income-4Yr'!AA56+'All Other E&amp;G-4Yr'!AA56</f>
        <v>1977726.02</v>
      </c>
      <c r="AB56" s="51">
        <f>+'Tuition-4Yr'!AB56+'State Appropriations-4Yr'!AB56+'Local Appropriations-4Yr'!AB56+'Fed Contracts Grnts-4Yr'!AB56+'Other Contract Grnts-4Yr'!AB56+'Investment Income-4Yr'!AB56+'All Other E&amp;G-4Yr'!AB56</f>
        <v>3089212.173</v>
      </c>
      <c r="AC56" s="51">
        <f>+'Tuition-4Yr'!AC56+'State Appropriations-4Yr'!AC56+'Local Appropriations-4Yr'!AC56+'Fed Contracts Grnts-4Yr'!AC56+'Other Contract Grnts-4Yr'!AC56+'Investment Income-4Yr'!AC56+'All Other E&amp;G-4Yr'!AC56</f>
        <v>3285727</v>
      </c>
      <c r="AD56" s="51">
        <f>+'Tuition-4Yr'!AD56+'State Appropriations-4Yr'!AD56+'Local Appropriations-4Yr'!AD56+'Fed Contracts Grnts-4Yr'!AD56+'Other Contract Grnts-4Yr'!AD56+'Investment Income-4Yr'!AD56+'All Other E&amp;G-4Yr'!AD56</f>
        <v>3205304.406</v>
      </c>
      <c r="AE56" s="51">
        <f>+'Tuition-4Yr'!AE56+'State Appropriations-4Yr'!AE56+'Local Appropriations-4Yr'!AE56+'Fed Contracts Grnts-4Yr'!AE56+'Other Contract Grnts-4Yr'!AE56+'Investment Income-4Yr'!AE56+'All Other E&amp;G-4Yr'!AE56</f>
        <v>3387513.5689999992</v>
      </c>
      <c r="AF56" s="51">
        <f>+'Tuition-4Yr'!AF56+'State Appropriations-4Yr'!AF56+'Local Appropriations-4Yr'!AF56+'Fed Contracts Grnts-4Yr'!AF56+'Other Contract Grnts-4Yr'!AF56+'Investment Income-4Yr'!AF56+'All Other E&amp;G-4Yr'!AF56</f>
        <v>3547130.801</v>
      </c>
      <c r="AG56" s="51">
        <f>+'Tuition-4Yr'!AG56+'State Appropriations-4Yr'!AG56+'Local Appropriations-4Yr'!AG56+'Fed Contracts Grnts-4Yr'!AG56+'Other Contract Grnts-4Yr'!AG56+'Investment Income-4Yr'!AG56+'All Other E&amp;G-4Yr'!AG56</f>
        <v>3530694.8810000001</v>
      </c>
      <c r="AH56" s="51">
        <f>+'Tuition-4Yr'!AH56+'State Appropriations-4Yr'!AH56+'Local Appropriations-4Yr'!AH56+'Fed Contracts Grnts-4Yr'!AH56+'Other Contract Grnts-4Yr'!AH56+'Investment Income-4Yr'!AH56+'All Other E&amp;G-4Yr'!AH56</f>
        <v>3860550.7110000001</v>
      </c>
      <c r="AI56" s="51">
        <f>+'Tuition-4Yr'!AI56+'State Appropriations-4Yr'!AI56+'Local Appropriations-4Yr'!AI56+'Fed Contracts Grnts-4Yr'!AI56+'Other Contract Grnts-4Yr'!AI56+'Investment Income-4Yr'!AI56+'All Other E&amp;G-4Yr'!AI56</f>
        <v>4049231.2139999997</v>
      </c>
      <c r="AJ56" s="51">
        <f>+'Tuition-4Yr'!AJ56+'State Appropriations-4Yr'!AJ56+'Local Appropriations-4Yr'!AJ56+'Fed Contracts Grnts-4Yr'!AJ56+'Other Contract Grnts-4Yr'!AJ56+'Investment Income-4Yr'!AJ56+'All Other E&amp;G-4Yr'!AJ56</f>
        <v>0</v>
      </c>
      <c r="AK56" s="51">
        <f>+'Tuition-4Yr'!AK56+'State Appropriations-4Yr'!AK56+'Local Appropriations-4Yr'!AK56+'Fed Contracts Grnts-4Yr'!AK56+'Other Contract Grnts-4Yr'!AK56+'Investment Income-4Yr'!AK56+'All Other E&amp;G-4Yr'!AK56</f>
        <v>4357060.7849999992</v>
      </c>
      <c r="AL56" s="51">
        <f>+'Tuition-4Yr'!AL56+'State Appropriations-4Yr'!AL56+'Local Appropriations-4Yr'!AL56+'Fed Contracts Grnts-4Yr'!AL56+'Other Contract Grnts-4Yr'!AL56+'Investment Income-4Yr'!AL56+'All Other E&amp;G-4Yr'!AL56</f>
        <v>4342684.5309999995</v>
      </c>
    </row>
    <row r="57" spans="1:38" ht="12.75" customHeight="1">
      <c r="A57" s="1" t="s">
        <v>69</v>
      </c>
      <c r="B57" s="51">
        <f>+'Tuition-4Yr'!B57+'State Appropriations-4Yr'!B57+'Local Appropriations-4Yr'!B57+'Fed Contracts Grnts-4Yr'!B57+'Other Contract Grnts-4Yr'!B57+'Investment Income-4Yr'!B57+'All Other E&amp;G-4Yr'!B57</f>
        <v>0</v>
      </c>
      <c r="C57" s="51">
        <f>+'Tuition-4Yr'!C57+'State Appropriations-4Yr'!C57+'Local Appropriations-4Yr'!C57+'Fed Contracts Grnts-4Yr'!C57+'Other Contract Grnts-4Yr'!C57+'Investment Income-4Yr'!C57+'All Other E&amp;G-4Yr'!C57</f>
        <v>0</v>
      </c>
      <c r="D57" s="51">
        <f>+'Tuition-4Yr'!D57+'State Appropriations-4Yr'!D57+'Local Appropriations-4Yr'!D57+'Fed Contracts Grnts-4Yr'!D57+'Other Contract Grnts-4Yr'!D57+'Investment Income-4Yr'!D57+'All Other E&amp;G-4Yr'!D57</f>
        <v>0</v>
      </c>
      <c r="E57" s="51">
        <f>+'Tuition-4Yr'!E57+'State Appropriations-4Yr'!E57+'Local Appropriations-4Yr'!E57+'Fed Contracts Grnts-4Yr'!E57+'Other Contract Grnts-4Yr'!E57+'Investment Income-4Yr'!E57+'All Other E&amp;G-4Yr'!E57</f>
        <v>0</v>
      </c>
      <c r="F57" s="51">
        <f>+'Tuition-4Yr'!F57+'State Appropriations-4Yr'!F57+'Local Appropriations-4Yr'!F57+'Fed Contracts Grnts-4Yr'!F57+'Other Contract Grnts-4Yr'!F57+'Investment Income-4Yr'!F57+'All Other E&amp;G-4Yr'!F57</f>
        <v>0</v>
      </c>
      <c r="G57" s="51">
        <f>+'Tuition-4Yr'!G57+'State Appropriations-4Yr'!G57+'Local Appropriations-4Yr'!G57+'Fed Contracts Grnts-4Yr'!G57+'Other Contract Grnts-4Yr'!G57+'Investment Income-4Yr'!G57+'All Other E&amp;G-4Yr'!G57</f>
        <v>0</v>
      </c>
      <c r="H57" s="51">
        <f>+'Tuition-4Yr'!H57+'State Appropriations-4Yr'!H57+'Local Appropriations-4Yr'!H57+'Fed Contracts Grnts-4Yr'!H57+'Other Contract Grnts-4Yr'!H57+'Investment Income-4Yr'!H57+'All Other E&amp;G-4Yr'!H57</f>
        <v>0</v>
      </c>
      <c r="I57" s="51">
        <f>+'Tuition-4Yr'!I57+'State Appropriations-4Yr'!I57+'Local Appropriations-4Yr'!I57+'Fed Contracts Grnts-4Yr'!I57+'Other Contract Grnts-4Yr'!I57+'Investment Income-4Yr'!I57+'All Other E&amp;G-4Yr'!I57</f>
        <v>0</v>
      </c>
      <c r="J57" s="51">
        <f>+'Tuition-4Yr'!J57+'State Appropriations-4Yr'!J57+'Local Appropriations-4Yr'!J57+'Fed Contracts Grnts-4Yr'!J57+'Other Contract Grnts-4Yr'!J57+'Investment Income-4Yr'!J57+'All Other E&amp;G-4Yr'!J57</f>
        <v>240167.79499999998</v>
      </c>
      <c r="K57" s="51">
        <f>+'Tuition-4Yr'!K57+'State Appropriations-4Yr'!K57+'Local Appropriations-4Yr'!K57+'Fed Contracts Grnts-4Yr'!K57+'Other Contract Grnts-4Yr'!K57+'Investment Income-4Yr'!K57+'All Other E&amp;G-4Yr'!K57</f>
        <v>0</v>
      </c>
      <c r="L57" s="51">
        <f>+'Tuition-4Yr'!L57+'State Appropriations-4Yr'!L57+'Local Appropriations-4Yr'!L57+'Fed Contracts Grnts-4Yr'!L57+'Other Contract Grnts-4Yr'!L57+'Investment Income-4Yr'!L57+'All Other E&amp;G-4Yr'!L57</f>
        <v>0</v>
      </c>
      <c r="M57" s="51">
        <f>+'Tuition-4Yr'!M57+'State Appropriations-4Yr'!M57+'Local Appropriations-4Yr'!M57+'Fed Contracts Grnts-4Yr'!M57+'Other Contract Grnts-4Yr'!M57+'Investment Income-4Yr'!M57+'All Other E&amp;G-4Yr'!M57</f>
        <v>284653.86</v>
      </c>
      <c r="N57" s="51">
        <f>+'Tuition-4Yr'!N57+'State Appropriations-4Yr'!N57+'Local Appropriations-4Yr'!N57+'Fed Contracts Grnts-4Yr'!N57+'Other Contract Grnts-4Yr'!N57+'Investment Income-4Yr'!N57+'All Other E&amp;G-4Yr'!N57</f>
        <v>0</v>
      </c>
      <c r="O57" s="51">
        <f>+'Tuition-4Yr'!O57+'State Appropriations-4Yr'!O57+'Local Appropriations-4Yr'!O57+'Fed Contracts Grnts-4Yr'!O57+'Other Contract Grnts-4Yr'!O57+'Investment Income-4Yr'!O57+'All Other E&amp;G-4Yr'!O57</f>
        <v>306880.39600000001</v>
      </c>
      <c r="P57" s="51">
        <f>+'Tuition-4Yr'!P57+'State Appropriations-4Yr'!P57+'Local Appropriations-4Yr'!P57+'Fed Contracts Grnts-4Yr'!P57+'Other Contract Grnts-4Yr'!P57+'Investment Income-4Yr'!P57+'All Other E&amp;G-4Yr'!P57</f>
        <v>0</v>
      </c>
      <c r="Q57" s="51">
        <f>+'Tuition-4Yr'!Q57+'State Appropriations-4Yr'!Q57+'Local Appropriations-4Yr'!Q57+'Fed Contracts Grnts-4Yr'!Q57+'Other Contract Grnts-4Yr'!Q57+'Investment Income-4Yr'!Q57+'All Other E&amp;G-4Yr'!Q57</f>
        <v>0</v>
      </c>
      <c r="R57" s="51">
        <f>+'Tuition-4Yr'!R57+'State Appropriations-4Yr'!R57+'Local Appropriations-4Yr'!R57+'Fed Contracts Grnts-4Yr'!R57+'Other Contract Grnts-4Yr'!R57+'Investment Income-4Yr'!R57+'All Other E&amp;G-4Yr'!R57</f>
        <v>365453.995</v>
      </c>
      <c r="S57" s="51">
        <f>+'Tuition-4Yr'!S57+'State Appropriations-4Yr'!S57+'Local Appropriations-4Yr'!S57+'Fed Contracts Grnts-4Yr'!S57+'Other Contract Grnts-4Yr'!S57+'Investment Income-4Yr'!S57+'All Other E&amp;G-4Yr'!S57</f>
        <v>390724.39200000005</v>
      </c>
      <c r="T57" s="51">
        <f>+'Tuition-4Yr'!T57+'State Appropriations-4Yr'!T57+'Local Appropriations-4Yr'!T57+'Fed Contracts Grnts-4Yr'!T57+'Other Contract Grnts-4Yr'!T57+'Investment Income-4Yr'!T57+'All Other E&amp;G-4Yr'!T57</f>
        <v>425983.36000000004</v>
      </c>
      <c r="U57" s="51">
        <f>+'Tuition-4Yr'!U57+'State Appropriations-4Yr'!U57+'Local Appropriations-4Yr'!U57+'Fed Contracts Grnts-4Yr'!U57+'Other Contract Grnts-4Yr'!U57+'Investment Income-4Yr'!U57+'All Other E&amp;G-4Yr'!U57</f>
        <v>390678.11800000007</v>
      </c>
      <c r="V57" s="51">
        <f>+'Tuition-4Yr'!V57+'State Appropriations-4Yr'!V57+'Local Appropriations-4Yr'!V57+'Fed Contracts Grnts-4Yr'!V57+'Other Contract Grnts-4Yr'!V57+'Investment Income-4Yr'!V57+'All Other E&amp;G-4Yr'!V57</f>
        <v>417842.48700000002</v>
      </c>
      <c r="W57" s="51">
        <f>+'Tuition-4Yr'!W57+'State Appropriations-4Yr'!W57+'Local Appropriations-4Yr'!W57+'Fed Contracts Grnts-4Yr'!W57+'Other Contract Grnts-4Yr'!W57+'Investment Income-4Yr'!W57+'All Other E&amp;G-4Yr'!W57</f>
        <v>502360.86800000002</v>
      </c>
      <c r="X57" s="51">
        <f>+'Tuition-4Yr'!X57+'State Appropriations-4Yr'!X57+'Local Appropriations-4Yr'!X57+'Fed Contracts Grnts-4Yr'!X57+'Other Contract Grnts-4Yr'!X57+'Investment Income-4Yr'!X57+'All Other E&amp;G-4Yr'!X57</f>
        <v>472254.44999999995</v>
      </c>
      <c r="Y57" s="51">
        <f>+'Tuition-4Yr'!Y57+'State Appropriations-4Yr'!Y57+'Local Appropriations-4Yr'!Y57+'Fed Contracts Grnts-4Yr'!Y57+'Other Contract Grnts-4Yr'!Y57+'Investment Income-4Yr'!Y57+'All Other E&amp;G-4Yr'!Y57</f>
        <v>491574.66100000002</v>
      </c>
      <c r="Z57" s="51">
        <f>+'Tuition-4Yr'!Z57+'State Appropriations-4Yr'!Z57+'Local Appropriations-4Yr'!Z57+'Fed Contracts Grnts-4Yr'!Z57+'Other Contract Grnts-4Yr'!Z57+'Investment Income-4Yr'!Z57+'All Other E&amp;G-4Yr'!Z57</f>
        <v>511194.32</v>
      </c>
      <c r="AA57" s="51">
        <f>+'Tuition-4Yr'!AA57+'State Appropriations-4Yr'!AA57+'Local Appropriations-4Yr'!AA57+'Fed Contracts Grnts-4Yr'!AA57+'Other Contract Grnts-4Yr'!AA57+'Investment Income-4Yr'!AA57+'All Other E&amp;G-4Yr'!AA57</f>
        <v>545880.897</v>
      </c>
      <c r="AB57" s="51">
        <f>+'Tuition-4Yr'!AB57+'State Appropriations-4Yr'!AB57+'Local Appropriations-4Yr'!AB57+'Fed Contracts Grnts-4Yr'!AB57+'Other Contract Grnts-4Yr'!AB57+'Investment Income-4Yr'!AB57+'All Other E&amp;G-4Yr'!AB57</f>
        <v>648078.49200000009</v>
      </c>
      <c r="AC57" s="51">
        <f>+'Tuition-4Yr'!AC57+'State Appropriations-4Yr'!AC57+'Local Appropriations-4Yr'!AC57+'Fed Contracts Grnts-4Yr'!AC57+'Other Contract Grnts-4Yr'!AC57+'Investment Income-4Yr'!AC57+'All Other E&amp;G-4Yr'!AC57</f>
        <v>706723</v>
      </c>
      <c r="AD57" s="51">
        <f>+'Tuition-4Yr'!AD57+'State Appropriations-4Yr'!AD57+'Local Appropriations-4Yr'!AD57+'Fed Contracts Grnts-4Yr'!AD57+'Other Contract Grnts-4Yr'!AD57+'Investment Income-4Yr'!AD57+'All Other E&amp;G-4Yr'!AD57</f>
        <v>698310.54000000015</v>
      </c>
      <c r="AE57" s="51">
        <f>+'Tuition-4Yr'!AE57+'State Appropriations-4Yr'!AE57+'Local Appropriations-4Yr'!AE57+'Fed Contracts Grnts-4Yr'!AE57+'Other Contract Grnts-4Yr'!AE57+'Investment Income-4Yr'!AE57+'All Other E&amp;G-4Yr'!AE57</f>
        <v>733416.66899999999</v>
      </c>
      <c r="AF57" s="51">
        <f>+'Tuition-4Yr'!AF57+'State Appropriations-4Yr'!AF57+'Local Appropriations-4Yr'!AF57+'Fed Contracts Grnts-4Yr'!AF57+'Other Contract Grnts-4Yr'!AF57+'Investment Income-4Yr'!AF57+'All Other E&amp;G-4Yr'!AF57</f>
        <v>743173.27499999991</v>
      </c>
      <c r="AG57" s="51">
        <f>+'Tuition-4Yr'!AG57+'State Appropriations-4Yr'!AG57+'Local Appropriations-4Yr'!AG57+'Fed Contracts Grnts-4Yr'!AG57+'Other Contract Grnts-4Yr'!AG57+'Investment Income-4Yr'!AG57+'All Other E&amp;G-4Yr'!AG57</f>
        <v>764395.03</v>
      </c>
      <c r="AH57" s="51">
        <f>+'Tuition-4Yr'!AH57+'State Appropriations-4Yr'!AH57+'Local Appropriations-4Yr'!AH57+'Fed Contracts Grnts-4Yr'!AH57+'Other Contract Grnts-4Yr'!AH57+'Investment Income-4Yr'!AH57+'All Other E&amp;G-4Yr'!AH57</f>
        <v>774453.22799999989</v>
      </c>
      <c r="AI57" s="51">
        <f>+'Tuition-4Yr'!AI57+'State Appropriations-4Yr'!AI57+'Local Appropriations-4Yr'!AI57+'Fed Contracts Grnts-4Yr'!AI57+'Other Contract Grnts-4Yr'!AI57+'Investment Income-4Yr'!AI57+'All Other E&amp;G-4Yr'!AI57</f>
        <v>796885.57700000005</v>
      </c>
      <c r="AJ57" s="51">
        <f>+'Tuition-4Yr'!AJ57+'State Appropriations-4Yr'!AJ57+'Local Appropriations-4Yr'!AJ57+'Fed Contracts Grnts-4Yr'!AJ57+'Other Contract Grnts-4Yr'!AJ57+'Investment Income-4Yr'!AJ57+'All Other E&amp;G-4Yr'!AJ57</f>
        <v>0</v>
      </c>
      <c r="AK57" s="51">
        <f>+'Tuition-4Yr'!AK57+'State Appropriations-4Yr'!AK57+'Local Appropriations-4Yr'!AK57+'Fed Contracts Grnts-4Yr'!AK57+'Other Contract Grnts-4Yr'!AK57+'Investment Income-4Yr'!AK57+'All Other E&amp;G-4Yr'!AK57</f>
        <v>835751.09699999995</v>
      </c>
      <c r="AL57" s="51">
        <f>+'Tuition-4Yr'!AL57+'State Appropriations-4Yr'!AL57+'Local Appropriations-4Yr'!AL57+'Fed Contracts Grnts-4Yr'!AL57+'Other Contract Grnts-4Yr'!AL57+'Investment Income-4Yr'!AL57+'All Other E&amp;G-4Yr'!AL57</f>
        <v>830125.38</v>
      </c>
    </row>
    <row r="58" spans="1:38" ht="12.75" customHeight="1">
      <c r="A58" s="1" t="s">
        <v>70</v>
      </c>
      <c r="B58" s="51">
        <f>+'Tuition-4Yr'!B58+'State Appropriations-4Yr'!B58+'Local Appropriations-4Yr'!B58+'Fed Contracts Grnts-4Yr'!B58+'Other Contract Grnts-4Yr'!B58+'Investment Income-4Yr'!B58+'All Other E&amp;G-4Yr'!B58</f>
        <v>0</v>
      </c>
      <c r="C58" s="51">
        <f>+'Tuition-4Yr'!C58+'State Appropriations-4Yr'!C58+'Local Appropriations-4Yr'!C58+'Fed Contracts Grnts-4Yr'!C58+'Other Contract Grnts-4Yr'!C58+'Investment Income-4Yr'!C58+'All Other E&amp;G-4Yr'!C58</f>
        <v>0</v>
      </c>
      <c r="D58" s="51">
        <f>+'Tuition-4Yr'!D58+'State Appropriations-4Yr'!D58+'Local Appropriations-4Yr'!D58+'Fed Contracts Grnts-4Yr'!D58+'Other Contract Grnts-4Yr'!D58+'Investment Income-4Yr'!D58+'All Other E&amp;G-4Yr'!D58</f>
        <v>0</v>
      </c>
      <c r="E58" s="51">
        <f>+'Tuition-4Yr'!E58+'State Appropriations-4Yr'!E58+'Local Appropriations-4Yr'!E58+'Fed Contracts Grnts-4Yr'!E58+'Other Contract Grnts-4Yr'!E58+'Investment Income-4Yr'!E58+'All Other E&amp;G-4Yr'!E58</f>
        <v>0</v>
      </c>
      <c r="F58" s="51">
        <f>+'Tuition-4Yr'!F58+'State Appropriations-4Yr'!F58+'Local Appropriations-4Yr'!F58+'Fed Contracts Grnts-4Yr'!F58+'Other Contract Grnts-4Yr'!F58+'Investment Income-4Yr'!F58+'All Other E&amp;G-4Yr'!F58</f>
        <v>0</v>
      </c>
      <c r="G58" s="51">
        <f>+'Tuition-4Yr'!G58+'State Appropriations-4Yr'!G58+'Local Appropriations-4Yr'!G58+'Fed Contracts Grnts-4Yr'!G58+'Other Contract Grnts-4Yr'!G58+'Investment Income-4Yr'!G58+'All Other E&amp;G-4Yr'!G58</f>
        <v>0</v>
      </c>
      <c r="H58" s="51">
        <f>+'Tuition-4Yr'!H58+'State Appropriations-4Yr'!H58+'Local Appropriations-4Yr'!H58+'Fed Contracts Grnts-4Yr'!H58+'Other Contract Grnts-4Yr'!H58+'Investment Income-4Yr'!H58+'All Other E&amp;G-4Yr'!H58</f>
        <v>0</v>
      </c>
      <c r="I58" s="51">
        <f>+'Tuition-4Yr'!I58+'State Appropriations-4Yr'!I58+'Local Appropriations-4Yr'!I58+'Fed Contracts Grnts-4Yr'!I58+'Other Contract Grnts-4Yr'!I58+'Investment Income-4Yr'!I58+'All Other E&amp;G-4Yr'!I58</f>
        <v>0</v>
      </c>
      <c r="J58" s="51">
        <f>+'Tuition-4Yr'!J58+'State Appropriations-4Yr'!J58+'Local Appropriations-4Yr'!J58+'Fed Contracts Grnts-4Yr'!J58+'Other Contract Grnts-4Yr'!J58+'Investment Income-4Yr'!J58+'All Other E&amp;G-4Yr'!J58</f>
        <v>955620.54899999988</v>
      </c>
      <c r="K58" s="51">
        <f>+'Tuition-4Yr'!K58+'State Appropriations-4Yr'!K58+'Local Appropriations-4Yr'!K58+'Fed Contracts Grnts-4Yr'!K58+'Other Contract Grnts-4Yr'!K58+'Investment Income-4Yr'!K58+'All Other E&amp;G-4Yr'!K58</f>
        <v>0</v>
      </c>
      <c r="L58" s="51">
        <f>+'Tuition-4Yr'!L58+'State Appropriations-4Yr'!L58+'Local Appropriations-4Yr'!L58+'Fed Contracts Grnts-4Yr'!L58+'Other Contract Grnts-4Yr'!L58+'Investment Income-4Yr'!L58+'All Other E&amp;G-4Yr'!L58</f>
        <v>0</v>
      </c>
      <c r="M58" s="51">
        <f>+'Tuition-4Yr'!M58+'State Appropriations-4Yr'!M58+'Local Appropriations-4Yr'!M58+'Fed Contracts Grnts-4Yr'!M58+'Other Contract Grnts-4Yr'!M58+'Investment Income-4Yr'!M58+'All Other E&amp;G-4Yr'!M58</f>
        <v>1142867.307</v>
      </c>
      <c r="N58" s="51">
        <f>+'Tuition-4Yr'!N58+'State Appropriations-4Yr'!N58+'Local Appropriations-4Yr'!N58+'Fed Contracts Grnts-4Yr'!N58+'Other Contract Grnts-4Yr'!N58+'Investment Income-4Yr'!N58+'All Other E&amp;G-4Yr'!N58</f>
        <v>0</v>
      </c>
      <c r="O58" s="51">
        <f>+'Tuition-4Yr'!O58+'State Appropriations-4Yr'!O58+'Local Appropriations-4Yr'!O58+'Fed Contracts Grnts-4Yr'!O58+'Other Contract Grnts-4Yr'!O58+'Investment Income-4Yr'!O58+'All Other E&amp;G-4Yr'!O58</f>
        <v>2132895.4810000001</v>
      </c>
      <c r="P58" s="51">
        <f>+'Tuition-4Yr'!P58+'State Appropriations-4Yr'!P58+'Local Appropriations-4Yr'!P58+'Fed Contracts Grnts-4Yr'!P58+'Other Contract Grnts-4Yr'!P58+'Investment Income-4Yr'!P58+'All Other E&amp;G-4Yr'!P58</f>
        <v>0</v>
      </c>
      <c r="Q58" s="51">
        <f>+'Tuition-4Yr'!Q58+'State Appropriations-4Yr'!Q58+'Local Appropriations-4Yr'!Q58+'Fed Contracts Grnts-4Yr'!Q58+'Other Contract Grnts-4Yr'!Q58+'Investment Income-4Yr'!Q58+'All Other E&amp;G-4Yr'!Q58</f>
        <v>0</v>
      </c>
      <c r="R58" s="51">
        <f>+'Tuition-4Yr'!R58+'State Appropriations-4Yr'!R58+'Local Appropriations-4Yr'!R58+'Fed Contracts Grnts-4Yr'!R58+'Other Contract Grnts-4Yr'!R58+'Investment Income-4Yr'!R58+'All Other E&amp;G-4Yr'!R58</f>
        <v>1529728.078</v>
      </c>
      <c r="S58" s="51">
        <f>+'Tuition-4Yr'!S58+'State Appropriations-4Yr'!S58+'Local Appropriations-4Yr'!S58+'Fed Contracts Grnts-4Yr'!S58+'Other Contract Grnts-4Yr'!S58+'Investment Income-4Yr'!S58+'All Other E&amp;G-4Yr'!S58</f>
        <v>1672962.875</v>
      </c>
      <c r="T58" s="51">
        <f>+'Tuition-4Yr'!T58+'State Appropriations-4Yr'!T58+'Local Appropriations-4Yr'!T58+'Fed Contracts Grnts-4Yr'!T58+'Other Contract Grnts-4Yr'!T58+'Investment Income-4Yr'!T58+'All Other E&amp;G-4Yr'!T58</f>
        <v>1841040.9380000001</v>
      </c>
      <c r="U58" s="51">
        <f>+'Tuition-4Yr'!U58+'State Appropriations-4Yr'!U58+'Local Appropriations-4Yr'!U58+'Fed Contracts Grnts-4Yr'!U58+'Other Contract Grnts-4Yr'!U58+'Investment Income-4Yr'!U58+'All Other E&amp;G-4Yr'!U58</f>
        <v>1925454.236</v>
      </c>
      <c r="V58" s="51">
        <f>+'Tuition-4Yr'!V58+'State Appropriations-4Yr'!V58+'Local Appropriations-4Yr'!V58+'Fed Contracts Grnts-4Yr'!V58+'Other Contract Grnts-4Yr'!V58+'Investment Income-4Yr'!V58+'All Other E&amp;G-4Yr'!V58</f>
        <v>2025244.3529999999</v>
      </c>
      <c r="W58" s="51">
        <f>+'Tuition-4Yr'!W58+'State Appropriations-4Yr'!W58+'Local Appropriations-4Yr'!W58+'Fed Contracts Grnts-4Yr'!W58+'Other Contract Grnts-4Yr'!W58+'Investment Income-4Yr'!W58+'All Other E&amp;G-4Yr'!W58</f>
        <v>3672767.3819999998</v>
      </c>
      <c r="X58" s="51">
        <f>+'Tuition-4Yr'!X58+'State Appropriations-4Yr'!X58+'Local Appropriations-4Yr'!X58+'Fed Contracts Grnts-4Yr'!X58+'Other Contract Grnts-4Yr'!X58+'Investment Income-4Yr'!X58+'All Other E&amp;G-4Yr'!X58</f>
        <v>3576995.7319999998</v>
      </c>
      <c r="Y58" s="51">
        <f>+'Tuition-4Yr'!Y58+'State Appropriations-4Yr'!Y58+'Local Appropriations-4Yr'!Y58+'Fed Contracts Grnts-4Yr'!Y58+'Other Contract Grnts-4Yr'!Y58+'Investment Income-4Yr'!Y58+'All Other E&amp;G-4Yr'!Y58</f>
        <v>3774985.9860000005</v>
      </c>
      <c r="Z58" s="51">
        <f>+'Tuition-4Yr'!Z58+'State Appropriations-4Yr'!Z58+'Local Appropriations-4Yr'!Z58+'Fed Contracts Grnts-4Yr'!Z58+'Other Contract Grnts-4Yr'!Z58+'Investment Income-4Yr'!Z58+'All Other E&amp;G-4Yr'!Z58</f>
        <v>3905619.8189999997</v>
      </c>
      <c r="AA58" s="51">
        <f>+'Tuition-4Yr'!AA58+'State Appropriations-4Yr'!AA58+'Local Appropriations-4Yr'!AA58+'Fed Contracts Grnts-4Yr'!AA58+'Other Contract Grnts-4Yr'!AA58+'Investment Income-4Yr'!AA58+'All Other E&amp;G-4Yr'!AA58</f>
        <v>3442061.091</v>
      </c>
      <c r="AB58" s="51">
        <f>+'Tuition-4Yr'!AB58+'State Appropriations-4Yr'!AB58+'Local Appropriations-4Yr'!AB58+'Fed Contracts Grnts-4Yr'!AB58+'Other Contract Grnts-4Yr'!AB58+'Investment Income-4Yr'!AB58+'All Other E&amp;G-4Yr'!AB58</f>
        <v>4632658.7720000008</v>
      </c>
      <c r="AC58" s="51">
        <f>+'Tuition-4Yr'!AC58+'State Appropriations-4Yr'!AC58+'Local Appropriations-4Yr'!AC58+'Fed Contracts Grnts-4Yr'!AC58+'Other Contract Grnts-4Yr'!AC58+'Investment Income-4Yr'!AC58+'All Other E&amp;G-4Yr'!AC58</f>
        <v>4808381</v>
      </c>
      <c r="AD58" s="51">
        <f>+'Tuition-4Yr'!AD58+'State Appropriations-4Yr'!AD58+'Local Appropriations-4Yr'!AD58+'Fed Contracts Grnts-4Yr'!AD58+'Other Contract Grnts-4Yr'!AD58+'Investment Income-4Yr'!AD58+'All Other E&amp;G-4Yr'!AD58</f>
        <v>4852708.2209999999</v>
      </c>
      <c r="AE58" s="51">
        <f>+'Tuition-4Yr'!AE58+'State Appropriations-4Yr'!AE58+'Local Appropriations-4Yr'!AE58+'Fed Contracts Grnts-4Yr'!AE58+'Other Contract Grnts-4Yr'!AE58+'Investment Income-4Yr'!AE58+'All Other E&amp;G-4Yr'!AE58</f>
        <v>4160755.1100000003</v>
      </c>
      <c r="AF58" s="51">
        <f>+'Tuition-4Yr'!AF58+'State Appropriations-4Yr'!AF58+'Local Appropriations-4Yr'!AF58+'Fed Contracts Grnts-4Yr'!AF58+'Other Contract Grnts-4Yr'!AF58+'Investment Income-4Yr'!AF58+'All Other E&amp;G-4Yr'!AF58</f>
        <v>5285148.9959999993</v>
      </c>
      <c r="AG58" s="51">
        <f>+'Tuition-4Yr'!AG58+'State Appropriations-4Yr'!AG58+'Local Appropriations-4Yr'!AG58+'Fed Contracts Grnts-4Yr'!AG58+'Other Contract Grnts-4Yr'!AG58+'Investment Income-4Yr'!AG58+'All Other E&amp;G-4Yr'!AG58</f>
        <v>5341558.57</v>
      </c>
      <c r="AH58" s="51">
        <f>+'Tuition-4Yr'!AH58+'State Appropriations-4Yr'!AH58+'Local Appropriations-4Yr'!AH58+'Fed Contracts Grnts-4Yr'!AH58+'Other Contract Grnts-4Yr'!AH58+'Investment Income-4Yr'!AH58+'All Other E&amp;G-4Yr'!AH58</f>
        <v>5475120.9379999992</v>
      </c>
      <c r="AI58" s="51">
        <f>+'Tuition-4Yr'!AI58+'State Appropriations-4Yr'!AI58+'Local Appropriations-4Yr'!AI58+'Fed Contracts Grnts-4Yr'!AI58+'Other Contract Grnts-4Yr'!AI58+'Investment Income-4Yr'!AI58+'All Other E&amp;G-4Yr'!AI58</f>
        <v>5798281.2549999999</v>
      </c>
      <c r="AJ58" s="51">
        <f>+'Tuition-4Yr'!AJ58+'State Appropriations-4Yr'!AJ58+'Local Appropriations-4Yr'!AJ58+'Fed Contracts Grnts-4Yr'!AJ58+'Other Contract Grnts-4Yr'!AJ58+'Investment Income-4Yr'!AJ58+'All Other E&amp;G-4Yr'!AJ58</f>
        <v>0</v>
      </c>
      <c r="AK58" s="51">
        <f>+'Tuition-4Yr'!AK58+'State Appropriations-4Yr'!AK58+'Local Appropriations-4Yr'!AK58+'Fed Contracts Grnts-4Yr'!AK58+'Other Contract Grnts-4Yr'!AK58+'Investment Income-4Yr'!AK58+'All Other E&amp;G-4Yr'!AK58</f>
        <v>6825287.2460000003</v>
      </c>
      <c r="AL58" s="51">
        <f>+'Tuition-4Yr'!AL58+'State Appropriations-4Yr'!AL58+'Local Appropriations-4Yr'!AL58+'Fed Contracts Grnts-4Yr'!AL58+'Other Contract Grnts-4Yr'!AL58+'Investment Income-4Yr'!AL58+'All Other E&amp;G-4Yr'!AL58</f>
        <v>6304042.9560000002</v>
      </c>
    </row>
    <row r="59" spans="1:38" ht="12.75" customHeight="1">
      <c r="A59" s="1" t="s">
        <v>71</v>
      </c>
      <c r="B59" s="51">
        <f>+'Tuition-4Yr'!B59+'State Appropriations-4Yr'!B59+'Local Appropriations-4Yr'!B59+'Fed Contracts Grnts-4Yr'!B59+'Other Contract Grnts-4Yr'!B59+'Investment Income-4Yr'!B59+'All Other E&amp;G-4Yr'!B59</f>
        <v>0</v>
      </c>
      <c r="C59" s="51">
        <f>+'Tuition-4Yr'!C59+'State Appropriations-4Yr'!C59+'Local Appropriations-4Yr'!C59+'Fed Contracts Grnts-4Yr'!C59+'Other Contract Grnts-4Yr'!C59+'Investment Income-4Yr'!C59+'All Other E&amp;G-4Yr'!C59</f>
        <v>0</v>
      </c>
      <c r="D59" s="51">
        <f>+'Tuition-4Yr'!D59+'State Appropriations-4Yr'!D59+'Local Appropriations-4Yr'!D59+'Fed Contracts Grnts-4Yr'!D59+'Other Contract Grnts-4Yr'!D59+'Investment Income-4Yr'!D59+'All Other E&amp;G-4Yr'!D59</f>
        <v>0</v>
      </c>
      <c r="E59" s="51">
        <f>+'Tuition-4Yr'!E59+'State Appropriations-4Yr'!E59+'Local Appropriations-4Yr'!E59+'Fed Contracts Grnts-4Yr'!E59+'Other Contract Grnts-4Yr'!E59+'Investment Income-4Yr'!E59+'All Other E&amp;G-4Yr'!E59</f>
        <v>0</v>
      </c>
      <c r="F59" s="51">
        <f>+'Tuition-4Yr'!F59+'State Appropriations-4Yr'!F59+'Local Appropriations-4Yr'!F59+'Fed Contracts Grnts-4Yr'!F59+'Other Contract Grnts-4Yr'!F59+'Investment Income-4Yr'!F59+'All Other E&amp;G-4Yr'!F59</f>
        <v>0</v>
      </c>
      <c r="G59" s="51">
        <f>+'Tuition-4Yr'!G59+'State Appropriations-4Yr'!G59+'Local Appropriations-4Yr'!G59+'Fed Contracts Grnts-4Yr'!G59+'Other Contract Grnts-4Yr'!G59+'Investment Income-4Yr'!G59+'All Other E&amp;G-4Yr'!G59</f>
        <v>0</v>
      </c>
      <c r="H59" s="51">
        <f>+'Tuition-4Yr'!H59+'State Appropriations-4Yr'!H59+'Local Appropriations-4Yr'!H59+'Fed Contracts Grnts-4Yr'!H59+'Other Contract Grnts-4Yr'!H59+'Investment Income-4Yr'!H59+'All Other E&amp;G-4Yr'!H59</f>
        <v>0</v>
      </c>
      <c r="I59" s="51">
        <f>+'Tuition-4Yr'!I59+'State Appropriations-4Yr'!I59+'Local Appropriations-4Yr'!I59+'Fed Contracts Grnts-4Yr'!I59+'Other Contract Grnts-4Yr'!I59+'Investment Income-4Yr'!I59+'All Other E&amp;G-4Yr'!I59</f>
        <v>0</v>
      </c>
      <c r="J59" s="51">
        <f>+'Tuition-4Yr'!J59+'State Appropriations-4Yr'!J59+'Local Appropriations-4Yr'!J59+'Fed Contracts Grnts-4Yr'!J59+'Other Contract Grnts-4Yr'!J59+'Investment Income-4Yr'!J59+'All Other E&amp;G-4Yr'!J59</f>
        <v>3424354.5980000002</v>
      </c>
      <c r="K59" s="51">
        <f>+'Tuition-4Yr'!K59+'State Appropriations-4Yr'!K59+'Local Appropriations-4Yr'!K59+'Fed Contracts Grnts-4Yr'!K59+'Other Contract Grnts-4Yr'!K59+'Investment Income-4Yr'!K59+'All Other E&amp;G-4Yr'!K59</f>
        <v>0</v>
      </c>
      <c r="L59" s="51">
        <f>+'Tuition-4Yr'!L59+'State Appropriations-4Yr'!L59+'Local Appropriations-4Yr'!L59+'Fed Contracts Grnts-4Yr'!L59+'Other Contract Grnts-4Yr'!L59+'Investment Income-4Yr'!L59+'All Other E&amp;G-4Yr'!L59</f>
        <v>0</v>
      </c>
      <c r="M59" s="51">
        <f>+'Tuition-4Yr'!M59+'State Appropriations-4Yr'!M59+'Local Appropriations-4Yr'!M59+'Fed Contracts Grnts-4Yr'!M59+'Other Contract Grnts-4Yr'!M59+'Investment Income-4Yr'!M59+'All Other E&amp;G-4Yr'!M59</f>
        <v>4046025.878</v>
      </c>
      <c r="N59" s="51">
        <f>+'Tuition-4Yr'!N59+'State Appropriations-4Yr'!N59+'Local Appropriations-4Yr'!N59+'Fed Contracts Grnts-4Yr'!N59+'Other Contract Grnts-4Yr'!N59+'Investment Income-4Yr'!N59+'All Other E&amp;G-4Yr'!N59</f>
        <v>0</v>
      </c>
      <c r="O59" s="51">
        <f>+'Tuition-4Yr'!O59+'State Appropriations-4Yr'!O59+'Local Appropriations-4Yr'!O59+'Fed Contracts Grnts-4Yr'!O59+'Other Contract Grnts-4Yr'!O59+'Investment Income-4Yr'!O59+'All Other E&amp;G-4Yr'!O59</f>
        <v>4445275.9019999998</v>
      </c>
      <c r="P59" s="51">
        <f>+'Tuition-4Yr'!P59+'State Appropriations-4Yr'!P59+'Local Appropriations-4Yr'!P59+'Fed Contracts Grnts-4Yr'!P59+'Other Contract Grnts-4Yr'!P59+'Investment Income-4Yr'!P59+'All Other E&amp;G-4Yr'!P59</f>
        <v>0</v>
      </c>
      <c r="Q59" s="51">
        <f>+'Tuition-4Yr'!Q59+'State Appropriations-4Yr'!Q59+'Local Appropriations-4Yr'!Q59+'Fed Contracts Grnts-4Yr'!Q59+'Other Contract Grnts-4Yr'!Q59+'Investment Income-4Yr'!Q59+'All Other E&amp;G-4Yr'!Q59</f>
        <v>0</v>
      </c>
      <c r="R59" s="51">
        <f>+'Tuition-4Yr'!R59+'State Appropriations-4Yr'!R59+'Local Appropriations-4Yr'!R59+'Fed Contracts Grnts-4Yr'!R59+'Other Contract Grnts-4Yr'!R59+'Investment Income-4Yr'!R59+'All Other E&amp;G-4Yr'!R59</f>
        <v>4637168.9810000006</v>
      </c>
      <c r="S59" s="51">
        <f>+'Tuition-4Yr'!S59+'State Appropriations-4Yr'!S59+'Local Appropriations-4Yr'!S59+'Fed Contracts Grnts-4Yr'!S59+'Other Contract Grnts-4Yr'!S59+'Investment Income-4Yr'!S59+'All Other E&amp;G-4Yr'!S59</f>
        <v>5045183.6269999985</v>
      </c>
      <c r="T59" s="51">
        <f>+'Tuition-4Yr'!T59+'State Appropriations-4Yr'!T59+'Local Appropriations-4Yr'!T59+'Fed Contracts Grnts-4Yr'!T59+'Other Contract Grnts-4Yr'!T59+'Investment Income-4Yr'!T59+'All Other E&amp;G-4Yr'!T59</f>
        <v>5631450.4109999994</v>
      </c>
      <c r="U59" s="51">
        <f>+'Tuition-4Yr'!U59+'State Appropriations-4Yr'!U59+'Local Appropriations-4Yr'!U59+'Fed Contracts Grnts-4Yr'!U59+'Other Contract Grnts-4Yr'!U59+'Investment Income-4Yr'!U59+'All Other E&amp;G-4Yr'!U59</f>
        <v>4719436.2799999993</v>
      </c>
      <c r="V59" s="51">
        <f>+'Tuition-4Yr'!V59+'State Appropriations-4Yr'!V59+'Local Appropriations-4Yr'!V59+'Fed Contracts Grnts-4Yr'!V59+'Other Contract Grnts-4Yr'!V59+'Investment Income-4Yr'!V59+'All Other E&amp;G-4Yr'!V59</f>
        <v>5305699.0690000001</v>
      </c>
      <c r="W59" s="51">
        <f>+'Tuition-4Yr'!W59+'State Appropriations-4Yr'!W59+'Local Appropriations-4Yr'!W59+'Fed Contracts Grnts-4Yr'!W59+'Other Contract Grnts-4Yr'!W59+'Investment Income-4Yr'!W59+'All Other E&amp;G-4Yr'!W59</f>
        <v>6472569.279000001</v>
      </c>
      <c r="X59" s="51">
        <f>+'Tuition-4Yr'!X59+'State Appropriations-4Yr'!X59+'Local Appropriations-4Yr'!X59+'Fed Contracts Grnts-4Yr'!X59+'Other Contract Grnts-4Yr'!X59+'Investment Income-4Yr'!X59+'All Other E&amp;G-4Yr'!X59</f>
        <v>5952725.9369999999</v>
      </c>
      <c r="Y59" s="51">
        <f>+'Tuition-4Yr'!Y59+'State Appropriations-4Yr'!Y59+'Local Appropriations-4Yr'!Y59+'Fed Contracts Grnts-4Yr'!Y59+'Other Contract Grnts-4Yr'!Y59+'Investment Income-4Yr'!Y59+'All Other E&amp;G-4Yr'!Y59</f>
        <v>6631002.8810000001</v>
      </c>
      <c r="Z59" s="51">
        <f>+'Tuition-4Yr'!Z59+'State Appropriations-4Yr'!Z59+'Local Appropriations-4Yr'!Z59+'Fed Contracts Grnts-4Yr'!Z59+'Other Contract Grnts-4Yr'!Z59+'Investment Income-4Yr'!Z59+'All Other E&amp;G-4Yr'!Z59</f>
        <v>6821026.2120000003</v>
      </c>
      <c r="AA59" s="51">
        <f>+'Tuition-4Yr'!AA59+'State Appropriations-4Yr'!AA59+'Local Appropriations-4Yr'!AA59+'Fed Contracts Grnts-4Yr'!AA59+'Other Contract Grnts-4Yr'!AA59+'Investment Income-4Yr'!AA59+'All Other E&amp;G-4Yr'!AA59</f>
        <v>6951472.3439999996</v>
      </c>
      <c r="AB59" s="51">
        <f>+'Tuition-4Yr'!AB59+'State Appropriations-4Yr'!AB59+'Local Appropriations-4Yr'!AB59+'Fed Contracts Grnts-4Yr'!AB59+'Other Contract Grnts-4Yr'!AB59+'Investment Income-4Yr'!AB59+'All Other E&amp;G-4Yr'!AB59</f>
        <v>8305115.1559999995</v>
      </c>
      <c r="AC59" s="51">
        <f>+'Tuition-4Yr'!AC59+'State Appropriations-4Yr'!AC59+'Local Appropriations-4Yr'!AC59+'Fed Contracts Grnts-4Yr'!AC59+'Other Contract Grnts-4Yr'!AC59+'Investment Income-4Yr'!AC59+'All Other E&amp;G-4Yr'!AC59</f>
        <v>8615342</v>
      </c>
      <c r="AD59" s="51">
        <f>+'Tuition-4Yr'!AD59+'State Appropriations-4Yr'!AD59+'Local Appropriations-4Yr'!AD59+'Fed Contracts Grnts-4Yr'!AD59+'Other Contract Grnts-4Yr'!AD59+'Investment Income-4Yr'!AD59+'All Other E&amp;G-4Yr'!AD59</f>
        <v>8651740.0600000005</v>
      </c>
      <c r="AE59" s="51">
        <f>+'Tuition-4Yr'!AE59+'State Appropriations-4Yr'!AE59+'Local Appropriations-4Yr'!AE59+'Fed Contracts Grnts-4Yr'!AE59+'Other Contract Grnts-4Yr'!AE59+'Investment Income-4Yr'!AE59+'All Other E&amp;G-4Yr'!AE59</f>
        <v>8138122.9449999994</v>
      </c>
      <c r="AF59" s="51">
        <f>+'Tuition-4Yr'!AF59+'State Appropriations-4Yr'!AF59+'Local Appropriations-4Yr'!AF59+'Fed Contracts Grnts-4Yr'!AF59+'Other Contract Grnts-4Yr'!AF59+'Investment Income-4Yr'!AF59+'All Other E&amp;G-4Yr'!AF59</f>
        <v>8679894.7430000026</v>
      </c>
      <c r="AG59" s="51">
        <f>+'Tuition-4Yr'!AG59+'State Appropriations-4Yr'!AG59+'Local Appropriations-4Yr'!AG59+'Fed Contracts Grnts-4Yr'!AG59+'Other Contract Grnts-4Yr'!AG59+'Investment Income-4Yr'!AG59+'All Other E&amp;G-4Yr'!AG59</f>
        <v>9034387.5360000003</v>
      </c>
      <c r="AH59" s="51">
        <f>+'Tuition-4Yr'!AH59+'State Appropriations-4Yr'!AH59+'Local Appropriations-4Yr'!AH59+'Fed Contracts Grnts-4Yr'!AH59+'Other Contract Grnts-4Yr'!AH59+'Investment Income-4Yr'!AH59+'All Other E&amp;G-4Yr'!AH59</f>
        <v>10314162.576000001</v>
      </c>
      <c r="AI59" s="51">
        <f>+'Tuition-4Yr'!AI59+'State Appropriations-4Yr'!AI59+'Local Appropriations-4Yr'!AI59+'Fed Contracts Grnts-4Yr'!AI59+'Other Contract Grnts-4Yr'!AI59+'Investment Income-4Yr'!AI59+'All Other E&amp;G-4Yr'!AI59</f>
        <v>10428884.722999999</v>
      </c>
      <c r="AJ59" s="51">
        <f>+'Tuition-4Yr'!AJ59+'State Appropriations-4Yr'!AJ59+'Local Appropriations-4Yr'!AJ59+'Fed Contracts Grnts-4Yr'!AJ59+'Other Contract Grnts-4Yr'!AJ59+'Investment Income-4Yr'!AJ59+'All Other E&amp;G-4Yr'!AJ59</f>
        <v>0</v>
      </c>
      <c r="AK59" s="51">
        <f>+'Tuition-4Yr'!AK59+'State Appropriations-4Yr'!AK59+'Local Appropriations-4Yr'!AK59+'Fed Contracts Grnts-4Yr'!AK59+'Other Contract Grnts-4Yr'!AK59+'Investment Income-4Yr'!AK59+'All Other E&amp;G-4Yr'!AK59</f>
        <v>12110143.43</v>
      </c>
      <c r="AL59" s="51">
        <f>+'Tuition-4Yr'!AL59+'State Appropriations-4Yr'!AL59+'Local Appropriations-4Yr'!AL59+'Fed Contracts Grnts-4Yr'!AL59+'Other Contract Grnts-4Yr'!AL59+'Investment Income-4Yr'!AL59+'All Other E&amp;G-4Yr'!AL59</f>
        <v>12257142.998</v>
      </c>
    </row>
    <row r="60" spans="1:38" ht="12.75" customHeight="1">
      <c r="A60" s="1" t="s">
        <v>72</v>
      </c>
      <c r="B60" s="51">
        <f>+'Tuition-4Yr'!B60+'State Appropriations-4Yr'!B60+'Local Appropriations-4Yr'!B60+'Fed Contracts Grnts-4Yr'!B60+'Other Contract Grnts-4Yr'!B60+'Investment Income-4Yr'!B60+'All Other E&amp;G-4Yr'!B60</f>
        <v>0</v>
      </c>
      <c r="C60" s="51">
        <f>+'Tuition-4Yr'!C60+'State Appropriations-4Yr'!C60+'Local Appropriations-4Yr'!C60+'Fed Contracts Grnts-4Yr'!C60+'Other Contract Grnts-4Yr'!C60+'Investment Income-4Yr'!C60+'All Other E&amp;G-4Yr'!C60</f>
        <v>0</v>
      </c>
      <c r="D60" s="51">
        <f>+'Tuition-4Yr'!D60+'State Appropriations-4Yr'!D60+'Local Appropriations-4Yr'!D60+'Fed Contracts Grnts-4Yr'!D60+'Other Contract Grnts-4Yr'!D60+'Investment Income-4Yr'!D60+'All Other E&amp;G-4Yr'!D60</f>
        <v>0</v>
      </c>
      <c r="E60" s="51">
        <f>+'Tuition-4Yr'!E60+'State Appropriations-4Yr'!E60+'Local Appropriations-4Yr'!E60+'Fed Contracts Grnts-4Yr'!E60+'Other Contract Grnts-4Yr'!E60+'Investment Income-4Yr'!E60+'All Other E&amp;G-4Yr'!E60</f>
        <v>0</v>
      </c>
      <c r="F60" s="51">
        <f>+'Tuition-4Yr'!F60+'State Appropriations-4Yr'!F60+'Local Appropriations-4Yr'!F60+'Fed Contracts Grnts-4Yr'!F60+'Other Contract Grnts-4Yr'!F60+'Investment Income-4Yr'!F60+'All Other E&amp;G-4Yr'!F60</f>
        <v>0</v>
      </c>
      <c r="G60" s="51">
        <f>+'Tuition-4Yr'!G60+'State Appropriations-4Yr'!G60+'Local Appropriations-4Yr'!G60+'Fed Contracts Grnts-4Yr'!G60+'Other Contract Grnts-4Yr'!G60+'Investment Income-4Yr'!G60+'All Other E&amp;G-4Yr'!G60</f>
        <v>0</v>
      </c>
      <c r="H60" s="51">
        <f>+'Tuition-4Yr'!H60+'State Appropriations-4Yr'!H60+'Local Appropriations-4Yr'!H60+'Fed Contracts Grnts-4Yr'!H60+'Other Contract Grnts-4Yr'!H60+'Investment Income-4Yr'!H60+'All Other E&amp;G-4Yr'!H60</f>
        <v>0</v>
      </c>
      <c r="I60" s="51">
        <f>+'Tuition-4Yr'!I60+'State Appropriations-4Yr'!I60+'Local Appropriations-4Yr'!I60+'Fed Contracts Grnts-4Yr'!I60+'Other Contract Grnts-4Yr'!I60+'Investment Income-4Yr'!I60+'All Other E&amp;G-4Yr'!I60</f>
        <v>0</v>
      </c>
      <c r="J60" s="51">
        <f>+'Tuition-4Yr'!J60+'State Appropriations-4Yr'!J60+'Local Appropriations-4Yr'!J60+'Fed Contracts Grnts-4Yr'!J60+'Other Contract Grnts-4Yr'!J60+'Investment Income-4Yr'!J60+'All Other E&amp;G-4Yr'!J60</f>
        <v>2789097.7979999995</v>
      </c>
      <c r="K60" s="51">
        <f>+'Tuition-4Yr'!K60+'State Appropriations-4Yr'!K60+'Local Appropriations-4Yr'!K60+'Fed Contracts Grnts-4Yr'!K60+'Other Contract Grnts-4Yr'!K60+'Investment Income-4Yr'!K60+'All Other E&amp;G-4Yr'!K60</f>
        <v>0</v>
      </c>
      <c r="L60" s="51">
        <f>+'Tuition-4Yr'!L60+'State Appropriations-4Yr'!L60+'Local Appropriations-4Yr'!L60+'Fed Contracts Grnts-4Yr'!L60+'Other Contract Grnts-4Yr'!L60+'Investment Income-4Yr'!L60+'All Other E&amp;G-4Yr'!L60</f>
        <v>0</v>
      </c>
      <c r="M60" s="51">
        <f>+'Tuition-4Yr'!M60+'State Appropriations-4Yr'!M60+'Local Appropriations-4Yr'!M60+'Fed Contracts Grnts-4Yr'!M60+'Other Contract Grnts-4Yr'!M60+'Investment Income-4Yr'!M60+'All Other E&amp;G-4Yr'!M60</f>
        <v>3175136.9160000002</v>
      </c>
      <c r="N60" s="51">
        <f>+'Tuition-4Yr'!N60+'State Appropriations-4Yr'!N60+'Local Appropriations-4Yr'!N60+'Fed Contracts Grnts-4Yr'!N60+'Other Contract Grnts-4Yr'!N60+'Investment Income-4Yr'!N60+'All Other E&amp;G-4Yr'!N60</f>
        <v>0</v>
      </c>
      <c r="O60" s="51">
        <f>+'Tuition-4Yr'!O60+'State Appropriations-4Yr'!O60+'Local Appropriations-4Yr'!O60+'Fed Contracts Grnts-4Yr'!O60+'Other Contract Grnts-4Yr'!O60+'Investment Income-4Yr'!O60+'All Other E&amp;G-4Yr'!O60</f>
        <v>3468226.8710000003</v>
      </c>
      <c r="P60" s="51">
        <f>+'Tuition-4Yr'!P60+'State Appropriations-4Yr'!P60+'Local Appropriations-4Yr'!P60+'Fed Contracts Grnts-4Yr'!P60+'Other Contract Grnts-4Yr'!P60+'Investment Income-4Yr'!P60+'All Other E&amp;G-4Yr'!P60</f>
        <v>0</v>
      </c>
      <c r="Q60" s="51">
        <f>+'Tuition-4Yr'!Q60+'State Appropriations-4Yr'!Q60+'Local Appropriations-4Yr'!Q60+'Fed Contracts Grnts-4Yr'!Q60+'Other Contract Grnts-4Yr'!Q60+'Investment Income-4Yr'!Q60+'All Other E&amp;G-4Yr'!Q60</f>
        <v>0</v>
      </c>
      <c r="R60" s="51">
        <f>+'Tuition-4Yr'!R60+'State Appropriations-4Yr'!R60+'Local Appropriations-4Yr'!R60+'Fed Contracts Grnts-4Yr'!R60+'Other Contract Grnts-4Yr'!R60+'Investment Income-4Yr'!R60+'All Other E&amp;G-4Yr'!R60</f>
        <v>4102524.99</v>
      </c>
      <c r="S60" s="51">
        <f>+'Tuition-4Yr'!S60+'State Appropriations-4Yr'!S60+'Local Appropriations-4Yr'!S60+'Fed Contracts Grnts-4Yr'!S60+'Other Contract Grnts-4Yr'!S60+'Investment Income-4Yr'!S60+'All Other E&amp;G-4Yr'!S60</f>
        <v>3744843.682</v>
      </c>
      <c r="T60" s="51">
        <f>+'Tuition-4Yr'!T60+'State Appropriations-4Yr'!T60+'Local Appropriations-4Yr'!T60+'Fed Contracts Grnts-4Yr'!T60+'Other Contract Grnts-4Yr'!T60+'Investment Income-4Yr'!T60+'All Other E&amp;G-4Yr'!T60</f>
        <v>2362760.5480000004</v>
      </c>
      <c r="U60" s="51">
        <f>+'Tuition-4Yr'!U60+'State Appropriations-4Yr'!U60+'Local Appropriations-4Yr'!U60+'Fed Contracts Grnts-4Yr'!U60+'Other Contract Grnts-4Yr'!U60+'Investment Income-4Yr'!U60+'All Other E&amp;G-4Yr'!U60</f>
        <v>1191558.6810000003</v>
      </c>
      <c r="V60" s="51">
        <f>+'Tuition-4Yr'!V60+'State Appropriations-4Yr'!V60+'Local Appropriations-4Yr'!V60+'Fed Contracts Grnts-4Yr'!V60+'Other Contract Grnts-4Yr'!V60+'Investment Income-4Yr'!V60+'All Other E&amp;G-4Yr'!V60</f>
        <v>1211848.6480000003</v>
      </c>
      <c r="W60" s="51">
        <f>+'Tuition-4Yr'!W60+'State Appropriations-4Yr'!W60+'Local Appropriations-4Yr'!W60+'Fed Contracts Grnts-4Yr'!W60+'Other Contract Grnts-4Yr'!W60+'Investment Income-4Yr'!W60+'All Other E&amp;G-4Yr'!W60</f>
        <v>1376732.635</v>
      </c>
      <c r="X60" s="51">
        <f>+'Tuition-4Yr'!X60+'State Appropriations-4Yr'!X60+'Local Appropriations-4Yr'!X60+'Fed Contracts Grnts-4Yr'!X60+'Other Contract Grnts-4Yr'!X60+'Investment Income-4Yr'!X60+'All Other E&amp;G-4Yr'!X60</f>
        <v>1308688.399</v>
      </c>
      <c r="Y60" s="51">
        <f>+'Tuition-4Yr'!Y60+'State Appropriations-4Yr'!Y60+'Local Appropriations-4Yr'!Y60+'Fed Contracts Grnts-4Yr'!Y60+'Other Contract Grnts-4Yr'!Y60+'Investment Income-4Yr'!Y60+'All Other E&amp;G-4Yr'!Y60</f>
        <v>1382597.3130000001</v>
      </c>
      <c r="Z60" s="51">
        <f>+'Tuition-4Yr'!Z60+'State Appropriations-4Yr'!Z60+'Local Appropriations-4Yr'!Z60+'Fed Contracts Grnts-4Yr'!Z60+'Other Contract Grnts-4Yr'!Z60+'Investment Income-4Yr'!Z60+'All Other E&amp;G-4Yr'!Z60</f>
        <v>1429448.4470000002</v>
      </c>
      <c r="AA60" s="51">
        <f>+'Tuition-4Yr'!AA60+'State Appropriations-4Yr'!AA60+'Local Appropriations-4Yr'!AA60+'Fed Contracts Grnts-4Yr'!AA60+'Other Contract Grnts-4Yr'!AA60+'Investment Income-4Yr'!AA60+'All Other E&amp;G-4Yr'!AA60</f>
        <v>1603687.41</v>
      </c>
      <c r="AB60" s="51">
        <f>+'Tuition-4Yr'!AB60+'State Appropriations-4Yr'!AB60+'Local Appropriations-4Yr'!AB60+'Fed Contracts Grnts-4Yr'!AB60+'Other Contract Grnts-4Yr'!AB60+'Investment Income-4Yr'!AB60+'All Other E&amp;G-4Yr'!AB60</f>
        <v>1756600.929</v>
      </c>
      <c r="AC60" s="51">
        <f>+'Tuition-4Yr'!AC60+'State Appropriations-4Yr'!AC60+'Local Appropriations-4Yr'!AC60+'Fed Contracts Grnts-4Yr'!AC60+'Other Contract Grnts-4Yr'!AC60+'Investment Income-4Yr'!AC60+'All Other E&amp;G-4Yr'!AC60</f>
        <v>1815712</v>
      </c>
      <c r="AD60" s="51">
        <f>+'Tuition-4Yr'!AD60+'State Appropriations-4Yr'!AD60+'Local Appropriations-4Yr'!AD60+'Fed Contracts Grnts-4Yr'!AD60+'Other Contract Grnts-4Yr'!AD60+'Investment Income-4Yr'!AD60+'All Other E&amp;G-4Yr'!AD60</f>
        <v>1825672.8929999999</v>
      </c>
      <c r="AE60" s="51">
        <f>+'Tuition-4Yr'!AE60+'State Appropriations-4Yr'!AE60+'Local Appropriations-4Yr'!AE60+'Fed Contracts Grnts-4Yr'!AE60+'Other Contract Grnts-4Yr'!AE60+'Investment Income-4Yr'!AE60+'All Other E&amp;G-4Yr'!AE60</f>
        <v>1798213.1800000002</v>
      </c>
      <c r="AF60" s="51">
        <f>+'Tuition-4Yr'!AF60+'State Appropriations-4Yr'!AF60+'Local Appropriations-4Yr'!AF60+'Fed Contracts Grnts-4Yr'!AF60+'Other Contract Grnts-4Yr'!AF60+'Investment Income-4Yr'!AF60+'All Other E&amp;G-4Yr'!AF60</f>
        <v>1799443.1790000002</v>
      </c>
      <c r="AG60" s="51">
        <f>+'Tuition-4Yr'!AG60+'State Appropriations-4Yr'!AG60+'Local Appropriations-4Yr'!AG60+'Fed Contracts Grnts-4Yr'!AG60+'Other Contract Grnts-4Yr'!AG60+'Investment Income-4Yr'!AG60+'All Other E&amp;G-4Yr'!AG60</f>
        <v>1835074.649</v>
      </c>
      <c r="AH60" s="51">
        <f>+'Tuition-4Yr'!AH60+'State Appropriations-4Yr'!AH60+'Local Appropriations-4Yr'!AH60+'Fed Contracts Grnts-4Yr'!AH60+'Other Contract Grnts-4Yr'!AH60+'Investment Income-4Yr'!AH60+'All Other E&amp;G-4Yr'!AH60</f>
        <v>1882409.6969999999</v>
      </c>
      <c r="AI60" s="51">
        <f>+'Tuition-4Yr'!AI60+'State Appropriations-4Yr'!AI60+'Local Appropriations-4Yr'!AI60+'Fed Contracts Grnts-4Yr'!AI60+'Other Contract Grnts-4Yr'!AI60+'Investment Income-4Yr'!AI60+'All Other E&amp;G-4Yr'!AI60</f>
        <v>1927360.2080000001</v>
      </c>
      <c r="AJ60" s="51">
        <f>+'Tuition-4Yr'!AJ60+'State Appropriations-4Yr'!AJ60+'Local Appropriations-4Yr'!AJ60+'Fed Contracts Grnts-4Yr'!AJ60+'Other Contract Grnts-4Yr'!AJ60+'Investment Income-4Yr'!AJ60+'All Other E&amp;G-4Yr'!AJ60</f>
        <v>0</v>
      </c>
      <c r="AK60" s="51">
        <f>+'Tuition-4Yr'!AK60+'State Appropriations-4Yr'!AK60+'Local Appropriations-4Yr'!AK60+'Fed Contracts Grnts-4Yr'!AK60+'Other Contract Grnts-4Yr'!AK60+'Investment Income-4Yr'!AK60+'All Other E&amp;G-4Yr'!AK60</f>
        <v>2038528.8190000001</v>
      </c>
      <c r="AL60" s="51">
        <f>+'Tuition-4Yr'!AL60+'State Appropriations-4Yr'!AL60+'Local Appropriations-4Yr'!AL60+'Fed Contracts Grnts-4Yr'!AL60+'Other Contract Grnts-4Yr'!AL60+'Investment Income-4Yr'!AL60+'All Other E&amp;G-4Yr'!AL60</f>
        <v>2013526.102</v>
      </c>
    </row>
    <row r="61" spans="1:38" ht="12.75" customHeight="1">
      <c r="A61" s="1" t="s">
        <v>73</v>
      </c>
      <c r="B61" s="51">
        <f>+'Tuition-4Yr'!B61+'State Appropriations-4Yr'!B61+'Local Appropriations-4Yr'!B61+'Fed Contracts Grnts-4Yr'!B61+'Other Contract Grnts-4Yr'!B61+'Investment Income-4Yr'!B61+'All Other E&amp;G-4Yr'!B61</f>
        <v>0</v>
      </c>
      <c r="C61" s="51">
        <f>+'Tuition-4Yr'!C61+'State Appropriations-4Yr'!C61+'Local Appropriations-4Yr'!C61+'Fed Contracts Grnts-4Yr'!C61+'Other Contract Grnts-4Yr'!C61+'Investment Income-4Yr'!C61+'All Other E&amp;G-4Yr'!C61</f>
        <v>0</v>
      </c>
      <c r="D61" s="51">
        <f>+'Tuition-4Yr'!D61+'State Appropriations-4Yr'!D61+'Local Appropriations-4Yr'!D61+'Fed Contracts Grnts-4Yr'!D61+'Other Contract Grnts-4Yr'!D61+'Investment Income-4Yr'!D61+'All Other E&amp;G-4Yr'!D61</f>
        <v>0</v>
      </c>
      <c r="E61" s="51">
        <f>+'Tuition-4Yr'!E61+'State Appropriations-4Yr'!E61+'Local Appropriations-4Yr'!E61+'Fed Contracts Grnts-4Yr'!E61+'Other Contract Grnts-4Yr'!E61+'Investment Income-4Yr'!E61+'All Other E&amp;G-4Yr'!E61</f>
        <v>0</v>
      </c>
      <c r="F61" s="51">
        <f>+'Tuition-4Yr'!F61+'State Appropriations-4Yr'!F61+'Local Appropriations-4Yr'!F61+'Fed Contracts Grnts-4Yr'!F61+'Other Contract Grnts-4Yr'!F61+'Investment Income-4Yr'!F61+'All Other E&amp;G-4Yr'!F61</f>
        <v>0</v>
      </c>
      <c r="G61" s="51">
        <f>+'Tuition-4Yr'!G61+'State Appropriations-4Yr'!G61+'Local Appropriations-4Yr'!G61+'Fed Contracts Grnts-4Yr'!G61+'Other Contract Grnts-4Yr'!G61+'Investment Income-4Yr'!G61+'All Other E&amp;G-4Yr'!G61</f>
        <v>0</v>
      </c>
      <c r="H61" s="51">
        <f>+'Tuition-4Yr'!H61+'State Appropriations-4Yr'!H61+'Local Appropriations-4Yr'!H61+'Fed Contracts Grnts-4Yr'!H61+'Other Contract Grnts-4Yr'!H61+'Investment Income-4Yr'!H61+'All Other E&amp;G-4Yr'!H61</f>
        <v>0</v>
      </c>
      <c r="I61" s="51">
        <f>+'Tuition-4Yr'!I61+'State Appropriations-4Yr'!I61+'Local Appropriations-4Yr'!I61+'Fed Contracts Grnts-4Yr'!I61+'Other Contract Grnts-4Yr'!I61+'Investment Income-4Yr'!I61+'All Other E&amp;G-4Yr'!I61</f>
        <v>0</v>
      </c>
      <c r="J61" s="51">
        <f>+'Tuition-4Yr'!J61+'State Appropriations-4Yr'!J61+'Local Appropriations-4Yr'!J61+'Fed Contracts Grnts-4Yr'!J61+'Other Contract Grnts-4Yr'!J61+'Investment Income-4Yr'!J61+'All Other E&amp;G-4Yr'!J61</f>
        <v>223491.24099999998</v>
      </c>
      <c r="K61" s="51">
        <f>+'Tuition-4Yr'!K61+'State Appropriations-4Yr'!K61+'Local Appropriations-4Yr'!K61+'Fed Contracts Grnts-4Yr'!K61+'Other Contract Grnts-4Yr'!K61+'Investment Income-4Yr'!K61+'All Other E&amp;G-4Yr'!K61</f>
        <v>0</v>
      </c>
      <c r="L61" s="51">
        <f>+'Tuition-4Yr'!L61+'State Appropriations-4Yr'!L61+'Local Appropriations-4Yr'!L61+'Fed Contracts Grnts-4Yr'!L61+'Other Contract Grnts-4Yr'!L61+'Investment Income-4Yr'!L61+'All Other E&amp;G-4Yr'!L61</f>
        <v>0</v>
      </c>
      <c r="M61" s="51">
        <f>+'Tuition-4Yr'!M61+'State Appropriations-4Yr'!M61+'Local Appropriations-4Yr'!M61+'Fed Contracts Grnts-4Yr'!M61+'Other Contract Grnts-4Yr'!M61+'Investment Income-4Yr'!M61+'All Other E&amp;G-4Yr'!M61</f>
        <v>249546.29300000001</v>
      </c>
      <c r="N61" s="51">
        <f>+'Tuition-4Yr'!N61+'State Appropriations-4Yr'!N61+'Local Appropriations-4Yr'!N61+'Fed Contracts Grnts-4Yr'!N61+'Other Contract Grnts-4Yr'!N61+'Investment Income-4Yr'!N61+'All Other E&amp;G-4Yr'!N61</f>
        <v>0</v>
      </c>
      <c r="O61" s="51">
        <f>+'Tuition-4Yr'!O61+'State Appropriations-4Yr'!O61+'Local Appropriations-4Yr'!O61+'Fed Contracts Grnts-4Yr'!O61+'Other Contract Grnts-4Yr'!O61+'Investment Income-4Yr'!O61+'All Other E&amp;G-4Yr'!O61</f>
        <v>269786.32499999995</v>
      </c>
      <c r="P61" s="51">
        <f>+'Tuition-4Yr'!P61+'State Appropriations-4Yr'!P61+'Local Appropriations-4Yr'!P61+'Fed Contracts Grnts-4Yr'!P61+'Other Contract Grnts-4Yr'!P61+'Investment Income-4Yr'!P61+'All Other E&amp;G-4Yr'!P61</f>
        <v>0</v>
      </c>
      <c r="Q61" s="51">
        <f>+'Tuition-4Yr'!Q61+'State Appropriations-4Yr'!Q61+'Local Appropriations-4Yr'!Q61+'Fed Contracts Grnts-4Yr'!Q61+'Other Contract Grnts-4Yr'!Q61+'Investment Income-4Yr'!Q61+'All Other E&amp;G-4Yr'!Q61</f>
        <v>0</v>
      </c>
      <c r="R61" s="51">
        <f>+'Tuition-4Yr'!R61+'State Appropriations-4Yr'!R61+'Local Appropriations-4Yr'!R61+'Fed Contracts Grnts-4Yr'!R61+'Other Contract Grnts-4Yr'!R61+'Investment Income-4Yr'!R61+'All Other E&amp;G-4Yr'!R61</f>
        <v>314761.98899999994</v>
      </c>
      <c r="S61" s="51">
        <f>+'Tuition-4Yr'!S61+'State Appropriations-4Yr'!S61+'Local Appropriations-4Yr'!S61+'Fed Contracts Grnts-4Yr'!S61+'Other Contract Grnts-4Yr'!S61+'Investment Income-4Yr'!S61+'All Other E&amp;G-4Yr'!S61</f>
        <v>333810.837</v>
      </c>
      <c r="T61" s="51">
        <f>+'Tuition-4Yr'!T61+'State Appropriations-4Yr'!T61+'Local Appropriations-4Yr'!T61+'Fed Contracts Grnts-4Yr'!T61+'Other Contract Grnts-4Yr'!T61+'Investment Income-4Yr'!T61+'All Other E&amp;G-4Yr'!T61</f>
        <v>346007.587</v>
      </c>
      <c r="U61" s="51">
        <f>+'Tuition-4Yr'!U61+'State Appropriations-4Yr'!U61+'Local Appropriations-4Yr'!U61+'Fed Contracts Grnts-4Yr'!U61+'Other Contract Grnts-4Yr'!U61+'Investment Income-4Yr'!U61+'All Other E&amp;G-4Yr'!U61</f>
        <v>328864.08400000003</v>
      </c>
      <c r="V61" s="51">
        <f>+'Tuition-4Yr'!V61+'State Appropriations-4Yr'!V61+'Local Appropriations-4Yr'!V61+'Fed Contracts Grnts-4Yr'!V61+'Other Contract Grnts-4Yr'!V61+'Investment Income-4Yr'!V61+'All Other E&amp;G-4Yr'!V61</f>
        <v>345318.01600000006</v>
      </c>
      <c r="W61" s="51">
        <f>+'Tuition-4Yr'!W61+'State Appropriations-4Yr'!W61+'Local Appropriations-4Yr'!W61+'Fed Contracts Grnts-4Yr'!W61+'Other Contract Grnts-4Yr'!W61+'Investment Income-4Yr'!W61+'All Other E&amp;G-4Yr'!W61</f>
        <v>390179.049</v>
      </c>
      <c r="X61" s="51">
        <f>+'Tuition-4Yr'!X61+'State Appropriations-4Yr'!X61+'Local Appropriations-4Yr'!X61+'Fed Contracts Grnts-4Yr'!X61+'Other Contract Grnts-4Yr'!X61+'Investment Income-4Yr'!X61+'All Other E&amp;G-4Yr'!X61</f>
        <v>374064.25799999997</v>
      </c>
      <c r="Y61" s="51">
        <f>+'Tuition-4Yr'!Y61+'State Appropriations-4Yr'!Y61+'Local Appropriations-4Yr'!Y61+'Fed Contracts Grnts-4Yr'!Y61+'Other Contract Grnts-4Yr'!Y61+'Investment Income-4Yr'!Y61+'All Other E&amp;G-4Yr'!Y61</f>
        <v>401610.09399999998</v>
      </c>
      <c r="Z61" s="51">
        <f>+'Tuition-4Yr'!Z61+'State Appropriations-4Yr'!Z61+'Local Appropriations-4Yr'!Z61+'Fed Contracts Grnts-4Yr'!Z61+'Other Contract Grnts-4Yr'!Z61+'Investment Income-4Yr'!Z61+'All Other E&amp;G-4Yr'!Z61</f>
        <v>412602.66399999993</v>
      </c>
      <c r="AA61" s="51">
        <f>+'Tuition-4Yr'!AA61+'State Appropriations-4Yr'!AA61+'Local Appropriations-4Yr'!AA61+'Fed Contracts Grnts-4Yr'!AA61+'Other Contract Grnts-4Yr'!AA61+'Investment Income-4Yr'!AA61+'All Other E&amp;G-4Yr'!AA61</f>
        <v>469702.63800000004</v>
      </c>
      <c r="AB61" s="51">
        <f>+'Tuition-4Yr'!AB61+'State Appropriations-4Yr'!AB61+'Local Appropriations-4Yr'!AB61+'Fed Contracts Grnts-4Yr'!AB61+'Other Contract Grnts-4Yr'!AB61+'Investment Income-4Yr'!AB61+'All Other E&amp;G-4Yr'!AB61</f>
        <v>506309.32799999998</v>
      </c>
      <c r="AC61" s="51">
        <f>+'Tuition-4Yr'!AC61+'State Appropriations-4Yr'!AC61+'Local Appropriations-4Yr'!AC61+'Fed Contracts Grnts-4Yr'!AC61+'Other Contract Grnts-4Yr'!AC61+'Investment Income-4Yr'!AC61+'All Other E&amp;G-4Yr'!AC61</f>
        <v>537437</v>
      </c>
      <c r="AD61" s="51">
        <f>+'Tuition-4Yr'!AD61+'State Appropriations-4Yr'!AD61+'Local Appropriations-4Yr'!AD61+'Fed Contracts Grnts-4Yr'!AD61+'Other Contract Grnts-4Yr'!AD61+'Investment Income-4Yr'!AD61+'All Other E&amp;G-4Yr'!AD61</f>
        <v>570189.30799999996</v>
      </c>
      <c r="AE61" s="51">
        <f>+'Tuition-4Yr'!AE61+'State Appropriations-4Yr'!AE61+'Local Appropriations-4Yr'!AE61+'Fed Contracts Grnts-4Yr'!AE61+'Other Contract Grnts-4Yr'!AE61+'Investment Income-4Yr'!AE61+'All Other E&amp;G-4Yr'!AE61</f>
        <v>566495.75299999991</v>
      </c>
      <c r="AF61" s="51">
        <f>+'Tuition-4Yr'!AF61+'State Appropriations-4Yr'!AF61+'Local Appropriations-4Yr'!AF61+'Fed Contracts Grnts-4Yr'!AF61+'Other Contract Grnts-4Yr'!AF61+'Investment Income-4Yr'!AF61+'All Other E&amp;G-4Yr'!AF61</f>
        <v>571013.99900000007</v>
      </c>
      <c r="AG61" s="51">
        <f>+'Tuition-4Yr'!AG61+'State Appropriations-4Yr'!AG61+'Local Appropriations-4Yr'!AG61+'Fed Contracts Grnts-4Yr'!AG61+'Other Contract Grnts-4Yr'!AG61+'Investment Income-4Yr'!AG61+'All Other E&amp;G-4Yr'!AG61</f>
        <v>593595.05800000008</v>
      </c>
      <c r="AH61" s="51">
        <f>+'Tuition-4Yr'!AH61+'State Appropriations-4Yr'!AH61+'Local Appropriations-4Yr'!AH61+'Fed Contracts Grnts-4Yr'!AH61+'Other Contract Grnts-4Yr'!AH61+'Investment Income-4Yr'!AH61+'All Other E&amp;G-4Yr'!AH61</f>
        <v>613142.77599999995</v>
      </c>
      <c r="AI61" s="51">
        <f>+'Tuition-4Yr'!AI61+'State Appropriations-4Yr'!AI61+'Local Appropriations-4Yr'!AI61+'Fed Contracts Grnts-4Yr'!AI61+'Other Contract Grnts-4Yr'!AI61+'Investment Income-4Yr'!AI61+'All Other E&amp;G-4Yr'!AI61</f>
        <v>630876.375</v>
      </c>
      <c r="AJ61" s="51">
        <f>+'Tuition-4Yr'!AJ61+'State Appropriations-4Yr'!AJ61+'Local Appropriations-4Yr'!AJ61+'Fed Contracts Grnts-4Yr'!AJ61+'Other Contract Grnts-4Yr'!AJ61+'Investment Income-4Yr'!AJ61+'All Other E&amp;G-4Yr'!AJ61</f>
        <v>0</v>
      </c>
      <c r="AK61" s="51">
        <f>+'Tuition-4Yr'!AK61+'State Appropriations-4Yr'!AK61+'Local Appropriations-4Yr'!AK61+'Fed Contracts Grnts-4Yr'!AK61+'Other Contract Grnts-4Yr'!AK61+'Investment Income-4Yr'!AK61+'All Other E&amp;G-4Yr'!AK61</f>
        <v>733137.66899999999</v>
      </c>
      <c r="AL61" s="51">
        <f>+'Tuition-4Yr'!AL61+'State Appropriations-4Yr'!AL61+'Local Appropriations-4Yr'!AL61+'Fed Contracts Grnts-4Yr'!AL61+'Other Contract Grnts-4Yr'!AL61+'Investment Income-4Yr'!AL61+'All Other E&amp;G-4Yr'!AL61</f>
        <v>690460.72000000009</v>
      </c>
    </row>
    <row r="62" spans="1:38" ht="12.75" customHeight="1">
      <c r="A62" s="27" t="s">
        <v>74</v>
      </c>
      <c r="B62" s="55">
        <f>+'Tuition-4Yr'!B62+'State Appropriations-4Yr'!B62+'Local Appropriations-4Yr'!B62+'Fed Contracts Grnts-4Yr'!B62+'Other Contract Grnts-4Yr'!B62+'Investment Income-4Yr'!B62+'All Other E&amp;G-4Yr'!B62</f>
        <v>0</v>
      </c>
      <c r="C62" s="55">
        <f>+'Tuition-4Yr'!C62+'State Appropriations-4Yr'!C62+'Local Appropriations-4Yr'!C62+'Fed Contracts Grnts-4Yr'!C62+'Other Contract Grnts-4Yr'!C62+'Investment Income-4Yr'!C62+'All Other E&amp;G-4Yr'!C62</f>
        <v>0</v>
      </c>
      <c r="D62" s="55">
        <f>+'Tuition-4Yr'!D62+'State Appropriations-4Yr'!D62+'Local Appropriations-4Yr'!D62+'Fed Contracts Grnts-4Yr'!D62+'Other Contract Grnts-4Yr'!D62+'Investment Income-4Yr'!D62+'All Other E&amp;G-4Yr'!D62</f>
        <v>0</v>
      </c>
      <c r="E62" s="55">
        <f>+'Tuition-4Yr'!E62+'State Appropriations-4Yr'!E62+'Local Appropriations-4Yr'!E62+'Fed Contracts Grnts-4Yr'!E62+'Other Contract Grnts-4Yr'!E62+'Investment Income-4Yr'!E62+'All Other E&amp;G-4Yr'!E62</f>
        <v>0</v>
      </c>
      <c r="F62" s="55">
        <f>+'Tuition-4Yr'!F62+'State Appropriations-4Yr'!F62+'Local Appropriations-4Yr'!F62+'Fed Contracts Grnts-4Yr'!F62+'Other Contract Grnts-4Yr'!F62+'Investment Income-4Yr'!F62+'All Other E&amp;G-4Yr'!F62</f>
        <v>0</v>
      </c>
      <c r="G62" s="55">
        <f>+'Tuition-4Yr'!G62+'State Appropriations-4Yr'!G62+'Local Appropriations-4Yr'!G62+'Fed Contracts Grnts-4Yr'!G62+'Other Contract Grnts-4Yr'!G62+'Investment Income-4Yr'!G62+'All Other E&amp;G-4Yr'!G62</f>
        <v>0</v>
      </c>
      <c r="H62" s="55">
        <f>+'Tuition-4Yr'!H62+'State Appropriations-4Yr'!H62+'Local Appropriations-4Yr'!H62+'Fed Contracts Grnts-4Yr'!H62+'Other Contract Grnts-4Yr'!H62+'Investment Income-4Yr'!H62+'All Other E&amp;G-4Yr'!H62</f>
        <v>0</v>
      </c>
      <c r="I62" s="55">
        <f>+'Tuition-4Yr'!I62+'State Appropriations-4Yr'!I62+'Local Appropriations-4Yr'!I62+'Fed Contracts Grnts-4Yr'!I62+'Other Contract Grnts-4Yr'!I62+'Investment Income-4Yr'!I62+'All Other E&amp;G-4Yr'!I62</f>
        <v>0</v>
      </c>
      <c r="J62" s="55">
        <f>+'Tuition-4Yr'!J62+'State Appropriations-4Yr'!J62+'Local Appropriations-4Yr'!J62+'Fed Contracts Grnts-4Yr'!J62+'Other Contract Grnts-4Yr'!J62+'Investment Income-4Yr'!J62+'All Other E&amp;G-4Yr'!J62</f>
        <v>244862.07800000001</v>
      </c>
      <c r="K62" s="55">
        <f>+'Tuition-4Yr'!K62+'State Appropriations-4Yr'!K62+'Local Appropriations-4Yr'!K62+'Fed Contracts Grnts-4Yr'!K62+'Other Contract Grnts-4Yr'!K62+'Investment Income-4Yr'!K62+'All Other E&amp;G-4Yr'!K62</f>
        <v>0</v>
      </c>
      <c r="L62" s="55">
        <f>+'Tuition-4Yr'!L62+'State Appropriations-4Yr'!L62+'Local Appropriations-4Yr'!L62+'Fed Contracts Grnts-4Yr'!L62+'Other Contract Grnts-4Yr'!L62+'Investment Income-4Yr'!L62+'All Other E&amp;G-4Yr'!L62</f>
        <v>0</v>
      </c>
      <c r="M62" s="55">
        <f>+'Tuition-4Yr'!M62+'State Appropriations-4Yr'!M62+'Local Appropriations-4Yr'!M62+'Fed Contracts Grnts-4Yr'!M62+'Other Contract Grnts-4Yr'!M62+'Investment Income-4Yr'!M62+'All Other E&amp;G-4Yr'!M62</f>
        <v>283234.33999999997</v>
      </c>
      <c r="N62" s="55">
        <f>+'Tuition-4Yr'!N62+'State Appropriations-4Yr'!N62+'Local Appropriations-4Yr'!N62+'Fed Contracts Grnts-4Yr'!N62+'Other Contract Grnts-4Yr'!N62+'Investment Income-4Yr'!N62+'All Other E&amp;G-4Yr'!N62</f>
        <v>0</v>
      </c>
      <c r="O62" s="55">
        <f>+'Tuition-4Yr'!O62+'State Appropriations-4Yr'!O62+'Local Appropriations-4Yr'!O62+'Fed Contracts Grnts-4Yr'!O62+'Other Contract Grnts-4Yr'!O62+'Investment Income-4Yr'!O62+'All Other E&amp;G-4Yr'!O62</f>
        <v>310553.44100000005</v>
      </c>
      <c r="P62" s="55">
        <f>+'Tuition-4Yr'!P62+'State Appropriations-4Yr'!P62+'Local Appropriations-4Yr'!P62+'Fed Contracts Grnts-4Yr'!P62+'Other Contract Grnts-4Yr'!P62+'Investment Income-4Yr'!P62+'All Other E&amp;G-4Yr'!P62</f>
        <v>0</v>
      </c>
      <c r="Q62" s="55">
        <f>+'Tuition-4Yr'!Q62+'State Appropriations-4Yr'!Q62+'Local Appropriations-4Yr'!Q62+'Fed Contracts Grnts-4Yr'!Q62+'Other Contract Grnts-4Yr'!Q62+'Investment Income-4Yr'!Q62+'All Other E&amp;G-4Yr'!Q62</f>
        <v>0</v>
      </c>
      <c r="R62" s="55">
        <f>+'Tuition-4Yr'!R62+'State Appropriations-4Yr'!R62+'Local Appropriations-4Yr'!R62+'Fed Contracts Grnts-4Yr'!R62+'Other Contract Grnts-4Yr'!R62+'Investment Income-4Yr'!R62+'All Other E&amp;G-4Yr'!R62</f>
        <v>351610.25599999999</v>
      </c>
      <c r="S62" s="55">
        <f>+'Tuition-4Yr'!S62+'State Appropriations-4Yr'!S62+'Local Appropriations-4Yr'!S62+'Fed Contracts Grnts-4Yr'!S62+'Other Contract Grnts-4Yr'!S62+'Investment Income-4Yr'!S62+'All Other E&amp;G-4Yr'!S62</f>
        <v>378349.212</v>
      </c>
      <c r="T62" s="55">
        <f>+'Tuition-4Yr'!T62+'State Appropriations-4Yr'!T62+'Local Appropriations-4Yr'!T62+'Fed Contracts Grnts-4Yr'!T62+'Other Contract Grnts-4Yr'!T62+'Investment Income-4Yr'!T62+'All Other E&amp;G-4Yr'!T62</f>
        <v>399981.15</v>
      </c>
      <c r="U62" s="55">
        <f>+'Tuition-4Yr'!U62+'State Appropriations-4Yr'!U62+'Local Appropriations-4Yr'!U62+'Fed Contracts Grnts-4Yr'!U62+'Other Contract Grnts-4Yr'!U62+'Investment Income-4Yr'!U62+'All Other E&amp;G-4Yr'!U62</f>
        <v>415155.016</v>
      </c>
      <c r="V62" s="55">
        <f>+'Tuition-4Yr'!V62+'State Appropriations-4Yr'!V62+'Local Appropriations-4Yr'!V62+'Fed Contracts Grnts-4Yr'!V62+'Other Contract Grnts-4Yr'!V62+'Investment Income-4Yr'!V62+'All Other E&amp;G-4Yr'!V62</f>
        <v>470118.56700000004</v>
      </c>
      <c r="W62" s="55">
        <f>+'Tuition-4Yr'!W62+'State Appropriations-4Yr'!W62+'Local Appropriations-4Yr'!W62+'Fed Contracts Grnts-4Yr'!W62+'Other Contract Grnts-4Yr'!W62+'Investment Income-4Yr'!W62+'All Other E&amp;G-4Yr'!W62</f>
        <v>515616.08999999997</v>
      </c>
      <c r="X62" s="55">
        <f>+'Tuition-4Yr'!X62+'State Appropriations-4Yr'!X62+'Local Appropriations-4Yr'!X62+'Fed Contracts Grnts-4Yr'!X62+'Other Contract Grnts-4Yr'!X62+'Investment Income-4Yr'!X62+'All Other E&amp;G-4Yr'!X62</f>
        <v>518778.39999999991</v>
      </c>
      <c r="Y62" s="55">
        <f>+'Tuition-4Yr'!Y62+'State Appropriations-4Yr'!Y62+'Local Appropriations-4Yr'!Y62+'Fed Contracts Grnts-4Yr'!Y62+'Other Contract Grnts-4Yr'!Y62+'Investment Income-4Yr'!Y62+'All Other E&amp;G-4Yr'!Y62</f>
        <v>575402.30300000007</v>
      </c>
      <c r="Z62" s="55">
        <f>+'Tuition-4Yr'!Z62+'State Appropriations-4Yr'!Z62+'Local Appropriations-4Yr'!Z62+'Fed Contracts Grnts-4Yr'!Z62+'Other Contract Grnts-4Yr'!Z62+'Investment Income-4Yr'!Z62+'All Other E&amp;G-4Yr'!Z62</f>
        <v>532053.67499999993</v>
      </c>
      <c r="AA62" s="55">
        <f>+'Tuition-4Yr'!AA62+'State Appropriations-4Yr'!AA62+'Local Appropriations-4Yr'!AA62+'Fed Contracts Grnts-4Yr'!AA62+'Other Contract Grnts-4Yr'!AA62+'Investment Income-4Yr'!AA62+'All Other E&amp;G-4Yr'!AA62</f>
        <v>513269.6</v>
      </c>
      <c r="AB62" s="55">
        <f>+'Tuition-4Yr'!AB62+'State Appropriations-4Yr'!AB62+'Local Appropriations-4Yr'!AB62+'Fed Contracts Grnts-4Yr'!AB62+'Other Contract Grnts-4Yr'!AB62+'Investment Income-4Yr'!AB62+'All Other E&amp;G-4Yr'!AB62</f>
        <v>708990.9</v>
      </c>
      <c r="AC62" s="55">
        <f>+'Tuition-4Yr'!AC62+'State Appropriations-4Yr'!AC62+'Local Appropriations-4Yr'!AC62+'Fed Contracts Grnts-4Yr'!AC62+'Other Contract Grnts-4Yr'!AC62+'Investment Income-4Yr'!AC62+'All Other E&amp;G-4Yr'!AC62</f>
        <v>773286</v>
      </c>
      <c r="AD62" s="55">
        <f>+'Tuition-4Yr'!AD62+'State Appropriations-4Yr'!AD62+'Local Appropriations-4Yr'!AD62+'Fed Contracts Grnts-4Yr'!AD62+'Other Contract Grnts-4Yr'!AD62+'Investment Income-4Yr'!AD62+'All Other E&amp;G-4Yr'!AD62</f>
        <v>695442.022</v>
      </c>
      <c r="AE62" s="55">
        <f>+'Tuition-4Yr'!AE62+'State Appropriations-4Yr'!AE62+'Local Appropriations-4Yr'!AE62+'Fed Contracts Grnts-4Yr'!AE62+'Other Contract Grnts-4Yr'!AE62+'Investment Income-4Yr'!AE62+'All Other E&amp;G-4Yr'!AE62</f>
        <v>754201.69499999995</v>
      </c>
      <c r="AF62" s="55">
        <f>+'Tuition-4Yr'!AF62+'State Appropriations-4Yr'!AF62+'Local Appropriations-4Yr'!AF62+'Fed Contracts Grnts-4Yr'!AF62+'Other Contract Grnts-4Yr'!AF62+'Investment Income-4Yr'!AF62+'All Other E&amp;G-4Yr'!AF62</f>
        <v>770041.90099999995</v>
      </c>
      <c r="AG62" s="55">
        <f>+'Tuition-4Yr'!AG62+'State Appropriations-4Yr'!AG62+'Local Appropriations-4Yr'!AG62+'Fed Contracts Grnts-4Yr'!AG62+'Other Contract Grnts-4Yr'!AG62+'Investment Income-4Yr'!AG62+'All Other E&amp;G-4Yr'!AG62</f>
        <v>734976.03</v>
      </c>
      <c r="AH62" s="55">
        <f>+'Tuition-4Yr'!AH62+'State Appropriations-4Yr'!AH62+'Local Appropriations-4Yr'!AH62+'Fed Contracts Grnts-4Yr'!AH62+'Other Contract Grnts-4Yr'!AH62+'Investment Income-4Yr'!AH62+'All Other E&amp;G-4Yr'!AH62</f>
        <v>797769.22000000009</v>
      </c>
      <c r="AI62" s="55">
        <f>+'Tuition-4Yr'!AI62+'State Appropriations-4Yr'!AI62+'Local Appropriations-4Yr'!AI62+'Fed Contracts Grnts-4Yr'!AI62+'Other Contract Grnts-4Yr'!AI62+'Investment Income-4Yr'!AI62+'All Other E&amp;G-4Yr'!AI62</f>
        <v>879677.57700000005</v>
      </c>
      <c r="AJ62" s="55">
        <f>+'Tuition-4Yr'!AJ62+'State Appropriations-4Yr'!AJ62+'Local Appropriations-4Yr'!AJ62+'Fed Contracts Grnts-4Yr'!AJ62+'Other Contract Grnts-4Yr'!AJ62+'Investment Income-4Yr'!AJ62+'All Other E&amp;G-4Yr'!AJ62</f>
        <v>0</v>
      </c>
      <c r="AK62" s="55">
        <f>+'Tuition-4Yr'!AK62+'State Appropriations-4Yr'!AK62+'Local Appropriations-4Yr'!AK62+'Fed Contracts Grnts-4Yr'!AK62+'Other Contract Grnts-4Yr'!AK62+'Investment Income-4Yr'!AK62+'All Other E&amp;G-4Yr'!AK62</f>
        <v>971338.73800000013</v>
      </c>
      <c r="AL62" s="55">
        <f>+'Tuition-4Yr'!AL62+'State Appropriations-4Yr'!AL62+'Local Appropriations-4Yr'!AL62+'Fed Contracts Grnts-4Yr'!AL62+'Other Contract Grnts-4Yr'!AL62+'Investment Income-4Yr'!AL62+'All Other E&amp;G-4Yr'!AL62</f>
        <v>936614.098</v>
      </c>
    </row>
    <row r="63" spans="1:38">
      <c r="A63" s="49" t="s">
        <v>75</v>
      </c>
      <c r="B63" s="53">
        <f>+'Tuition-4Yr'!B63+'State Appropriations-4Yr'!B63+'Local Appropriations-4Yr'!B63+'Fed Contracts Grnts-4Yr'!B63+'Other Contract Grnts-4Yr'!B63+'Investment Income-4Yr'!B63+'All Other E&amp;G-4Yr'!B63</f>
        <v>0</v>
      </c>
      <c r="C63" s="53">
        <f>+'Tuition-4Yr'!C63+'State Appropriations-4Yr'!C63+'Local Appropriations-4Yr'!C63+'Fed Contracts Grnts-4Yr'!C63+'Other Contract Grnts-4Yr'!C63+'Investment Income-4Yr'!C63+'All Other E&amp;G-4Yr'!C63</f>
        <v>0</v>
      </c>
      <c r="D63" s="53">
        <f>+'Tuition-4Yr'!D63+'State Appropriations-4Yr'!D63+'Local Appropriations-4Yr'!D63+'Fed Contracts Grnts-4Yr'!D63+'Other Contract Grnts-4Yr'!D63+'Investment Income-4Yr'!D63+'All Other E&amp;G-4Yr'!D63</f>
        <v>0</v>
      </c>
      <c r="E63" s="53">
        <f>+'Tuition-4Yr'!E63+'State Appropriations-4Yr'!E63+'Local Appropriations-4Yr'!E63+'Fed Contracts Grnts-4Yr'!E63+'Other Contract Grnts-4Yr'!E63+'Investment Income-4Yr'!E63+'All Other E&amp;G-4Yr'!E63</f>
        <v>0</v>
      </c>
      <c r="F63" s="53">
        <f>+'Tuition-4Yr'!F63+'State Appropriations-4Yr'!F63+'Local Appropriations-4Yr'!F63+'Fed Contracts Grnts-4Yr'!F63+'Other Contract Grnts-4Yr'!F63+'Investment Income-4Yr'!F63+'All Other E&amp;G-4Yr'!F63</f>
        <v>0</v>
      </c>
      <c r="G63" s="53">
        <f>+'Tuition-4Yr'!G63+'State Appropriations-4Yr'!G63+'Local Appropriations-4Yr'!G63+'Fed Contracts Grnts-4Yr'!G63+'Other Contract Grnts-4Yr'!G63+'Investment Income-4Yr'!G63+'All Other E&amp;G-4Yr'!G63</f>
        <v>0</v>
      </c>
      <c r="H63" s="53">
        <f>+'Tuition-4Yr'!H63+'State Appropriations-4Yr'!H63+'Local Appropriations-4Yr'!H63+'Fed Contracts Grnts-4Yr'!H63+'Other Contract Grnts-4Yr'!H63+'Investment Income-4Yr'!H63+'All Other E&amp;G-4Yr'!H63</f>
        <v>0</v>
      </c>
      <c r="I63" s="53">
        <f>+'Tuition-4Yr'!I63+'State Appropriations-4Yr'!I63+'Local Appropriations-4Yr'!I63+'Fed Contracts Grnts-4Yr'!I63+'Other Contract Grnts-4Yr'!I63+'Investment Income-4Yr'!I63+'All Other E&amp;G-4Yr'!I63</f>
        <v>0</v>
      </c>
      <c r="J63" s="53">
        <f>+'Tuition-4Yr'!J63+'State Appropriations-4Yr'!J63+'Local Appropriations-4Yr'!J63+'Fed Contracts Grnts-4Yr'!J63+'Other Contract Grnts-4Yr'!J63+'Investment Income-4Yr'!J63+'All Other E&amp;G-4Yr'!J63</f>
        <v>122674.11199999999</v>
      </c>
      <c r="K63" s="53">
        <f>+'Tuition-4Yr'!K63+'State Appropriations-4Yr'!K63+'Local Appropriations-4Yr'!K63+'Fed Contracts Grnts-4Yr'!K63+'Other Contract Grnts-4Yr'!K63+'Investment Income-4Yr'!K63+'All Other E&amp;G-4Yr'!K63</f>
        <v>0</v>
      </c>
      <c r="L63" s="53">
        <f>+'Tuition-4Yr'!L63+'State Appropriations-4Yr'!L63+'Local Appropriations-4Yr'!L63+'Fed Contracts Grnts-4Yr'!L63+'Other Contract Grnts-4Yr'!L63+'Investment Income-4Yr'!L63+'All Other E&amp;G-4Yr'!L63</f>
        <v>0</v>
      </c>
      <c r="M63" s="53">
        <f>+'Tuition-4Yr'!M63+'State Appropriations-4Yr'!M63+'Local Appropriations-4Yr'!M63+'Fed Contracts Grnts-4Yr'!M63+'Other Contract Grnts-4Yr'!M63+'Investment Income-4Yr'!M63+'All Other E&amp;G-4Yr'!M63</f>
        <v>105262.341</v>
      </c>
      <c r="N63" s="53">
        <f>+'Tuition-4Yr'!N63+'State Appropriations-4Yr'!N63+'Local Appropriations-4Yr'!N63+'Fed Contracts Grnts-4Yr'!N63+'Other Contract Grnts-4Yr'!N63+'Investment Income-4Yr'!N63+'All Other E&amp;G-4Yr'!N63</f>
        <v>0</v>
      </c>
      <c r="O63" s="53">
        <f>+'Tuition-4Yr'!O63+'State Appropriations-4Yr'!O63+'Local Appropriations-4Yr'!O63+'Fed Contracts Grnts-4Yr'!O63+'Other Contract Grnts-4Yr'!O63+'Investment Income-4Yr'!O63+'All Other E&amp;G-4Yr'!O63</f>
        <v>106812.00149000001</v>
      </c>
      <c r="P63" s="53">
        <f>+'Tuition-4Yr'!P63+'State Appropriations-4Yr'!P63+'Local Appropriations-4Yr'!P63+'Fed Contracts Grnts-4Yr'!P63+'Other Contract Grnts-4Yr'!P63+'Investment Income-4Yr'!P63+'All Other E&amp;G-4Yr'!P63</f>
        <v>0</v>
      </c>
      <c r="Q63" s="53">
        <f>+'Tuition-4Yr'!Q63+'State Appropriations-4Yr'!Q63+'Local Appropriations-4Yr'!Q63+'Fed Contracts Grnts-4Yr'!Q63+'Other Contract Grnts-4Yr'!Q63+'Investment Income-4Yr'!Q63+'All Other E&amp;G-4Yr'!Q63</f>
        <v>0</v>
      </c>
      <c r="R63" s="53">
        <f>+'Tuition-4Yr'!R63+'State Appropriations-4Yr'!R63+'Local Appropriations-4Yr'!R63+'Fed Contracts Grnts-4Yr'!R63+'Other Contract Grnts-4Yr'!R63+'Investment Income-4Yr'!R63+'All Other E&amp;G-4Yr'!R63</f>
        <v>74808.669000000009</v>
      </c>
      <c r="S63" s="53">
        <f>+'Tuition-4Yr'!S63+'State Appropriations-4Yr'!S63+'Local Appropriations-4Yr'!S63+'Fed Contracts Grnts-4Yr'!S63+'Other Contract Grnts-4Yr'!S63+'Investment Income-4Yr'!S63+'All Other E&amp;G-4Yr'!S63</f>
        <v>92870.498999999996</v>
      </c>
      <c r="T63" s="53">
        <f>+'Tuition-4Yr'!T63+'State Appropriations-4Yr'!T63+'Local Appropriations-4Yr'!T63+'Fed Contracts Grnts-4Yr'!T63+'Other Contract Grnts-4Yr'!T63+'Investment Income-4Yr'!T63+'All Other E&amp;G-4Yr'!T63</f>
        <v>94089.83600000001</v>
      </c>
      <c r="U63" s="53">
        <f>+'Tuition-4Yr'!U63+'State Appropriations-4Yr'!U63+'Local Appropriations-4Yr'!U63+'Fed Contracts Grnts-4Yr'!U63+'Other Contract Grnts-4Yr'!U63+'Investment Income-4Yr'!U63+'All Other E&amp;G-4Yr'!U63</f>
        <v>95228.725999999995</v>
      </c>
      <c r="V63" s="53">
        <f>+'Tuition-4Yr'!V63+'State Appropriations-4Yr'!V63+'Local Appropriations-4Yr'!V63+'Fed Contracts Grnts-4Yr'!V63+'Other Contract Grnts-4Yr'!V63+'Investment Income-4Yr'!V63+'All Other E&amp;G-4Yr'!V63</f>
        <v>98087.138999999996</v>
      </c>
      <c r="W63" s="53">
        <f>+'Tuition-4Yr'!W63+'State Appropriations-4Yr'!W63+'Local Appropriations-4Yr'!W63+'Fed Contracts Grnts-4Yr'!W63+'Other Contract Grnts-4Yr'!W63+'Investment Income-4Yr'!W63+'All Other E&amp;G-4Yr'!W63</f>
        <v>111793.22</v>
      </c>
      <c r="X63" s="53">
        <f>+'Tuition-4Yr'!X63+'State Appropriations-4Yr'!X63+'Local Appropriations-4Yr'!X63+'Fed Contracts Grnts-4Yr'!X63+'Other Contract Grnts-4Yr'!X63+'Investment Income-4Yr'!X63+'All Other E&amp;G-4Yr'!X63</f>
        <v>119552.70000000001</v>
      </c>
      <c r="Y63" s="53">
        <f>+'Tuition-4Yr'!Y63+'State Appropriations-4Yr'!Y63+'Local Appropriations-4Yr'!Y63+'Fed Contracts Grnts-4Yr'!Y63+'Other Contract Grnts-4Yr'!Y63+'Investment Income-4Yr'!Y63+'All Other E&amp;G-4Yr'!Y63</f>
        <v>124366.325</v>
      </c>
      <c r="Z63" s="53">
        <f>+'Tuition-4Yr'!Z63+'State Appropriations-4Yr'!Z63+'Local Appropriations-4Yr'!Z63+'Fed Contracts Grnts-4Yr'!Z63+'Other Contract Grnts-4Yr'!Z63+'Investment Income-4Yr'!Z63+'All Other E&amp;G-4Yr'!Z63</f>
        <v>119974.29799999998</v>
      </c>
      <c r="AA63" s="53">
        <f>+'Tuition-4Yr'!AA63+'State Appropriations-4Yr'!AA63+'Local Appropriations-4Yr'!AA63+'Fed Contracts Grnts-4Yr'!AA63+'Other Contract Grnts-4Yr'!AA63+'Investment Income-4Yr'!AA63+'All Other E&amp;G-4Yr'!AA63</f>
        <v>121282.02899999999</v>
      </c>
      <c r="AB63" s="53">
        <f>+'Tuition-4Yr'!AB63+'State Appropriations-4Yr'!AB63+'Local Appropriations-4Yr'!AB63+'Fed Contracts Grnts-4Yr'!AB63+'Other Contract Grnts-4Yr'!AB63+'Investment Income-4Yr'!AB63+'All Other E&amp;G-4Yr'!AB63</f>
        <v>133116.84599999999</v>
      </c>
      <c r="AC63" s="53">
        <f>+'Tuition-4Yr'!AC63+'State Appropriations-4Yr'!AC63+'Local Appropriations-4Yr'!AC63+'Fed Contracts Grnts-4Yr'!AC63+'Other Contract Grnts-4Yr'!AC63+'Investment Income-4Yr'!AC63+'All Other E&amp;G-4Yr'!AC63</f>
        <v>165301</v>
      </c>
      <c r="AD63" s="53">
        <f>+'Tuition-4Yr'!AD63+'State Appropriations-4Yr'!AD63+'Local Appropriations-4Yr'!AD63+'Fed Contracts Grnts-4Yr'!AD63+'Other Contract Grnts-4Yr'!AD63+'Investment Income-4Yr'!AD63+'All Other E&amp;G-4Yr'!AD63</f>
        <v>142419.78600000002</v>
      </c>
      <c r="AE63" s="53">
        <f>+'Tuition-4Yr'!AE63+'State Appropriations-4Yr'!AE63+'Local Appropriations-4Yr'!AE63+'Fed Contracts Grnts-4Yr'!AE63+'Other Contract Grnts-4Yr'!AE63+'Investment Income-4Yr'!AE63+'All Other E&amp;G-4Yr'!AE63</f>
        <v>147119.69400000002</v>
      </c>
      <c r="AF63" s="53">
        <f>+'Tuition-4Yr'!AF63+'State Appropriations-4Yr'!AF63+'Local Appropriations-4Yr'!AF63+'Fed Contracts Grnts-4Yr'!AF63+'Other Contract Grnts-4Yr'!AF63+'Investment Income-4Yr'!AF63+'All Other E&amp;G-4Yr'!AF63</f>
        <v>137802.19399999999</v>
      </c>
      <c r="AG63" s="53">
        <f>+'Tuition-4Yr'!AG63+'State Appropriations-4Yr'!AG63+'Local Appropriations-4Yr'!AG63+'Fed Contracts Grnts-4Yr'!AG63+'Other Contract Grnts-4Yr'!AG63+'Investment Income-4Yr'!AG63+'All Other E&amp;G-4Yr'!AG63</f>
        <v>138972.511</v>
      </c>
      <c r="AH63" s="53">
        <f>+'Tuition-4Yr'!AH63+'State Appropriations-4Yr'!AH63+'Local Appropriations-4Yr'!AH63+'Fed Contracts Grnts-4Yr'!AH63+'Other Contract Grnts-4Yr'!AH63+'Investment Income-4Yr'!AH63+'All Other E&amp;G-4Yr'!AH63</f>
        <v>148105.38399999999</v>
      </c>
      <c r="AI63" s="53">
        <f>+'Tuition-4Yr'!AI63+'State Appropriations-4Yr'!AI63+'Local Appropriations-4Yr'!AI63+'Fed Contracts Grnts-4Yr'!AI63+'Other Contract Grnts-4Yr'!AI63+'Investment Income-4Yr'!AI63+'All Other E&amp;G-4Yr'!AI63</f>
        <v>151118.14299999998</v>
      </c>
      <c r="AJ63" s="53">
        <f>+'Tuition-4Yr'!AJ63+'State Appropriations-4Yr'!AJ63+'Local Appropriations-4Yr'!AJ63+'Fed Contracts Grnts-4Yr'!AJ63+'Other Contract Grnts-4Yr'!AJ63+'Investment Income-4Yr'!AJ63+'All Other E&amp;G-4Yr'!AJ63</f>
        <v>0</v>
      </c>
      <c r="AK63" s="53">
        <f>+'Tuition-4Yr'!AK63+'State Appropriations-4Yr'!AK63+'Local Appropriations-4Yr'!AK63+'Fed Contracts Grnts-4Yr'!AK63+'Other Contract Grnts-4Yr'!AK63+'Investment Income-4Yr'!AK63+'All Other E&amp;G-4Yr'!AK63</f>
        <v>171882.67199999999</v>
      </c>
      <c r="AL63" s="53">
        <f>+'Tuition-4Yr'!AL63+'State Appropriations-4Yr'!AL63+'Local Appropriations-4Yr'!AL63+'Fed Contracts Grnts-4Yr'!AL63+'Other Contract Grnts-4Yr'!AL63+'Investment Income-4Yr'!AL63+'All Other E&amp;G-4Yr'!AL63</f>
        <v>89190762.265000001</v>
      </c>
    </row>
    <row r="64" spans="1:38" ht="12.75" customHeight="1"/>
    <row r="65" spans="12:28" ht="12.75" customHeight="1"/>
    <row r="66" spans="12:28" ht="12.75" customHeight="1">
      <c r="L66" s="31"/>
      <c r="M66" s="19"/>
      <c r="T66" s="31"/>
      <c r="U66" s="31"/>
      <c r="V66" s="31"/>
      <c r="W66" s="31"/>
      <c r="X66" s="31"/>
      <c r="Y66" s="31"/>
      <c r="Z66" s="38"/>
      <c r="AA66" s="38"/>
      <c r="AB66" s="38"/>
    </row>
    <row r="67" spans="12:28" ht="12.75" customHeight="1">
      <c r="V67" s="1"/>
      <c r="W67" s="1"/>
      <c r="X67" s="1"/>
      <c r="Y67" s="1"/>
    </row>
    <row r="68" spans="12:28" ht="12.75" customHeight="1">
      <c r="V68" s="1"/>
      <c r="W68" s="1"/>
      <c r="X68" s="1"/>
      <c r="Y68" s="1"/>
    </row>
    <row r="69" spans="12:28" ht="12.75" customHeight="1">
      <c r="L69" s="38"/>
      <c r="M69" s="38"/>
    </row>
    <row r="70" spans="12:28" ht="12.75" customHeight="1"/>
    <row r="71" spans="12:28" ht="12.75" customHeight="1"/>
    <row r="72" spans="12:28" ht="12.75" customHeight="1"/>
    <row r="73" spans="12:28" ht="12.75" customHeight="1"/>
    <row r="74" spans="12:28" ht="12.75" customHeight="1"/>
    <row r="75" spans="12:28" ht="12.75" customHeight="1"/>
    <row r="76" spans="12:28" ht="12.75" customHeight="1"/>
    <row r="77" spans="12:28" ht="12.75" customHeight="1"/>
    <row r="78" spans="12:28" ht="12.75" customHeight="1"/>
    <row r="79" spans="12:28" ht="12.75" customHeight="1"/>
    <row r="80" spans="12:28" ht="12.75" customHeight="1"/>
    <row r="81" spans="2:214" ht="9.9499999999999993" customHeight="1"/>
    <row r="82" spans="2:214" ht="9.9499999999999993" customHeight="1">
      <c r="GX82" s="4"/>
      <c r="GY82" s="4"/>
      <c r="GZ82" s="4"/>
      <c r="HA82" s="4"/>
      <c r="HB82" s="4"/>
      <c r="HC82" s="4"/>
      <c r="HD82" s="4"/>
      <c r="HE82" s="4"/>
      <c r="HF82" s="4"/>
    </row>
    <row r="83" spans="2:214">
      <c r="GV83" s="4"/>
      <c r="GW83" s="4"/>
      <c r="GX83" s="4"/>
      <c r="GY83" s="4"/>
      <c r="GZ83" s="4"/>
      <c r="HA83" s="4"/>
      <c r="HB83" s="4"/>
      <c r="HC83" s="4"/>
      <c r="HD83" s="4"/>
      <c r="HE83" s="4"/>
      <c r="HF83" s="4"/>
    </row>
    <row r="84" spans="2:214">
      <c r="GV84" s="4"/>
      <c r="GW84" s="4"/>
      <c r="GX84" s="4"/>
      <c r="GY84" s="4"/>
      <c r="GZ84" s="4"/>
      <c r="HA84" s="4"/>
      <c r="HB84" s="4"/>
      <c r="HC84" s="4"/>
      <c r="HD84" s="4"/>
      <c r="HE84" s="4"/>
      <c r="HF84" s="4"/>
    </row>
    <row r="85" spans="2:214">
      <c r="GX85" s="4"/>
      <c r="GY85" s="4"/>
      <c r="GZ85" s="4"/>
      <c r="HA85" s="4"/>
      <c r="HB85" s="4"/>
      <c r="HC85" s="4"/>
      <c r="HD85" s="4"/>
    </row>
    <row r="86" spans="2:214">
      <c r="GX86" s="4"/>
      <c r="GY86" s="4"/>
      <c r="GZ86" s="4"/>
      <c r="HA86" s="4"/>
      <c r="HB86" s="4"/>
      <c r="HC86" s="4"/>
      <c r="HD86" s="4"/>
    </row>
    <row r="87" spans="2:214">
      <c r="GX87" s="4"/>
      <c r="GY87" s="4"/>
      <c r="GZ87" s="4"/>
      <c r="HA87" s="4"/>
      <c r="HB87" s="4"/>
      <c r="HC87" s="4"/>
      <c r="HD87" s="4"/>
    </row>
    <row r="92" spans="2:214">
      <c r="B92" s="12"/>
      <c r="C92" s="12"/>
      <c r="D92" s="12"/>
      <c r="E92" s="12"/>
      <c r="F92" s="12"/>
      <c r="G92" s="12"/>
      <c r="H92" s="12"/>
    </row>
  </sheetData>
  <phoneticPr fontId="8" type="noConversion"/>
  <pageMargins left="0.5" right="0.5" top="0.5" bottom="0.55000000000000004" header="0.5" footer="0.5"/>
  <pageSetup scale="88" orientation="landscape" verticalDpi="300" r:id="rId1"/>
  <headerFooter alignWithMargins="0">
    <oddFooter>&amp;LSREB Fact Book 1996/1997&amp;CUpdate&amp;R&amp;D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7"/>
  </sheetPr>
  <dimension ref="A1:HG87"/>
  <sheetViews>
    <sheetView showZeros="0" zoomScaleNormal="100" workbookViewId="0">
      <pane xSplit="1" ySplit="3" topLeftCell="X4" activePane="bottomRight" state="frozen"/>
      <selection pane="bottomRight" activeCell="AG3" sqref="AG3"/>
      <selection pane="bottomLeft" activeCell="O44" sqref="O44"/>
      <selection pane="topRight" activeCell="O44" sqref="O44"/>
    </sheetView>
  </sheetViews>
  <sheetFormatPr defaultColWidth="9.7109375" defaultRowHeight="12.75"/>
  <cols>
    <col min="1" max="1" width="19.5703125" style="1" bestFit="1" customWidth="1"/>
    <col min="2" max="28" width="10.7109375" style="10" customWidth="1"/>
    <col min="29" max="32" width="10.7109375" style="1" bestFit="1" customWidth="1"/>
    <col min="33" max="34" width="10.7109375" style="1" customWidth="1"/>
    <col min="35" max="35" width="14.42578125" style="1" bestFit="1" customWidth="1"/>
    <col min="36" max="36" width="9.7109375" style="1"/>
    <col min="37" max="37" width="14.42578125" style="1" bestFit="1" customWidth="1"/>
    <col min="38" max="38" width="14.42578125" style="1" customWidth="1"/>
    <col min="39" max="179" width="9.7109375" style="1"/>
    <col min="180" max="180" width="11.7109375" style="1" customWidth="1"/>
    <col min="181" max="204" width="9.7109375" style="1"/>
    <col min="205" max="205" width="5.7109375" style="1" customWidth="1"/>
    <col min="206" max="206" width="6.7109375" style="1" customWidth="1"/>
    <col min="207" max="208" width="8.7109375" style="1" customWidth="1"/>
    <col min="209" max="210" width="6.7109375" style="1" customWidth="1"/>
    <col min="211" max="212" width="8.7109375" style="1" customWidth="1"/>
    <col min="213" max="214" width="6.7109375" style="1" customWidth="1"/>
    <col min="215" max="215" width="1.7109375" style="1" customWidth="1"/>
    <col min="216" max="16384" width="9.7109375" style="1"/>
  </cols>
  <sheetData>
    <row r="1" spans="1:38">
      <c r="A1" s="36" t="s">
        <v>92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I1" s="1">
        <f>AI2*0.01</f>
        <v>208644727.48000002</v>
      </c>
      <c r="AK1" s="1">
        <f>AK2*0.01</f>
        <v>244117658.38</v>
      </c>
    </row>
    <row r="2" spans="1:38">
      <c r="A2" s="1" t="s">
        <v>93</v>
      </c>
      <c r="AI2" s="1">
        <f>AI5*1000</f>
        <v>20864472748</v>
      </c>
      <c r="AK2" s="1">
        <f>AK5*1000</f>
        <v>24411765838</v>
      </c>
    </row>
    <row r="3" spans="1:38" s="29" customFormat="1">
      <c r="B3" s="40">
        <v>1984</v>
      </c>
      <c r="C3" s="40">
        <v>1985</v>
      </c>
      <c r="D3" s="40">
        <v>1986</v>
      </c>
      <c r="E3" s="40">
        <v>1987</v>
      </c>
      <c r="F3" s="40">
        <v>1988</v>
      </c>
      <c r="G3" s="40">
        <v>1989</v>
      </c>
      <c r="H3" s="40">
        <v>1990</v>
      </c>
      <c r="I3" s="40">
        <v>1991</v>
      </c>
      <c r="J3" s="40">
        <v>1992</v>
      </c>
      <c r="K3" s="40">
        <v>1993</v>
      </c>
      <c r="L3" s="40">
        <v>1994</v>
      </c>
      <c r="M3" s="40">
        <v>1995</v>
      </c>
      <c r="N3" s="40">
        <v>1996</v>
      </c>
      <c r="O3" s="40">
        <v>1997</v>
      </c>
      <c r="P3" s="40"/>
      <c r="Q3" s="40"/>
      <c r="R3" s="40">
        <v>2000</v>
      </c>
      <c r="S3" s="40">
        <v>2001</v>
      </c>
      <c r="T3" s="40">
        <v>2002</v>
      </c>
      <c r="U3" s="40">
        <v>2003</v>
      </c>
      <c r="V3" s="40">
        <v>2004</v>
      </c>
      <c r="W3" s="40">
        <v>2005</v>
      </c>
      <c r="X3" s="40">
        <v>2006</v>
      </c>
      <c r="Y3" s="40">
        <v>2007</v>
      </c>
      <c r="Z3" s="40">
        <v>2008</v>
      </c>
      <c r="AA3" s="40">
        <v>2009</v>
      </c>
      <c r="AB3" s="40">
        <v>2010</v>
      </c>
      <c r="AC3" s="40">
        <v>2011</v>
      </c>
      <c r="AD3" s="29">
        <v>2012</v>
      </c>
      <c r="AE3" s="29">
        <v>2013</v>
      </c>
      <c r="AF3" s="29">
        <v>2014</v>
      </c>
      <c r="AG3" s="29">
        <v>2015</v>
      </c>
      <c r="AH3" s="29">
        <v>2016</v>
      </c>
      <c r="AI3" s="29">
        <v>2017</v>
      </c>
      <c r="AJ3" s="29">
        <v>2018</v>
      </c>
      <c r="AK3" s="29">
        <v>2019</v>
      </c>
      <c r="AL3" s="105">
        <v>2020</v>
      </c>
    </row>
    <row r="4" spans="1:38" ht="12.75" customHeight="1">
      <c r="A4" s="46" t="s">
        <v>20</v>
      </c>
      <c r="B4" s="82">
        <f>+'Tuition-2Yr'!B4+'State Appropriations-2Yr'!B4+'Local Appropriations-2Yr'!B4+'Fed Contracts Grnts-2Yr'!B4+'Other Contracts Grnts-2Yr'!B4+'Investment Income-2Yr'!B4+'All Other E&amp;G-2Yr'!B4</f>
        <v>9549523</v>
      </c>
      <c r="C4" s="82">
        <f>+'Tuition-2Yr'!C4+'State Appropriations-2Yr'!C4+'Local Appropriations-2Yr'!C4+'Fed Contracts Grnts-2Yr'!C4+'Other Contracts Grnts-2Yr'!C4+'Investment Income-2Yr'!C4+'All Other E&amp;G-2Yr'!C4</f>
        <v>10332952</v>
      </c>
      <c r="D4" s="82">
        <f>+'Tuition-2Yr'!D4+'State Appropriations-2Yr'!D4+'Local Appropriations-2Yr'!D4+'Fed Contracts Grnts-2Yr'!D4+'Other Contracts Grnts-2Yr'!D4+'Investment Income-2Yr'!D4+'All Other E&amp;G-2Yr'!D4</f>
        <v>11213971</v>
      </c>
      <c r="E4" s="82">
        <f>+'Tuition-2Yr'!E4+'State Appropriations-2Yr'!E4+'Local Appropriations-2Yr'!E4+'Fed Contracts Grnts-2Yr'!E4+'Other Contracts Grnts-2Yr'!E4+'Investment Income-2Yr'!E4+'All Other E&amp;G-2Yr'!E4</f>
        <v>0</v>
      </c>
      <c r="F4" s="82">
        <f>+'Tuition-2Yr'!F4+'State Appropriations-2Yr'!F4+'Local Appropriations-2Yr'!F4+'Fed Contracts Grnts-2Yr'!F4+'Other Contracts Grnts-2Yr'!F4+'Investment Income-2Yr'!F4+'All Other E&amp;G-2Yr'!F4</f>
        <v>0</v>
      </c>
      <c r="G4" s="82">
        <f>+'Tuition-2Yr'!G4+'State Appropriations-2Yr'!G4+'Local Appropriations-2Yr'!G4+'Fed Contracts Grnts-2Yr'!G4+'Other Contracts Grnts-2Yr'!G4+'Investment Income-2Yr'!G4+'All Other E&amp;G-2Yr'!G4</f>
        <v>0</v>
      </c>
      <c r="H4" s="82">
        <f>+'Tuition-2Yr'!H4+'State Appropriations-2Yr'!H4+'Local Appropriations-2Yr'!H4+'Fed Contracts Grnts-2Yr'!H4+'Other Contracts Grnts-2Yr'!H4+'Investment Income-2Yr'!H4+'All Other E&amp;G-2Yr'!H4</f>
        <v>0</v>
      </c>
      <c r="I4" s="82">
        <f>+'Tuition-2Yr'!I4+'State Appropriations-2Yr'!I4+'Local Appropriations-2Yr'!I4+'Fed Contracts Grnts-2Yr'!I4+'Other Contracts Grnts-2Yr'!I4+'Investment Income-2Yr'!I4+'All Other E&amp;G-2Yr'!I4</f>
        <v>16631086.160999998</v>
      </c>
      <c r="J4" s="82">
        <f>+'Tuition-2Yr'!J4+'State Appropriations-2Yr'!J4+'Local Appropriations-2Yr'!J4+'Fed Contracts Grnts-2Yr'!J4+'Other Contracts Grnts-2Yr'!J4+'Investment Income-2Yr'!J4+'All Other E&amp;G-2Yr'!J4</f>
        <v>17597888.829</v>
      </c>
      <c r="K4" s="82">
        <f>+'Tuition-2Yr'!K4+'State Appropriations-2Yr'!K4+'Local Appropriations-2Yr'!K4+'Fed Contracts Grnts-2Yr'!K4+'Other Contracts Grnts-2Yr'!K4+'Investment Income-2Yr'!K4+'All Other E&amp;G-2Yr'!K4</f>
        <v>19258908.179666668</v>
      </c>
      <c r="L4" s="82">
        <f>+'Tuition-2Yr'!L4+'State Appropriations-2Yr'!L4+'Local Appropriations-2Yr'!L4+'Fed Contracts Grnts-2Yr'!L4+'Other Contracts Grnts-2Yr'!L4+'Investment Income-2Yr'!L4+'All Other E&amp;G-2Yr'!L4</f>
        <v>20323146.969333332</v>
      </c>
      <c r="M4" s="82">
        <f>+'Tuition-2Yr'!M4+'State Appropriations-2Yr'!M4+'Local Appropriations-2Yr'!M4+'Fed Contracts Grnts-2Yr'!M4+'Other Contracts Grnts-2Yr'!M4+'Investment Income-2Yr'!M4+'All Other E&amp;G-2Yr'!M4</f>
        <v>20525660.449000001</v>
      </c>
      <c r="N4" s="82">
        <f>+'Tuition-2Yr'!N4+'State Appropriations-2Yr'!N4+'Local Appropriations-2Yr'!N4+'Fed Contracts Grnts-2Yr'!N4+'Other Contracts Grnts-2Yr'!N4+'Investment Income-2Yr'!N4+'All Other E&amp;G-2Yr'!N4</f>
        <v>23636604.783305001</v>
      </c>
      <c r="O4" s="82">
        <f>+'Tuition-2Yr'!O4+'State Appropriations-2Yr'!O4+'Local Appropriations-2Yr'!O4+'Fed Contracts Grnts-2Yr'!O4+'Other Contracts Grnts-2Yr'!O4+'Investment Income-2Yr'!O4+'All Other E&amp;G-2Yr'!O4</f>
        <v>23683188.14232</v>
      </c>
      <c r="P4" s="82">
        <f>+'Tuition-2Yr'!P4+'State Appropriations-2Yr'!P4+'Local Appropriations-2Yr'!P4+'Fed Contracts Grnts-2Yr'!P4+'Other Contracts Grnts-2Yr'!P4+'Investment Income-2Yr'!P4+'All Other E&amp;G-2Yr'!P4</f>
        <v>0</v>
      </c>
      <c r="Q4" s="82">
        <f>+'Tuition-2Yr'!Q4+'State Appropriations-2Yr'!Q4+'Local Appropriations-2Yr'!Q4+'Fed Contracts Grnts-2Yr'!Q4+'Other Contracts Grnts-2Yr'!Q4+'Investment Income-2Yr'!Q4+'All Other E&amp;G-2Yr'!Q4</f>
        <v>0</v>
      </c>
      <c r="R4" s="82">
        <f>+'Tuition-2Yr'!R4+'State Appropriations-2Yr'!R4+'Local Appropriations-2Yr'!R4+'Fed Contracts Grnts-2Yr'!R4+'Other Contracts Grnts-2Yr'!R4+'Investment Income-2Yr'!R4+'All Other E&amp;G-2Yr'!R4</f>
        <v>26617343.835999999</v>
      </c>
      <c r="S4" s="82">
        <f>+'Tuition-2Yr'!S4+'State Appropriations-2Yr'!S4+'Local Appropriations-2Yr'!S4+'Fed Contracts Grnts-2Yr'!S4+'Other Contracts Grnts-2Yr'!S4+'Investment Income-2Yr'!S4+'All Other E&amp;G-2Yr'!S4</f>
        <v>30065549.865000002</v>
      </c>
      <c r="T4" s="82">
        <f>+'Tuition-2Yr'!T4+'State Appropriations-2Yr'!T4+'Local Appropriations-2Yr'!T4+'Fed Contracts Grnts-2Yr'!T4+'Other Contracts Grnts-2Yr'!T4+'Investment Income-2Yr'!T4+'All Other E&amp;G-2Yr'!T4</f>
        <v>31322095.756000005</v>
      </c>
      <c r="U4" s="82">
        <f>+'Tuition-2Yr'!U4+'State Appropriations-2Yr'!U4+'Local Appropriations-2Yr'!U4+'Fed Contracts Grnts-2Yr'!U4+'Other Contracts Grnts-2Yr'!U4+'Investment Income-2Yr'!U4+'All Other E&amp;G-2Yr'!U4</f>
        <v>31173348.503000006</v>
      </c>
      <c r="V4" s="82">
        <f>+'Tuition-2Yr'!V4+'State Appropriations-2Yr'!V4+'Local Appropriations-2Yr'!V4+'Fed Contracts Grnts-2Yr'!V4+'Other Contracts Grnts-2Yr'!V4+'Investment Income-2Yr'!V4+'All Other E&amp;G-2Yr'!V4</f>
        <v>32446075.345999997</v>
      </c>
      <c r="W4" s="82">
        <f>+'Tuition-2Yr'!W4+'State Appropriations-2Yr'!W4+'Local Appropriations-2Yr'!W4+'Fed Contracts Grnts-2Yr'!W4+'Other Contracts Grnts-2Yr'!W4+'Investment Income-2Yr'!W4+'All Other E&amp;G-2Yr'!W4</f>
        <v>38571126.587000005</v>
      </c>
      <c r="X4" s="82">
        <f>+'Tuition-2Yr'!X4+'State Appropriations-2Yr'!X4+'Local Appropriations-2Yr'!X4+'Fed Contracts Grnts-2Yr'!X4+'Other Contracts Grnts-2Yr'!X4+'Investment Income-2Yr'!X4+'All Other E&amp;G-2Yr'!X4</f>
        <v>38247350.699000001</v>
      </c>
      <c r="Y4" s="82">
        <f>+'Tuition-2Yr'!Y4+'State Appropriations-2Yr'!Y4+'Local Appropriations-2Yr'!Y4+'Fed Contracts Grnts-2Yr'!Y4+'Other Contracts Grnts-2Yr'!Y4+'Investment Income-2Yr'!Y4+'All Other E&amp;G-2Yr'!Y4</f>
        <v>40985186.969999999</v>
      </c>
      <c r="Z4" s="82">
        <f>+'Tuition-2Yr'!Z4+'State Appropriations-2Yr'!Z4+'Local Appropriations-2Yr'!Z4+'Fed Contracts Grnts-2Yr'!Z4+'Other Contracts Grnts-2Yr'!Z4+'Investment Income-2Yr'!Z4+'All Other E&amp;G-2Yr'!Z4</f>
        <v>44227040.221999995</v>
      </c>
      <c r="AA4" s="82">
        <f>+'Tuition-2Yr'!AA4+'State Appropriations-2Yr'!AA4+'Local Appropriations-2Yr'!AA4+'Fed Contracts Grnts-2Yr'!AA4+'Other Contracts Grnts-2Yr'!AA4+'Investment Income-2Yr'!AA4+'All Other E&amp;G-2Yr'!AA4</f>
        <v>50856952.14199999</v>
      </c>
      <c r="AB4" s="82">
        <f>+'Tuition-2Yr'!AB4+'State Appropriations-2Yr'!AB4+'Local Appropriations-2Yr'!AB4+'Fed Contracts Grnts-2Yr'!AB4+'Other Contracts Grnts-2Yr'!AB4+'Investment Income-2Yr'!AB4+'All Other E&amp;G-2Yr'!AB4</f>
        <v>58413031.428999998</v>
      </c>
      <c r="AC4" s="82">
        <f>+'Tuition-2Yr'!AC4+'State Appropriations-2Yr'!AC4+'Local Appropriations-2Yr'!AC4+'Fed Contracts Grnts-2Yr'!AC4+'Other Contracts Grnts-2Yr'!AC4+'Investment Income-2Yr'!AC4+'All Other E&amp;G-2Yr'!AC4</f>
        <v>63181509</v>
      </c>
      <c r="AD4" s="82">
        <f>+'Tuition-2Yr'!AD4+'State Appropriations-2Yr'!AD4+'Local Appropriations-2Yr'!AD4+'Fed Contracts Grnts-2Yr'!AD4+'Other Contracts Grnts-2Yr'!AD4+'Investment Income-2Yr'!AD4+'All Other E&amp;G-2Yr'!AD4</f>
        <v>62158598.019000001</v>
      </c>
      <c r="AE4" s="82">
        <f>+'Tuition-2Yr'!AE4+'State Appropriations-2Yr'!AE4+'Local Appropriations-2Yr'!AE4+'Fed Contracts Grnts-2Yr'!AE4+'Other Contracts Grnts-2Yr'!AE4+'Investment Income-2Yr'!AE4+'All Other E&amp;G-2Yr'!AE4</f>
        <v>62344623.631999999</v>
      </c>
      <c r="AF4" s="82">
        <f>+'Tuition-2Yr'!AF4+'State Appropriations-2Yr'!AF4+'Local Appropriations-2Yr'!AF4+'Fed Contracts Grnts-2Yr'!AF4+'Other Contracts Grnts-2Yr'!AF4+'Investment Income-2Yr'!AF4+'All Other E&amp;G-2Yr'!AF4</f>
        <v>53742881.866000004</v>
      </c>
      <c r="AG4" s="82">
        <f>+'Tuition-2Yr'!AG4+'State Appropriations-2Yr'!AG4+'Local Appropriations-2Yr'!AG4+'Fed Contracts Grnts-2Yr'!AG4+'Other Contracts Grnts-2Yr'!AG4+'Investment Income-2Yr'!AG4+'All Other E&amp;G-2Yr'!AG4</f>
        <v>54073284.435000002</v>
      </c>
      <c r="AH4" s="82">
        <f>+'Tuition-2Yr'!AH4+'State Appropriations-2Yr'!AH4+'Local Appropriations-2Yr'!AH4+'Fed Contracts Grnts-2Yr'!AH4+'Other Contracts Grnts-2Yr'!AH4+'Investment Income-2Yr'!AH4+'All Other E&amp;G-2Yr'!AH4</f>
        <v>64749704.844999999</v>
      </c>
      <c r="AI4" s="82">
        <f>+'Tuition-2Yr'!AI4+'State Appropriations-2Yr'!AI4+'Local Appropriations-2Yr'!AI4+'Fed Contracts Grnts-2Yr'!AI4+'Other Contracts Grnts-2Yr'!AI4+'Investment Income-2Yr'!AI4+'All Other E&amp;G-2Yr'!AI4</f>
        <v>64013976.163000003</v>
      </c>
      <c r="AJ4" s="82">
        <f>+'Tuition-2Yr'!AJ4+'State Appropriations-2Yr'!AJ4+'Local Appropriations-2Yr'!AJ4+'Fed Contracts Grnts-2Yr'!AJ4+'Other Contracts Grnts-2Yr'!AJ4+'Investment Income-2Yr'!AJ4+'All Other E&amp;G-2Yr'!AJ4</f>
        <v>0</v>
      </c>
      <c r="AK4" s="82">
        <f>+'Tuition-2Yr'!AK4+'State Appropriations-2Yr'!AK4+'Local Appropriations-2Yr'!AK4+'Fed Contracts Grnts-2Yr'!AK4+'Other Contracts Grnts-2Yr'!AK4+'Investment Income-2Yr'!AK4+'All Other E&amp;G-2Yr'!AK4</f>
        <v>74096317.243000001</v>
      </c>
      <c r="AL4" s="82">
        <f>+'Tuition-2Yr'!AL4+'State Appropriations-2Yr'!AL4+'Local Appropriations-2Yr'!AL4+'Fed Contracts Grnts-2Yr'!AL4+'Other Contracts Grnts-2Yr'!AL4+'Investment Income-2Yr'!AL4+'All Other E&amp;G-2Yr'!AL4</f>
        <v>69270100.013000011</v>
      </c>
    </row>
    <row r="5" spans="1:38" ht="12.75" customHeight="1">
      <c r="A5" s="1" t="s">
        <v>21</v>
      </c>
      <c r="B5" s="83">
        <f>+'Tuition-2Yr'!B5+'State Appropriations-2Yr'!B5+'Local Appropriations-2Yr'!B5+'Fed Contracts Grnts-2Yr'!B5+'Other Contracts Grnts-2Yr'!B5+'Investment Income-2Yr'!B5+'All Other E&amp;G-2Yr'!B5</f>
        <v>2767877</v>
      </c>
      <c r="C5" s="83">
        <f>+'Tuition-2Yr'!C5+'State Appropriations-2Yr'!C5+'Local Appropriations-2Yr'!C5+'Fed Contracts Grnts-2Yr'!C5+'Other Contracts Grnts-2Yr'!C5+'Investment Income-2Yr'!C5+'All Other E&amp;G-2Yr'!C5</f>
        <v>3037055</v>
      </c>
      <c r="D5" s="83">
        <f>+'Tuition-2Yr'!D5+'State Appropriations-2Yr'!D5+'Local Appropriations-2Yr'!D5+'Fed Contracts Grnts-2Yr'!D5+'Other Contracts Grnts-2Yr'!D5+'Investment Income-2Yr'!D5+'All Other E&amp;G-2Yr'!D5</f>
        <v>3273127</v>
      </c>
      <c r="E5" s="83">
        <f>+'Tuition-2Yr'!E5+'State Appropriations-2Yr'!E5+'Local Appropriations-2Yr'!E5+'Fed Contracts Grnts-2Yr'!E5+'Other Contracts Grnts-2Yr'!E5+'Investment Income-2Yr'!E5+'All Other E&amp;G-2Yr'!E5</f>
        <v>0</v>
      </c>
      <c r="F5" s="83">
        <f>+'Tuition-2Yr'!F5+'State Appropriations-2Yr'!F5+'Local Appropriations-2Yr'!F5+'Fed Contracts Grnts-2Yr'!F5+'Other Contracts Grnts-2Yr'!F5+'Investment Income-2Yr'!F5+'All Other E&amp;G-2Yr'!F5</f>
        <v>0</v>
      </c>
      <c r="G5" s="83">
        <f>+'Tuition-2Yr'!G5+'State Appropriations-2Yr'!G5+'Local Appropriations-2Yr'!G5+'Fed Contracts Grnts-2Yr'!G5+'Other Contracts Grnts-2Yr'!G5+'Investment Income-2Yr'!G5+'All Other E&amp;G-2Yr'!G5</f>
        <v>0</v>
      </c>
      <c r="H5" s="83">
        <f>+'Tuition-2Yr'!H5+'State Appropriations-2Yr'!H5+'Local Appropriations-2Yr'!H5+'Fed Contracts Grnts-2Yr'!H5+'Other Contracts Grnts-2Yr'!H5+'Investment Income-2Yr'!H5+'All Other E&amp;G-2Yr'!H5</f>
        <v>0</v>
      </c>
      <c r="I5" s="83">
        <f>+'Tuition-2Yr'!I5+'State Appropriations-2Yr'!I5+'Local Appropriations-2Yr'!I5+'Fed Contracts Grnts-2Yr'!I5+'Other Contracts Grnts-2Yr'!I5+'Investment Income-2Yr'!I5+'All Other E&amp;G-2Yr'!I5</f>
        <v>5007105.7480000006</v>
      </c>
      <c r="J5" s="83">
        <f>+'Tuition-2Yr'!J5+'State Appropriations-2Yr'!J5+'Local Appropriations-2Yr'!J5+'Fed Contracts Grnts-2Yr'!J5+'Other Contracts Grnts-2Yr'!J5+'Investment Income-2Yr'!J5+'All Other E&amp;G-2Yr'!J5</f>
        <v>5324488.1989999991</v>
      </c>
      <c r="K5" s="83">
        <f>+'Tuition-2Yr'!K5+'State Appropriations-2Yr'!K5+'Local Appropriations-2Yr'!K5+'Fed Contracts Grnts-2Yr'!K5+'Other Contracts Grnts-2Yr'!K5+'Investment Income-2Yr'!K5+'All Other E&amp;G-2Yr'!K5</f>
        <v>5834672.4709999999</v>
      </c>
      <c r="L5" s="83">
        <f>+'Tuition-2Yr'!L5+'State Appropriations-2Yr'!L5+'Local Appropriations-2Yr'!L5+'Fed Contracts Grnts-2Yr'!L5+'Other Contracts Grnts-2Yr'!L5+'Investment Income-2Yr'!L5+'All Other E&amp;G-2Yr'!L5</f>
        <v>6298374.7659999998</v>
      </c>
      <c r="M5" s="83">
        <f>+'Tuition-2Yr'!M5+'State Appropriations-2Yr'!M5+'Local Appropriations-2Yr'!M5+'Fed Contracts Grnts-2Yr'!M5+'Other Contracts Grnts-2Yr'!M5+'Investment Income-2Yr'!M5+'All Other E&amp;G-2Yr'!M5</f>
        <v>6527582.9309999989</v>
      </c>
      <c r="N5" s="83">
        <f>+'Tuition-2Yr'!N5+'State Appropriations-2Yr'!N5+'Local Appropriations-2Yr'!N5+'Fed Contracts Grnts-2Yr'!N5+'Other Contracts Grnts-2Yr'!N5+'Investment Income-2Yr'!N5+'All Other E&amp;G-2Yr'!N5</f>
        <v>6967584.5180000011</v>
      </c>
      <c r="O5" s="83">
        <f>+'Tuition-2Yr'!O5+'State Appropriations-2Yr'!O5+'Local Appropriations-2Yr'!O5+'Fed Contracts Grnts-2Yr'!O5+'Other Contracts Grnts-2Yr'!O5+'Investment Income-2Yr'!O5+'All Other E&amp;G-2Yr'!O5</f>
        <v>7344980.3687100001</v>
      </c>
      <c r="P5" s="83">
        <f>+'Tuition-2Yr'!P5+'State Appropriations-2Yr'!P5+'Local Appropriations-2Yr'!P5+'Fed Contracts Grnts-2Yr'!P5+'Other Contracts Grnts-2Yr'!P5+'Investment Income-2Yr'!P5+'All Other E&amp;G-2Yr'!P5</f>
        <v>0</v>
      </c>
      <c r="Q5" s="83">
        <f>+'Tuition-2Yr'!Q5+'State Appropriations-2Yr'!Q5+'Local Appropriations-2Yr'!Q5+'Fed Contracts Grnts-2Yr'!Q5+'Other Contracts Grnts-2Yr'!Q5+'Investment Income-2Yr'!Q5+'All Other E&amp;G-2Yr'!Q5</f>
        <v>0</v>
      </c>
      <c r="R5" s="83">
        <f>+'Tuition-2Yr'!R5+'State Appropriations-2Yr'!R5+'Local Appropriations-2Yr'!R5+'Fed Contracts Grnts-2Yr'!R5+'Other Contracts Grnts-2Yr'!R5+'Investment Income-2Yr'!R5+'All Other E&amp;G-2Yr'!R5</f>
        <v>9225692.879999999</v>
      </c>
      <c r="S5" s="83">
        <f>+'Tuition-2Yr'!S5+'State Appropriations-2Yr'!S5+'Local Appropriations-2Yr'!S5+'Fed Contracts Grnts-2Yr'!S5+'Other Contracts Grnts-2Yr'!S5+'Investment Income-2Yr'!S5+'All Other E&amp;G-2Yr'!S5</f>
        <v>10378305.832000002</v>
      </c>
      <c r="T5" s="83">
        <f>+'Tuition-2Yr'!T5+'State Appropriations-2Yr'!T5+'Local Appropriations-2Yr'!T5+'Fed Contracts Grnts-2Yr'!T5+'Other Contracts Grnts-2Yr'!T5+'Investment Income-2Yr'!T5+'All Other E&amp;G-2Yr'!T5</f>
        <v>10522965.968999999</v>
      </c>
      <c r="U5" s="83">
        <f>+'Tuition-2Yr'!U5+'State Appropriations-2Yr'!U5+'Local Appropriations-2Yr'!U5+'Fed Contracts Grnts-2Yr'!U5+'Other Contracts Grnts-2Yr'!U5+'Investment Income-2Yr'!U5+'All Other E&amp;G-2Yr'!U5</f>
        <v>10338962.653000001</v>
      </c>
      <c r="V5" s="83">
        <f>+'Tuition-2Yr'!V5+'State Appropriations-2Yr'!V5+'Local Appropriations-2Yr'!V5+'Fed Contracts Grnts-2Yr'!V5+'Other Contracts Grnts-2Yr'!V5+'Investment Income-2Yr'!V5+'All Other E&amp;G-2Yr'!V5</f>
        <v>10614681.744999999</v>
      </c>
      <c r="W5" s="83">
        <f>+'Tuition-2Yr'!W5+'State Appropriations-2Yr'!W5+'Local Appropriations-2Yr'!W5+'Fed Contracts Grnts-2Yr'!W5+'Other Contracts Grnts-2Yr'!W5+'Investment Income-2Yr'!W5+'All Other E&amp;G-2Yr'!W5</f>
        <v>12513385.175999999</v>
      </c>
      <c r="X5" s="83">
        <f>+'Tuition-2Yr'!X5+'State Appropriations-2Yr'!X5+'Local Appropriations-2Yr'!X5+'Fed Contracts Grnts-2Yr'!X5+'Other Contracts Grnts-2Yr'!X5+'Investment Income-2Yr'!X5+'All Other E&amp;G-2Yr'!X5</f>
        <v>12287187.232999999</v>
      </c>
      <c r="Y5" s="83">
        <f>+'Tuition-2Yr'!Y5+'State Appropriations-2Yr'!Y5+'Local Appropriations-2Yr'!Y5+'Fed Contracts Grnts-2Yr'!Y5+'Other Contracts Grnts-2Yr'!Y5+'Investment Income-2Yr'!Y5+'All Other E&amp;G-2Yr'!Y5</f>
        <v>13500421.553999998</v>
      </c>
      <c r="Z5" s="83">
        <f>+'Tuition-2Yr'!Z5+'State Appropriations-2Yr'!Z5+'Local Appropriations-2Yr'!Z5+'Fed Contracts Grnts-2Yr'!Z5+'Other Contracts Grnts-2Yr'!Z5+'Investment Income-2Yr'!Z5+'All Other E&amp;G-2Yr'!Z5</f>
        <v>14649474.143999999</v>
      </c>
      <c r="AA5" s="83">
        <f>+'Tuition-2Yr'!AA5+'State Appropriations-2Yr'!AA5+'Local Appropriations-2Yr'!AA5+'Fed Contracts Grnts-2Yr'!AA5+'Other Contracts Grnts-2Yr'!AA5+'Investment Income-2Yr'!AA5+'All Other E&amp;G-2Yr'!AA5</f>
        <v>16563797.162</v>
      </c>
      <c r="AB5" s="83">
        <f>+'Tuition-2Yr'!AB5+'State Appropriations-2Yr'!AB5+'Local Appropriations-2Yr'!AB5+'Fed Contracts Grnts-2Yr'!AB5+'Other Contracts Grnts-2Yr'!AB5+'Investment Income-2Yr'!AB5+'All Other E&amp;G-2Yr'!AB5</f>
        <v>20460481.280999999</v>
      </c>
      <c r="AC5" s="83">
        <f>+'Tuition-2Yr'!AC5+'State Appropriations-2Yr'!AC5+'Local Appropriations-2Yr'!AC5+'Fed Contracts Grnts-2Yr'!AC5+'Other Contracts Grnts-2Yr'!AC5+'Investment Income-2Yr'!AC5+'All Other E&amp;G-2Yr'!AC5</f>
        <v>22180191</v>
      </c>
      <c r="AD5" s="83">
        <f>+'Tuition-2Yr'!AD5+'State Appropriations-2Yr'!AD5+'Local Appropriations-2Yr'!AD5+'Fed Contracts Grnts-2Yr'!AD5+'Other Contracts Grnts-2Yr'!AD5+'Investment Income-2Yr'!AD5+'All Other E&amp;G-2Yr'!AD5</f>
        <v>21984982.814000007</v>
      </c>
      <c r="AE5" s="83">
        <f>+'Tuition-2Yr'!AE5+'State Appropriations-2Yr'!AE5+'Local Appropriations-2Yr'!AE5+'Fed Contracts Grnts-2Yr'!AE5+'Other Contracts Grnts-2Yr'!AE5+'Investment Income-2Yr'!AE5+'All Other E&amp;G-2Yr'!AE5</f>
        <v>21588192.445999999</v>
      </c>
      <c r="AF5" s="83">
        <f>+'Tuition-2Yr'!AF5+'State Appropriations-2Yr'!AF5+'Local Appropriations-2Yr'!AF5+'Fed Contracts Grnts-2Yr'!AF5+'Other Contracts Grnts-2Yr'!AF5+'Investment Income-2Yr'!AF5+'All Other E&amp;G-2Yr'!AF5</f>
        <v>20633276.966000002</v>
      </c>
      <c r="AG5" s="83">
        <f>+'Tuition-2Yr'!AG5+'State Appropriations-2Yr'!AG5+'Local Appropriations-2Yr'!AG5+'Fed Contracts Grnts-2Yr'!AG5+'Other Contracts Grnts-2Yr'!AG5+'Investment Income-2Yr'!AG5+'All Other E&amp;G-2Yr'!AG5</f>
        <v>20688347.111000001</v>
      </c>
      <c r="AH5" s="83">
        <f>+'Tuition-2Yr'!AH5+'State Appropriations-2Yr'!AH5+'Local Appropriations-2Yr'!AH5+'Fed Contracts Grnts-2Yr'!AH5+'Other Contracts Grnts-2Yr'!AH5+'Investment Income-2Yr'!AH5+'All Other E&amp;G-2Yr'!AH5</f>
        <v>21883309.809999999</v>
      </c>
      <c r="AI5" s="83">
        <f>+'Tuition-2Yr'!AI5+'State Appropriations-2Yr'!AI5+'Local Appropriations-2Yr'!AI5+'Fed Contracts Grnts-2Yr'!AI5+'Other Contracts Grnts-2Yr'!AI5+'Investment Income-2Yr'!AI5+'All Other E&amp;G-2Yr'!AI5</f>
        <v>20864472.748</v>
      </c>
      <c r="AJ5" s="83">
        <f>+'Tuition-2Yr'!AJ5+'State Appropriations-2Yr'!AJ5+'Local Appropriations-2Yr'!AJ5+'Fed Contracts Grnts-2Yr'!AJ5+'Other Contracts Grnts-2Yr'!AJ5+'Investment Income-2Yr'!AJ5+'All Other E&amp;G-2Yr'!AJ5</f>
        <v>0</v>
      </c>
      <c r="AK5" s="83">
        <f>+'Tuition-2Yr'!AK5+'State Appropriations-2Yr'!AK5+'Local Appropriations-2Yr'!AK5+'Fed Contracts Grnts-2Yr'!AK5+'Other Contracts Grnts-2Yr'!AK5+'Investment Income-2Yr'!AK5+'All Other E&amp;G-2Yr'!AK5</f>
        <v>24411765.838</v>
      </c>
      <c r="AL5" s="83">
        <f>+'Tuition-2Yr'!AL5+'State Appropriations-2Yr'!AL5+'Local Appropriations-2Yr'!AL5+'Fed Contracts Grnts-2Yr'!AL5+'Other Contracts Grnts-2Yr'!AL5+'Investment Income-2Yr'!AL5+'All Other E&amp;G-2Yr'!AL5</f>
        <v>22913282.644999996</v>
      </c>
    </row>
    <row r="6" spans="1:38" ht="12.75" customHeight="1">
      <c r="A6" s="6" t="s">
        <v>94</v>
      </c>
      <c r="B6" s="83">
        <f>+'Tuition-2Yr'!B6+'State Appropriations-2Yr'!B6+'Local Appropriations-2Yr'!B6+'Fed Contracts Grnts-2Yr'!B6+'Other Contracts Grnts-2Yr'!B6+'Investment Income-2Yr'!B6+'All Other E&amp;G-2Yr'!B6</f>
        <v>0</v>
      </c>
      <c r="C6" s="83">
        <f>+'Tuition-2Yr'!C6+'State Appropriations-2Yr'!C6+'Local Appropriations-2Yr'!C6+'Fed Contracts Grnts-2Yr'!C6+'Other Contracts Grnts-2Yr'!C6+'Investment Income-2Yr'!C6+'All Other E&amp;G-2Yr'!C6</f>
        <v>0</v>
      </c>
      <c r="D6" s="83">
        <f>+'Tuition-2Yr'!D6+'State Appropriations-2Yr'!D6+'Local Appropriations-2Yr'!D6+'Fed Contracts Grnts-2Yr'!D6+'Other Contracts Grnts-2Yr'!D6+'Investment Income-2Yr'!D6+'All Other E&amp;G-2Yr'!D6</f>
        <v>0</v>
      </c>
      <c r="E6" s="83">
        <f>+'Tuition-2Yr'!E6+'State Appropriations-2Yr'!E6+'Local Appropriations-2Yr'!E6+'Fed Contracts Grnts-2Yr'!E6+'Other Contracts Grnts-2Yr'!E6+'Investment Income-2Yr'!E6+'All Other E&amp;G-2Yr'!E6</f>
        <v>0</v>
      </c>
      <c r="F6" s="83">
        <f>+'Tuition-2Yr'!F6+'State Appropriations-2Yr'!F6+'Local Appropriations-2Yr'!F6+'Fed Contracts Grnts-2Yr'!F6+'Other Contracts Grnts-2Yr'!F6+'Investment Income-2Yr'!F6+'All Other E&amp;G-2Yr'!F6</f>
        <v>0</v>
      </c>
      <c r="G6" s="83">
        <f>+'Tuition-2Yr'!G6+'State Appropriations-2Yr'!G6+'Local Appropriations-2Yr'!G6+'Fed Contracts Grnts-2Yr'!G6+'Other Contracts Grnts-2Yr'!G6+'Investment Income-2Yr'!G6+'All Other E&amp;G-2Yr'!G6</f>
        <v>0</v>
      </c>
      <c r="H6" s="83">
        <f>+'Tuition-2Yr'!H6+'State Appropriations-2Yr'!H6+'Local Appropriations-2Yr'!H6+'Fed Contracts Grnts-2Yr'!H6+'Other Contracts Grnts-2Yr'!H6+'Investment Income-2Yr'!H6+'All Other E&amp;G-2Yr'!H6</f>
        <v>0</v>
      </c>
      <c r="I6" s="83">
        <f>+'Tuition-2Yr'!I6+'State Appropriations-2Yr'!I6+'Local Appropriations-2Yr'!I6+'Fed Contracts Grnts-2Yr'!I6+'Other Contracts Grnts-2Yr'!I6+'Investment Income-2Yr'!I6+'All Other E&amp;G-2Yr'!I6</f>
        <v>0</v>
      </c>
      <c r="J6" s="83">
        <f>+'Tuition-2Yr'!J6+'State Appropriations-2Yr'!J6+'Local Appropriations-2Yr'!J6+'Fed Contracts Grnts-2Yr'!J6+'Other Contracts Grnts-2Yr'!J6+'Investment Income-2Yr'!J6+'All Other E&amp;G-2Yr'!J6</f>
        <v>0</v>
      </c>
      <c r="K6" s="83">
        <f>+'Tuition-2Yr'!K6+'State Appropriations-2Yr'!K6+'Local Appropriations-2Yr'!K6+'Fed Contracts Grnts-2Yr'!K6+'Other Contracts Grnts-2Yr'!K6+'Investment Income-2Yr'!K6+'All Other E&amp;G-2Yr'!K6</f>
        <v>0</v>
      </c>
      <c r="L6" s="83">
        <f>+'Tuition-2Yr'!L6+'State Appropriations-2Yr'!L6+'Local Appropriations-2Yr'!L6+'Fed Contracts Grnts-2Yr'!L6+'Other Contracts Grnts-2Yr'!L6+'Investment Income-2Yr'!L6+'All Other E&amp;G-2Yr'!L6</f>
        <v>0</v>
      </c>
      <c r="M6" s="83">
        <f>+'Tuition-2Yr'!M6+'State Appropriations-2Yr'!M6+'Local Appropriations-2Yr'!M6+'Fed Contracts Grnts-2Yr'!M6+'Other Contracts Grnts-2Yr'!M6+'Investment Income-2Yr'!M6+'All Other E&amp;G-2Yr'!M6</f>
        <v>0</v>
      </c>
      <c r="N6" s="83">
        <f>+'Tuition-2Yr'!N6+'State Appropriations-2Yr'!N6+'Local Appropriations-2Yr'!N6+'Fed Contracts Grnts-2Yr'!N6+'Other Contracts Grnts-2Yr'!N6+'Investment Income-2Yr'!N6+'All Other E&amp;G-2Yr'!N6</f>
        <v>0</v>
      </c>
      <c r="O6" s="83">
        <f>+'Tuition-2Yr'!O6+'State Appropriations-2Yr'!O6+'Local Appropriations-2Yr'!O6+'Fed Contracts Grnts-2Yr'!O6+'Other Contracts Grnts-2Yr'!O6+'Investment Income-2Yr'!O6+'All Other E&amp;G-2Yr'!O6</f>
        <v>0</v>
      </c>
      <c r="P6" s="83">
        <f>+'Tuition-2Yr'!P6+'State Appropriations-2Yr'!P6+'Local Appropriations-2Yr'!P6+'Fed Contracts Grnts-2Yr'!P6+'Other Contracts Grnts-2Yr'!P6+'Investment Income-2Yr'!P6+'All Other E&amp;G-2Yr'!P6</f>
        <v>0</v>
      </c>
      <c r="Q6" s="83">
        <f>+'Tuition-2Yr'!Q6+'State Appropriations-2Yr'!Q6+'Local Appropriations-2Yr'!Q6+'Fed Contracts Grnts-2Yr'!Q6+'Other Contracts Grnts-2Yr'!Q6+'Investment Income-2Yr'!Q6+'All Other E&amp;G-2Yr'!Q6</f>
        <v>0</v>
      </c>
      <c r="R6" s="83">
        <f>+'Tuition-2Yr'!R6+'State Appropriations-2Yr'!R6+'Local Appropriations-2Yr'!R6+'Fed Contracts Grnts-2Yr'!R6+'Other Contracts Grnts-2Yr'!R6+'Investment Income-2Yr'!R6+'All Other E&amp;G-2Yr'!R6</f>
        <v>0</v>
      </c>
      <c r="S6" s="83">
        <f>+'Tuition-2Yr'!S6+'State Appropriations-2Yr'!S6+'Local Appropriations-2Yr'!S6+'Fed Contracts Grnts-2Yr'!S6+'Other Contracts Grnts-2Yr'!S6+'Investment Income-2Yr'!S6+'All Other E&amp;G-2Yr'!S6</f>
        <v>0</v>
      </c>
      <c r="T6" s="83">
        <f>+'Tuition-2Yr'!T6+'State Appropriations-2Yr'!T6+'Local Appropriations-2Yr'!T6+'Fed Contracts Grnts-2Yr'!T6+'Other Contracts Grnts-2Yr'!T6+'Investment Income-2Yr'!T6+'All Other E&amp;G-2Yr'!T6</f>
        <v>0</v>
      </c>
      <c r="U6" s="83">
        <f>+'Tuition-2Yr'!U6+'State Appropriations-2Yr'!U6+'Local Appropriations-2Yr'!U6+'Fed Contracts Grnts-2Yr'!U6+'Other Contracts Grnts-2Yr'!U6+'Investment Income-2Yr'!U6+'All Other E&amp;G-2Yr'!U6</f>
        <v>0</v>
      </c>
      <c r="V6" s="83">
        <f>+'Tuition-2Yr'!V6+'State Appropriations-2Yr'!V6+'Local Appropriations-2Yr'!V6+'Fed Contracts Grnts-2Yr'!V6+'Other Contracts Grnts-2Yr'!V6+'Investment Income-2Yr'!V6+'All Other E&amp;G-2Yr'!V6</f>
        <v>0</v>
      </c>
      <c r="W6" s="83">
        <f>+'Tuition-2Yr'!W6+'State Appropriations-2Yr'!W6+'Local Appropriations-2Yr'!W6+'Fed Contracts Grnts-2Yr'!W6+'Other Contracts Grnts-2Yr'!W6+'Investment Income-2Yr'!W6+'All Other E&amp;G-2Yr'!W6</f>
        <v>0</v>
      </c>
      <c r="X6" s="83">
        <f>+'Tuition-2Yr'!X6+'State Appropriations-2Yr'!X6+'Local Appropriations-2Yr'!X6+'Fed Contracts Grnts-2Yr'!X6+'Other Contracts Grnts-2Yr'!X6+'Investment Income-2Yr'!X6+'All Other E&amp;G-2Yr'!X6</f>
        <v>0</v>
      </c>
      <c r="Y6" s="83">
        <f>+'Tuition-2Yr'!Y6+'State Appropriations-2Yr'!Y6+'Local Appropriations-2Yr'!Y6+'Fed Contracts Grnts-2Yr'!Y6+'Other Contracts Grnts-2Yr'!Y6+'Investment Income-2Yr'!Y6+'All Other E&amp;G-2Yr'!Y6</f>
        <v>0</v>
      </c>
      <c r="Z6" s="83">
        <f>+'Tuition-2Yr'!Z6+'State Appropriations-2Yr'!Z6+'Local Appropriations-2Yr'!Z6+'Fed Contracts Grnts-2Yr'!Z6+'Other Contracts Grnts-2Yr'!Z6+'Investment Income-2Yr'!Z6+'All Other E&amp;G-2Yr'!Z6</f>
        <v>0</v>
      </c>
      <c r="AA6" s="83">
        <f>+'Tuition-2Yr'!AA6+'State Appropriations-2Yr'!AA6+'Local Appropriations-2Yr'!AA6+'Fed Contracts Grnts-2Yr'!AA6+'Other Contracts Grnts-2Yr'!AA6+'Investment Income-2Yr'!AA6+'All Other E&amp;G-2Yr'!AA6</f>
        <v>0</v>
      </c>
      <c r="AB6" s="83">
        <f>+'Tuition-2Yr'!AB6+'State Appropriations-2Yr'!AB6+'Local Appropriations-2Yr'!AB6+'Fed Contracts Grnts-2Yr'!AB6+'Other Contracts Grnts-2Yr'!AB6+'Investment Income-2Yr'!AB6+'All Other E&amp;G-2Yr'!AB6</f>
        <v>0</v>
      </c>
      <c r="AC6" s="83">
        <f>+'Tuition-2Yr'!AC6+'State Appropriations-2Yr'!AC6+'Local Appropriations-2Yr'!AC6+'Fed Contracts Grnts-2Yr'!AC6+'Other Contracts Grnts-2Yr'!AC6+'Investment Income-2Yr'!AC6+'All Other E&amp;G-2Yr'!AC6</f>
        <v>0</v>
      </c>
      <c r="AD6" s="83">
        <f>+'Tuition-2Yr'!AD6+'State Appropriations-2Yr'!AD6+'Local Appropriations-2Yr'!AD6+'Fed Contracts Grnts-2Yr'!AD6+'Other Contracts Grnts-2Yr'!AD6+'Investment Income-2Yr'!AD6+'All Other E&amp;G-2Yr'!AD6</f>
        <v>0</v>
      </c>
      <c r="AE6" s="83">
        <f>+'Tuition-2Yr'!AE6+'State Appropriations-2Yr'!AE6+'Local Appropriations-2Yr'!AE6+'Fed Contracts Grnts-2Yr'!AE6+'Other Contracts Grnts-2Yr'!AE6+'Investment Income-2Yr'!AE6+'All Other E&amp;G-2Yr'!AE6</f>
        <v>0</v>
      </c>
      <c r="AF6" s="83">
        <f>+'Tuition-2Yr'!AF6+'State Appropriations-2Yr'!AF6+'Local Appropriations-2Yr'!AF6+'Fed Contracts Grnts-2Yr'!AF6+'Other Contracts Grnts-2Yr'!AF6+'Investment Income-2Yr'!AF6+'All Other E&amp;G-2Yr'!AF6</f>
        <v>0</v>
      </c>
      <c r="AG6" s="83">
        <f>+'Tuition-2Yr'!AG6+'State Appropriations-2Yr'!AG6+'Local Appropriations-2Yr'!AG6+'Fed Contracts Grnts-2Yr'!AG6+'Other Contracts Grnts-2Yr'!AG6+'Investment Income-2Yr'!AG6+'All Other E&amp;G-2Yr'!AG6</f>
        <v>0</v>
      </c>
      <c r="AH6" s="83">
        <f>+'Tuition-2Yr'!AH6+'State Appropriations-2Yr'!AH6+'Local Appropriations-2Yr'!AH6+'Fed Contracts Grnts-2Yr'!AH6+'Other Contracts Grnts-2Yr'!AH6+'Investment Income-2Yr'!AH6+'All Other E&amp;G-2Yr'!AH6</f>
        <v>0</v>
      </c>
      <c r="AI6" s="83">
        <f>+'Tuition-2Yr'!AI6+'State Appropriations-2Yr'!AI6+'Local Appropriations-2Yr'!AI6+'Fed Contracts Grnts-2Yr'!AI6+'Other Contracts Grnts-2Yr'!AI6+'Investment Income-2Yr'!AI6+'All Other E&amp;G-2Yr'!AI6</f>
        <v>0</v>
      </c>
      <c r="AJ6" s="83">
        <f>+'Tuition-2Yr'!AJ6+'State Appropriations-2Yr'!AJ6+'Local Appropriations-2Yr'!AJ6+'Fed Contracts Grnts-2Yr'!AJ6+'Other Contracts Grnts-2Yr'!AJ6+'Investment Income-2Yr'!AJ6+'All Other E&amp;G-2Yr'!AJ6</f>
        <v>0</v>
      </c>
      <c r="AK6" s="83">
        <f>+'Tuition-2Yr'!AK6+'State Appropriations-2Yr'!AK6+'Local Appropriations-2Yr'!AK6+'Fed Contracts Grnts-2Yr'!AK6+'Other Contracts Grnts-2Yr'!AK6+'Investment Income-2Yr'!AK6+'All Other E&amp;G-2Yr'!AK6</f>
        <v>0</v>
      </c>
      <c r="AL6" s="83">
        <f>+'Tuition-2Yr'!AL6+'State Appropriations-2Yr'!AL6+'Local Appropriations-2Yr'!AL6+'Fed Contracts Grnts-2Yr'!AL6+'Other Contracts Grnts-2Yr'!AL6+'Investment Income-2Yr'!AL6+'All Other E&amp;G-2Yr'!AL6</f>
        <v>0</v>
      </c>
    </row>
    <row r="7" spans="1:38" ht="12.75" customHeight="1">
      <c r="A7" s="1" t="s">
        <v>22</v>
      </c>
      <c r="B7" s="83">
        <f>+'Tuition-2Yr'!B7+'State Appropriations-2Yr'!B7+'Local Appropriations-2Yr'!B7+'Fed Contracts Grnts-2Yr'!B7+'Other Contracts Grnts-2Yr'!B7+'Investment Income-2Yr'!B7+'All Other E&amp;G-2Yr'!B7</f>
        <v>103463</v>
      </c>
      <c r="C7" s="83">
        <f>+'Tuition-2Yr'!C7+'State Appropriations-2Yr'!C7+'Local Appropriations-2Yr'!C7+'Fed Contracts Grnts-2Yr'!C7+'Other Contracts Grnts-2Yr'!C7+'Investment Income-2Yr'!C7+'All Other E&amp;G-2Yr'!C7</f>
        <v>154527</v>
      </c>
      <c r="D7" s="83">
        <f>+'Tuition-2Yr'!D7+'State Appropriations-2Yr'!D7+'Local Appropriations-2Yr'!D7+'Fed Contracts Grnts-2Yr'!D7+'Other Contracts Grnts-2Yr'!D7+'Investment Income-2Yr'!D7+'All Other E&amp;G-2Yr'!D7</f>
        <v>178048</v>
      </c>
      <c r="E7" s="83">
        <f>+'Tuition-2Yr'!E7+'State Appropriations-2Yr'!E7+'Local Appropriations-2Yr'!E7+'Fed Contracts Grnts-2Yr'!E7+'Other Contracts Grnts-2Yr'!E7+'Investment Income-2Yr'!E7+'All Other E&amp;G-2Yr'!E7</f>
        <v>0</v>
      </c>
      <c r="F7" s="83">
        <f>+'Tuition-2Yr'!F7+'State Appropriations-2Yr'!F7+'Local Appropriations-2Yr'!F7+'Fed Contracts Grnts-2Yr'!F7+'Other Contracts Grnts-2Yr'!F7+'Investment Income-2Yr'!F7+'All Other E&amp;G-2Yr'!F7</f>
        <v>0</v>
      </c>
      <c r="G7" s="83">
        <f>+'Tuition-2Yr'!G7+'State Appropriations-2Yr'!G7+'Local Appropriations-2Yr'!G7+'Fed Contracts Grnts-2Yr'!G7+'Other Contracts Grnts-2Yr'!G7+'Investment Income-2Yr'!G7+'All Other E&amp;G-2Yr'!G7</f>
        <v>0</v>
      </c>
      <c r="H7" s="83">
        <f>+'Tuition-2Yr'!H7+'State Appropriations-2Yr'!H7+'Local Appropriations-2Yr'!H7+'Fed Contracts Grnts-2Yr'!H7+'Other Contracts Grnts-2Yr'!H7+'Investment Income-2Yr'!H7+'All Other E&amp;G-2Yr'!H7</f>
        <v>0</v>
      </c>
      <c r="I7" s="83">
        <f>+'Tuition-2Yr'!I7+'State Appropriations-2Yr'!I7+'Local Appropriations-2Yr'!I7+'Fed Contracts Grnts-2Yr'!I7+'Other Contracts Grnts-2Yr'!I7+'Investment Income-2Yr'!I7+'All Other E&amp;G-2Yr'!I7</f>
        <v>262185.45</v>
      </c>
      <c r="J7" s="83">
        <f>+'Tuition-2Yr'!J7+'State Appropriations-2Yr'!J7+'Local Appropriations-2Yr'!J7+'Fed Contracts Grnts-2Yr'!J7+'Other Contracts Grnts-2Yr'!J7+'Investment Income-2Yr'!J7+'All Other E&amp;G-2Yr'!J7</f>
        <v>294281.70199999999</v>
      </c>
      <c r="K7" s="83">
        <f>+'Tuition-2Yr'!K7+'State Appropriations-2Yr'!K7+'Local Appropriations-2Yr'!K7+'Fed Contracts Grnts-2Yr'!K7+'Other Contracts Grnts-2Yr'!K7+'Investment Income-2Yr'!K7+'All Other E&amp;G-2Yr'!K7</f>
        <v>320959.78500000003</v>
      </c>
      <c r="L7" s="83">
        <f>+'Tuition-2Yr'!L7+'State Appropriations-2Yr'!L7+'Local Appropriations-2Yr'!L7+'Fed Contracts Grnts-2Yr'!L7+'Other Contracts Grnts-2Yr'!L7+'Investment Income-2Yr'!L7+'All Other E&amp;G-2Yr'!L7</f>
        <v>353763.25199999998</v>
      </c>
      <c r="M7" s="83">
        <f>+'Tuition-2Yr'!M7+'State Appropriations-2Yr'!M7+'Local Appropriations-2Yr'!M7+'Fed Contracts Grnts-2Yr'!M7+'Other Contracts Grnts-2Yr'!M7+'Investment Income-2Yr'!M7+'All Other E&amp;G-2Yr'!M7</f>
        <v>365403.74700000003</v>
      </c>
      <c r="N7" s="83">
        <f>+'Tuition-2Yr'!N7+'State Appropriations-2Yr'!N7+'Local Appropriations-2Yr'!N7+'Fed Contracts Grnts-2Yr'!N7+'Other Contracts Grnts-2Yr'!N7+'Investment Income-2Yr'!N7+'All Other E&amp;G-2Yr'!N7</f>
        <v>375673.56299999997</v>
      </c>
      <c r="O7" s="83">
        <f>+'Tuition-2Yr'!O7+'State Appropriations-2Yr'!O7+'Local Appropriations-2Yr'!O7+'Fed Contracts Grnts-2Yr'!O7+'Other Contracts Grnts-2Yr'!O7+'Investment Income-2Yr'!O7+'All Other E&amp;G-2Yr'!O7</f>
        <v>388550.92608000006</v>
      </c>
      <c r="P7" s="83">
        <f>+'Tuition-2Yr'!P7+'State Appropriations-2Yr'!P7+'Local Appropriations-2Yr'!P7+'Fed Contracts Grnts-2Yr'!P7+'Other Contracts Grnts-2Yr'!P7+'Investment Income-2Yr'!P7+'All Other E&amp;G-2Yr'!P7</f>
        <v>0</v>
      </c>
      <c r="Q7" s="83">
        <f>+'Tuition-2Yr'!Q7+'State Appropriations-2Yr'!Q7+'Local Appropriations-2Yr'!Q7+'Fed Contracts Grnts-2Yr'!Q7+'Other Contracts Grnts-2Yr'!Q7+'Investment Income-2Yr'!Q7+'All Other E&amp;G-2Yr'!Q7</f>
        <v>0</v>
      </c>
      <c r="R7" s="83">
        <f>+'Tuition-2Yr'!R7+'State Appropriations-2Yr'!R7+'Local Appropriations-2Yr'!R7+'Fed Contracts Grnts-2Yr'!R7+'Other Contracts Grnts-2Yr'!R7+'Investment Income-2Yr'!R7+'All Other E&amp;G-2Yr'!R7</f>
        <v>449006.77699999994</v>
      </c>
      <c r="S7" s="83">
        <f>+'Tuition-2Yr'!S7+'State Appropriations-2Yr'!S7+'Local Appropriations-2Yr'!S7+'Fed Contracts Grnts-2Yr'!S7+'Other Contracts Grnts-2Yr'!S7+'Investment Income-2Yr'!S7+'All Other E&amp;G-2Yr'!S7</f>
        <v>483151.83000000007</v>
      </c>
      <c r="T7" s="83">
        <f>+'Tuition-2Yr'!T7+'State Appropriations-2Yr'!T7+'Local Appropriations-2Yr'!T7+'Fed Contracts Grnts-2Yr'!T7+'Other Contracts Grnts-2Yr'!T7+'Investment Income-2Yr'!T7+'All Other E&amp;G-2Yr'!T7</f>
        <v>544237.76699999999</v>
      </c>
      <c r="U7" s="83">
        <f>+'Tuition-2Yr'!U7+'State Appropriations-2Yr'!U7+'Local Appropriations-2Yr'!U7+'Fed Contracts Grnts-2Yr'!U7+'Other Contracts Grnts-2Yr'!U7+'Investment Income-2Yr'!U7+'All Other E&amp;G-2Yr'!U7</f>
        <v>517126.66499999998</v>
      </c>
      <c r="V7" s="83">
        <f>+'Tuition-2Yr'!V7+'State Appropriations-2Yr'!V7+'Local Appropriations-2Yr'!V7+'Fed Contracts Grnts-2Yr'!V7+'Other Contracts Grnts-2Yr'!V7+'Investment Income-2Yr'!V7+'All Other E&amp;G-2Yr'!V7</f>
        <v>533654.60599999991</v>
      </c>
      <c r="W7" s="83">
        <f>+'Tuition-2Yr'!W7+'State Appropriations-2Yr'!W7+'Local Appropriations-2Yr'!W7+'Fed Contracts Grnts-2Yr'!W7+'Other Contracts Grnts-2Yr'!W7+'Investment Income-2Yr'!W7+'All Other E&amp;G-2Yr'!W7</f>
        <v>626936.18999999994</v>
      </c>
      <c r="X7" s="83">
        <f>+'Tuition-2Yr'!X7+'State Appropriations-2Yr'!X7+'Local Appropriations-2Yr'!X7+'Fed Contracts Grnts-2Yr'!X7+'Other Contracts Grnts-2Yr'!X7+'Investment Income-2Yr'!X7+'All Other E&amp;G-2Yr'!X7</f>
        <v>603823.69799999997</v>
      </c>
      <c r="Y7" s="83">
        <f>+'Tuition-2Yr'!Y7+'State Appropriations-2Yr'!Y7+'Local Appropriations-2Yr'!Y7+'Fed Contracts Grnts-2Yr'!Y7+'Other Contracts Grnts-2Yr'!Y7+'Investment Income-2Yr'!Y7+'All Other E&amp;G-2Yr'!Y7</f>
        <v>648678.39899999998</v>
      </c>
      <c r="Z7" s="83">
        <f>+'Tuition-2Yr'!Z7+'State Appropriations-2Yr'!Z7+'Local Appropriations-2Yr'!Z7+'Fed Contracts Grnts-2Yr'!Z7+'Other Contracts Grnts-2Yr'!Z7+'Investment Income-2Yr'!Z7+'All Other E&amp;G-2Yr'!Z7</f>
        <v>724601.28100000008</v>
      </c>
      <c r="AA7" s="83">
        <f>+'Tuition-2Yr'!AA7+'State Appropriations-2Yr'!AA7+'Local Appropriations-2Yr'!AA7+'Fed Contracts Grnts-2Yr'!AA7+'Other Contracts Grnts-2Yr'!AA7+'Investment Income-2Yr'!AA7+'All Other E&amp;G-2Yr'!AA7</f>
        <v>748501.06599999999</v>
      </c>
      <c r="AB7" s="83">
        <f>+'Tuition-2Yr'!AB7+'State Appropriations-2Yr'!AB7+'Local Appropriations-2Yr'!AB7+'Fed Contracts Grnts-2Yr'!AB7+'Other Contracts Grnts-2Yr'!AB7+'Investment Income-2Yr'!AB7+'All Other E&amp;G-2Yr'!AB7</f>
        <v>952649.46200000006</v>
      </c>
      <c r="AC7" s="83">
        <f>+'Tuition-2Yr'!AC7+'State Appropriations-2Yr'!AC7+'Local Appropriations-2Yr'!AC7+'Fed Contracts Grnts-2Yr'!AC7+'Other Contracts Grnts-2Yr'!AC7+'Investment Income-2Yr'!AC7+'All Other E&amp;G-2Yr'!AC7</f>
        <v>988559</v>
      </c>
      <c r="AD7" s="83">
        <f>+'Tuition-2Yr'!AD7+'State Appropriations-2Yr'!AD7+'Local Appropriations-2Yr'!AD7+'Fed Contracts Grnts-2Yr'!AD7+'Other Contracts Grnts-2Yr'!AD7+'Investment Income-2Yr'!AD7+'All Other E&amp;G-2Yr'!AD7</f>
        <v>961550.35399999993</v>
      </c>
      <c r="AE7" s="83">
        <f>+'Tuition-2Yr'!AE7+'State Appropriations-2Yr'!AE7+'Local Appropriations-2Yr'!AE7+'Fed Contracts Grnts-2Yr'!AE7+'Other Contracts Grnts-2Yr'!AE7+'Investment Income-2Yr'!AE7+'All Other E&amp;G-2Yr'!AE7</f>
        <v>910385.24600000004</v>
      </c>
      <c r="AF7" s="83">
        <f>+'Tuition-2Yr'!AF7+'State Appropriations-2Yr'!AF7+'Local Appropriations-2Yr'!AF7+'Fed Contracts Grnts-2Yr'!AF7+'Other Contracts Grnts-2Yr'!AF7+'Investment Income-2Yr'!AF7+'All Other E&amp;G-2Yr'!AF7</f>
        <v>831096.45400000014</v>
      </c>
      <c r="AG7" s="83">
        <f>+'Tuition-2Yr'!AG7+'State Appropriations-2Yr'!AG7+'Local Appropriations-2Yr'!AG7+'Fed Contracts Grnts-2Yr'!AG7+'Other Contracts Grnts-2Yr'!AG7+'Investment Income-2Yr'!AG7+'All Other E&amp;G-2Yr'!AG7</f>
        <v>814957.85200000019</v>
      </c>
      <c r="AH7" s="83">
        <f>+'Tuition-2Yr'!AH7+'State Appropriations-2Yr'!AH7+'Local Appropriations-2Yr'!AH7+'Fed Contracts Grnts-2Yr'!AH7+'Other Contracts Grnts-2Yr'!AH7+'Investment Income-2Yr'!AH7+'All Other E&amp;G-2Yr'!AH7</f>
        <v>840702.52399999998</v>
      </c>
      <c r="AI7" s="83">
        <f>+'Tuition-2Yr'!AI7+'State Appropriations-2Yr'!AI7+'Local Appropriations-2Yr'!AI7+'Fed Contracts Grnts-2Yr'!AI7+'Other Contracts Grnts-2Yr'!AI7+'Investment Income-2Yr'!AI7+'All Other E&amp;G-2Yr'!AI7</f>
        <v>797407.99200000009</v>
      </c>
      <c r="AJ7" s="83">
        <f>+'Tuition-2Yr'!AJ7+'State Appropriations-2Yr'!AJ7+'Local Appropriations-2Yr'!AJ7+'Fed Contracts Grnts-2Yr'!AJ7+'Other Contracts Grnts-2Yr'!AJ7+'Investment Income-2Yr'!AJ7+'All Other E&amp;G-2Yr'!AJ7</f>
        <v>0</v>
      </c>
      <c r="AK7" s="83">
        <f>+'Tuition-2Yr'!AK7+'State Appropriations-2Yr'!AK7+'Local Appropriations-2Yr'!AK7+'Fed Contracts Grnts-2Yr'!AK7+'Other Contracts Grnts-2Yr'!AK7+'Investment Income-2Yr'!AK7+'All Other E&amp;G-2Yr'!AK7</f>
        <v>935961.98700000008</v>
      </c>
      <c r="AL7" s="83">
        <f>+'Tuition-2Yr'!AL7+'State Appropriations-2Yr'!AL7+'Local Appropriations-2Yr'!AL7+'Fed Contracts Grnts-2Yr'!AL7+'Other Contracts Grnts-2Yr'!AL7+'Investment Income-2Yr'!AL7+'All Other E&amp;G-2Yr'!AL7</f>
        <v>873268.28099999996</v>
      </c>
    </row>
    <row r="8" spans="1:38" ht="12.75" customHeight="1">
      <c r="A8" s="1" t="s">
        <v>23</v>
      </c>
      <c r="B8" s="83">
        <f>+'Tuition-2Yr'!B8+'State Appropriations-2Yr'!B8+'Local Appropriations-2Yr'!B8+'Fed Contracts Grnts-2Yr'!B8+'Other Contracts Grnts-2Yr'!B8+'Investment Income-2Yr'!B8+'All Other E&amp;G-2Yr'!B8</f>
        <v>32568</v>
      </c>
      <c r="C8" s="83">
        <f>+'Tuition-2Yr'!C8+'State Appropriations-2Yr'!C8+'Local Appropriations-2Yr'!C8+'Fed Contracts Grnts-2Yr'!C8+'Other Contracts Grnts-2Yr'!C8+'Investment Income-2Yr'!C8+'All Other E&amp;G-2Yr'!C8</f>
        <v>38715</v>
      </c>
      <c r="D8" s="83">
        <f>+'Tuition-2Yr'!D8+'State Appropriations-2Yr'!D8+'Local Appropriations-2Yr'!D8+'Fed Contracts Grnts-2Yr'!D8+'Other Contracts Grnts-2Yr'!D8+'Investment Income-2Yr'!D8+'All Other E&amp;G-2Yr'!D8</f>
        <v>40219</v>
      </c>
      <c r="E8" s="83">
        <f>+'Tuition-2Yr'!E8+'State Appropriations-2Yr'!E8+'Local Appropriations-2Yr'!E8+'Fed Contracts Grnts-2Yr'!E8+'Other Contracts Grnts-2Yr'!E8+'Investment Income-2Yr'!E8+'All Other E&amp;G-2Yr'!E8</f>
        <v>0</v>
      </c>
      <c r="F8" s="83">
        <f>+'Tuition-2Yr'!F8+'State Appropriations-2Yr'!F8+'Local Appropriations-2Yr'!F8+'Fed Contracts Grnts-2Yr'!F8+'Other Contracts Grnts-2Yr'!F8+'Investment Income-2Yr'!F8+'All Other E&amp;G-2Yr'!F8</f>
        <v>0</v>
      </c>
      <c r="G8" s="83">
        <f>+'Tuition-2Yr'!G8+'State Appropriations-2Yr'!G8+'Local Appropriations-2Yr'!G8+'Fed Contracts Grnts-2Yr'!G8+'Other Contracts Grnts-2Yr'!G8+'Investment Income-2Yr'!G8+'All Other E&amp;G-2Yr'!G8</f>
        <v>0</v>
      </c>
      <c r="H8" s="83">
        <f>+'Tuition-2Yr'!H8+'State Appropriations-2Yr'!H8+'Local Appropriations-2Yr'!H8+'Fed Contracts Grnts-2Yr'!H8+'Other Contracts Grnts-2Yr'!H8+'Investment Income-2Yr'!H8+'All Other E&amp;G-2Yr'!H8</f>
        <v>0</v>
      </c>
      <c r="I8" s="83">
        <f>+'Tuition-2Yr'!I8+'State Appropriations-2Yr'!I8+'Local Appropriations-2Yr'!I8+'Fed Contracts Grnts-2Yr'!I8+'Other Contracts Grnts-2Yr'!I8+'Investment Income-2Yr'!I8+'All Other E&amp;G-2Yr'!I8</f>
        <v>59648.76999999999</v>
      </c>
      <c r="J8" s="83">
        <f>+'Tuition-2Yr'!J8+'State Appropriations-2Yr'!J8+'Local Appropriations-2Yr'!J8+'Fed Contracts Grnts-2Yr'!J8+'Other Contracts Grnts-2Yr'!J8+'Investment Income-2Yr'!J8+'All Other E&amp;G-2Yr'!J8</f>
        <v>70842.769</v>
      </c>
      <c r="K8" s="83">
        <f>+'Tuition-2Yr'!K8+'State Appropriations-2Yr'!K8+'Local Appropriations-2Yr'!K8+'Fed Contracts Grnts-2Yr'!K8+'Other Contracts Grnts-2Yr'!K8+'Investment Income-2Yr'!K8+'All Other E&amp;G-2Yr'!K8</f>
        <v>85187.807000000001</v>
      </c>
      <c r="L8" s="83">
        <f>+'Tuition-2Yr'!L8+'State Appropriations-2Yr'!L8+'Local Appropriations-2Yr'!L8+'Fed Contracts Grnts-2Yr'!L8+'Other Contracts Grnts-2Yr'!L8+'Investment Income-2Yr'!L8+'All Other E&amp;G-2Yr'!L8</f>
        <v>91379.108999999997</v>
      </c>
      <c r="M8" s="83">
        <f>+'Tuition-2Yr'!M8+'State Appropriations-2Yr'!M8+'Local Appropriations-2Yr'!M8+'Fed Contracts Grnts-2Yr'!M8+'Other Contracts Grnts-2Yr'!M8+'Investment Income-2Yr'!M8+'All Other E&amp;G-2Yr'!M8</f>
        <v>105025.058</v>
      </c>
      <c r="N8" s="83">
        <f>+'Tuition-2Yr'!N8+'State Appropriations-2Yr'!N8+'Local Appropriations-2Yr'!N8+'Fed Contracts Grnts-2Yr'!N8+'Other Contracts Grnts-2Yr'!N8+'Investment Income-2Yr'!N8+'All Other E&amp;G-2Yr'!N8</f>
        <v>146089.23500000002</v>
      </c>
      <c r="O8" s="83">
        <f>+'Tuition-2Yr'!O8+'State Appropriations-2Yr'!O8+'Local Appropriations-2Yr'!O8+'Fed Contracts Grnts-2Yr'!O8+'Other Contracts Grnts-2Yr'!O8+'Investment Income-2Yr'!O8+'All Other E&amp;G-2Yr'!O8</f>
        <v>143968.503</v>
      </c>
      <c r="P8" s="83">
        <f>+'Tuition-2Yr'!P8+'State Appropriations-2Yr'!P8+'Local Appropriations-2Yr'!P8+'Fed Contracts Grnts-2Yr'!P8+'Other Contracts Grnts-2Yr'!P8+'Investment Income-2Yr'!P8+'All Other E&amp;G-2Yr'!P8</f>
        <v>0</v>
      </c>
      <c r="Q8" s="83">
        <f>+'Tuition-2Yr'!Q8+'State Appropriations-2Yr'!Q8+'Local Appropriations-2Yr'!Q8+'Fed Contracts Grnts-2Yr'!Q8+'Other Contracts Grnts-2Yr'!Q8+'Investment Income-2Yr'!Q8+'All Other E&amp;G-2Yr'!Q8</f>
        <v>0</v>
      </c>
      <c r="R8" s="83">
        <f>+'Tuition-2Yr'!R8+'State Appropriations-2Yr'!R8+'Local Appropriations-2Yr'!R8+'Fed Contracts Grnts-2Yr'!R8+'Other Contracts Grnts-2Yr'!R8+'Investment Income-2Yr'!R8+'All Other E&amp;G-2Yr'!R8</f>
        <v>210283.50799999997</v>
      </c>
      <c r="S8" s="83">
        <f>+'Tuition-2Yr'!S8+'State Appropriations-2Yr'!S8+'Local Appropriations-2Yr'!S8+'Fed Contracts Grnts-2Yr'!S8+'Other Contracts Grnts-2Yr'!S8+'Investment Income-2Yr'!S8+'All Other E&amp;G-2Yr'!S8</f>
        <v>230001.23500000002</v>
      </c>
      <c r="T8" s="83">
        <f>+'Tuition-2Yr'!T8+'State Appropriations-2Yr'!T8+'Local Appropriations-2Yr'!T8+'Fed Contracts Grnts-2Yr'!T8+'Other Contracts Grnts-2Yr'!T8+'Investment Income-2Yr'!T8+'All Other E&amp;G-2Yr'!T8</f>
        <v>254537.86900000001</v>
      </c>
      <c r="U8" s="83">
        <f>+'Tuition-2Yr'!U8+'State Appropriations-2Yr'!U8+'Local Appropriations-2Yr'!U8+'Fed Contracts Grnts-2Yr'!U8+'Other Contracts Grnts-2Yr'!U8+'Investment Income-2Yr'!U8+'All Other E&amp;G-2Yr'!U8</f>
        <v>246127.20500000002</v>
      </c>
      <c r="V8" s="83">
        <f>+'Tuition-2Yr'!V8+'State Appropriations-2Yr'!V8+'Local Appropriations-2Yr'!V8+'Fed Contracts Grnts-2Yr'!V8+'Other Contracts Grnts-2Yr'!V8+'Investment Income-2Yr'!V8+'All Other E&amp;G-2Yr'!V8</f>
        <v>282567.17000000004</v>
      </c>
      <c r="W8" s="83">
        <f>+'Tuition-2Yr'!W8+'State Appropriations-2Yr'!W8+'Local Appropriations-2Yr'!W8+'Fed Contracts Grnts-2Yr'!W8+'Other Contracts Grnts-2Yr'!W8+'Investment Income-2Yr'!W8+'All Other E&amp;G-2Yr'!W8</f>
        <v>319375.79999999993</v>
      </c>
      <c r="X8" s="83">
        <f>+'Tuition-2Yr'!X8+'State Appropriations-2Yr'!X8+'Local Appropriations-2Yr'!X8+'Fed Contracts Grnts-2Yr'!X8+'Other Contracts Grnts-2Yr'!X8+'Investment Income-2Yr'!X8+'All Other E&amp;G-2Yr'!X8</f>
        <v>319583.04300000001</v>
      </c>
      <c r="Y8" s="83">
        <f>+'Tuition-2Yr'!Y8+'State Appropriations-2Yr'!Y8+'Local Appropriations-2Yr'!Y8+'Fed Contracts Grnts-2Yr'!Y8+'Other Contracts Grnts-2Yr'!Y8+'Investment Income-2Yr'!Y8+'All Other E&amp;G-2Yr'!Y8</f>
        <v>396624.07700000005</v>
      </c>
      <c r="Z8" s="83">
        <f>+'Tuition-2Yr'!Z8+'State Appropriations-2Yr'!Z8+'Local Appropriations-2Yr'!Z8+'Fed Contracts Grnts-2Yr'!Z8+'Other Contracts Grnts-2Yr'!Z8+'Investment Income-2Yr'!Z8+'All Other E&amp;G-2Yr'!Z8</f>
        <v>458411.21199999994</v>
      </c>
      <c r="AA8" s="83">
        <f>+'Tuition-2Yr'!AA8+'State Appropriations-2Yr'!AA8+'Local Appropriations-2Yr'!AA8+'Fed Contracts Grnts-2Yr'!AA8+'Other Contracts Grnts-2Yr'!AA8+'Investment Income-2Yr'!AA8+'All Other E&amp;G-2Yr'!AA8</f>
        <v>472906.05799999996</v>
      </c>
      <c r="AB8" s="83">
        <f>+'Tuition-2Yr'!AB8+'State Appropriations-2Yr'!AB8+'Local Appropriations-2Yr'!AB8+'Fed Contracts Grnts-2Yr'!AB8+'Other Contracts Grnts-2Yr'!AB8+'Investment Income-2Yr'!AB8+'All Other E&amp;G-2Yr'!AB8</f>
        <v>553684.15500000003</v>
      </c>
      <c r="AC8" s="83">
        <f>+'Tuition-2Yr'!AC8+'State Appropriations-2Yr'!AC8+'Local Appropriations-2Yr'!AC8+'Fed Contracts Grnts-2Yr'!AC8+'Other Contracts Grnts-2Yr'!AC8+'Investment Income-2Yr'!AC8+'All Other E&amp;G-2Yr'!AC8</f>
        <v>593731</v>
      </c>
      <c r="AD8" s="83">
        <f>+'Tuition-2Yr'!AD8+'State Appropriations-2Yr'!AD8+'Local Appropriations-2Yr'!AD8+'Fed Contracts Grnts-2Yr'!AD8+'Other Contracts Grnts-2Yr'!AD8+'Investment Income-2Yr'!AD8+'All Other E&amp;G-2Yr'!AD8</f>
        <v>580420.1</v>
      </c>
      <c r="AE8" s="83">
        <f>+'Tuition-2Yr'!AE8+'State Appropriations-2Yr'!AE8+'Local Appropriations-2Yr'!AE8+'Fed Contracts Grnts-2Yr'!AE8+'Other Contracts Grnts-2Yr'!AE8+'Investment Income-2Yr'!AE8+'All Other E&amp;G-2Yr'!AE8</f>
        <v>566790.57699999993</v>
      </c>
      <c r="AF8" s="83">
        <f>+'Tuition-2Yr'!AF8+'State Appropriations-2Yr'!AF8+'Local Appropriations-2Yr'!AF8+'Fed Contracts Grnts-2Yr'!AF8+'Other Contracts Grnts-2Yr'!AF8+'Investment Income-2Yr'!AF8+'All Other E&amp;G-2Yr'!AF8</f>
        <v>556515.06699999992</v>
      </c>
      <c r="AG8" s="83">
        <f>+'Tuition-2Yr'!AG8+'State Appropriations-2Yr'!AG8+'Local Appropriations-2Yr'!AG8+'Fed Contracts Grnts-2Yr'!AG8+'Other Contracts Grnts-2Yr'!AG8+'Investment Income-2Yr'!AG8+'All Other E&amp;G-2Yr'!AG8</f>
        <v>537464.08699999994</v>
      </c>
      <c r="AH8" s="83">
        <f>+'Tuition-2Yr'!AH8+'State Appropriations-2Yr'!AH8+'Local Appropriations-2Yr'!AH8+'Fed Contracts Grnts-2Yr'!AH8+'Other Contracts Grnts-2Yr'!AH8+'Investment Income-2Yr'!AH8+'All Other E&amp;G-2Yr'!AH8</f>
        <v>518375.08200000005</v>
      </c>
      <c r="AI8" s="83">
        <f>+'Tuition-2Yr'!AI8+'State Appropriations-2Yr'!AI8+'Local Appropriations-2Yr'!AI8+'Fed Contracts Grnts-2Yr'!AI8+'Other Contracts Grnts-2Yr'!AI8+'Investment Income-2Yr'!AI8+'All Other E&amp;G-2Yr'!AI8</f>
        <v>515694.46699999995</v>
      </c>
      <c r="AJ8" s="83">
        <f>+'Tuition-2Yr'!AJ8+'State Appropriations-2Yr'!AJ8+'Local Appropriations-2Yr'!AJ8+'Fed Contracts Grnts-2Yr'!AJ8+'Other Contracts Grnts-2Yr'!AJ8+'Investment Income-2Yr'!AJ8+'All Other E&amp;G-2Yr'!AJ8</f>
        <v>0</v>
      </c>
      <c r="AK8" s="83">
        <f>+'Tuition-2Yr'!AK8+'State Appropriations-2Yr'!AK8+'Local Appropriations-2Yr'!AK8+'Fed Contracts Grnts-2Yr'!AK8+'Other Contracts Grnts-2Yr'!AK8+'Investment Income-2Yr'!AK8+'All Other E&amp;G-2Yr'!AK8</f>
        <v>576254.15500000003</v>
      </c>
      <c r="AL8" s="83">
        <f>+'Tuition-2Yr'!AL8+'State Appropriations-2Yr'!AL8+'Local Appropriations-2Yr'!AL8+'Fed Contracts Grnts-2Yr'!AL8+'Other Contracts Grnts-2Yr'!AL8+'Investment Income-2Yr'!AL8+'All Other E&amp;G-2Yr'!AL8</f>
        <v>546096.71899999992</v>
      </c>
    </row>
    <row r="9" spans="1:38" ht="12.75" customHeight="1">
      <c r="A9" s="1" t="s">
        <v>24</v>
      </c>
      <c r="B9" s="83">
        <f>+'Tuition-2Yr'!B9+'State Appropriations-2Yr'!B9+'Local Appropriations-2Yr'!B9+'Fed Contracts Grnts-2Yr'!B9+'Other Contracts Grnts-2Yr'!B9+'Investment Income-2Yr'!B9+'All Other E&amp;G-2Yr'!B9</f>
        <v>0</v>
      </c>
      <c r="C9" s="83">
        <f>+'Tuition-2Yr'!C9+'State Appropriations-2Yr'!C9+'Local Appropriations-2Yr'!C9+'Fed Contracts Grnts-2Yr'!C9+'Other Contracts Grnts-2Yr'!C9+'Investment Income-2Yr'!C9+'All Other E&amp;G-2Yr'!C9</f>
        <v>0</v>
      </c>
      <c r="D9" s="83">
        <f>+'Tuition-2Yr'!D9+'State Appropriations-2Yr'!D9+'Local Appropriations-2Yr'!D9+'Fed Contracts Grnts-2Yr'!D9+'Other Contracts Grnts-2Yr'!D9+'Investment Income-2Yr'!D9+'All Other E&amp;G-2Yr'!D9</f>
        <v>23735</v>
      </c>
      <c r="E9" s="83">
        <f>+'Tuition-2Yr'!E9+'State Appropriations-2Yr'!E9+'Local Appropriations-2Yr'!E9+'Fed Contracts Grnts-2Yr'!E9+'Other Contracts Grnts-2Yr'!E9+'Investment Income-2Yr'!E9+'All Other E&amp;G-2Yr'!E9</f>
        <v>0</v>
      </c>
      <c r="F9" s="83">
        <f>+'Tuition-2Yr'!F9+'State Appropriations-2Yr'!F9+'Local Appropriations-2Yr'!F9+'Fed Contracts Grnts-2Yr'!F9+'Other Contracts Grnts-2Yr'!F9+'Investment Income-2Yr'!F9+'All Other E&amp;G-2Yr'!F9</f>
        <v>0</v>
      </c>
      <c r="G9" s="83">
        <f>+'Tuition-2Yr'!G9+'State Appropriations-2Yr'!G9+'Local Appropriations-2Yr'!G9+'Fed Contracts Grnts-2Yr'!G9+'Other Contracts Grnts-2Yr'!G9+'Investment Income-2Yr'!G9+'All Other E&amp;G-2Yr'!G9</f>
        <v>0</v>
      </c>
      <c r="H9" s="83">
        <f>+'Tuition-2Yr'!H9+'State Appropriations-2Yr'!H9+'Local Appropriations-2Yr'!H9+'Fed Contracts Grnts-2Yr'!H9+'Other Contracts Grnts-2Yr'!H9+'Investment Income-2Yr'!H9+'All Other E&amp;G-2Yr'!H9</f>
        <v>0</v>
      </c>
      <c r="I9" s="83">
        <f>+'Tuition-2Yr'!I9+'State Appropriations-2Yr'!I9+'Local Appropriations-2Yr'!I9+'Fed Contracts Grnts-2Yr'!I9+'Other Contracts Grnts-2Yr'!I9+'Investment Income-2Yr'!I9+'All Other E&amp;G-2Yr'!I9</f>
        <v>47014.712999999996</v>
      </c>
      <c r="J9" s="83">
        <f>+'Tuition-2Yr'!J9+'State Appropriations-2Yr'!J9+'Local Appropriations-2Yr'!J9+'Fed Contracts Grnts-2Yr'!J9+'Other Contracts Grnts-2Yr'!J9+'Investment Income-2Yr'!J9+'All Other E&amp;G-2Yr'!J9</f>
        <v>63905.838000000003</v>
      </c>
      <c r="K9" s="83">
        <f>+'Tuition-2Yr'!K9+'State Appropriations-2Yr'!K9+'Local Appropriations-2Yr'!K9+'Fed Contracts Grnts-2Yr'!K9+'Other Contracts Grnts-2Yr'!K9+'Investment Income-2Yr'!K9+'All Other E&amp;G-2Yr'!K9</f>
        <v>0</v>
      </c>
      <c r="L9" s="83">
        <f>+'Tuition-2Yr'!L9+'State Appropriations-2Yr'!L9+'Local Appropriations-2Yr'!L9+'Fed Contracts Grnts-2Yr'!L9+'Other Contracts Grnts-2Yr'!L9+'Investment Income-2Yr'!L9+'All Other E&amp;G-2Yr'!L9</f>
        <v>0</v>
      </c>
      <c r="M9" s="83">
        <f>+'Tuition-2Yr'!M9+'State Appropriations-2Yr'!M9+'Local Appropriations-2Yr'!M9+'Fed Contracts Grnts-2Yr'!M9+'Other Contracts Grnts-2Yr'!M9+'Investment Income-2Yr'!M9+'All Other E&amp;G-2Yr'!M9</f>
        <v>64359.7</v>
      </c>
      <c r="N9" s="83">
        <f>+'Tuition-2Yr'!N9+'State Appropriations-2Yr'!N9+'Local Appropriations-2Yr'!N9+'Fed Contracts Grnts-2Yr'!N9+'Other Contracts Grnts-2Yr'!N9+'Investment Income-2Yr'!N9+'All Other E&amp;G-2Yr'!N9</f>
        <v>68917.567999999999</v>
      </c>
      <c r="O9" s="83">
        <f>+'Tuition-2Yr'!O9+'State Appropriations-2Yr'!O9+'Local Appropriations-2Yr'!O9+'Fed Contracts Grnts-2Yr'!O9+'Other Contracts Grnts-2Yr'!O9+'Investment Income-2Yr'!O9+'All Other E&amp;G-2Yr'!O9</f>
        <v>74762.218999999997</v>
      </c>
      <c r="P9" s="83">
        <f>+'Tuition-2Yr'!P9+'State Appropriations-2Yr'!P9+'Local Appropriations-2Yr'!P9+'Fed Contracts Grnts-2Yr'!P9+'Other Contracts Grnts-2Yr'!P9+'Investment Income-2Yr'!P9+'All Other E&amp;G-2Yr'!P9</f>
        <v>0</v>
      </c>
      <c r="Q9" s="83">
        <f>+'Tuition-2Yr'!Q9+'State Appropriations-2Yr'!Q9+'Local Appropriations-2Yr'!Q9+'Fed Contracts Grnts-2Yr'!Q9+'Other Contracts Grnts-2Yr'!Q9+'Investment Income-2Yr'!Q9+'All Other E&amp;G-2Yr'!Q9</f>
        <v>0</v>
      </c>
      <c r="R9" s="83">
        <f>+'Tuition-2Yr'!R9+'State Appropriations-2Yr'!R9+'Local Appropriations-2Yr'!R9+'Fed Contracts Grnts-2Yr'!R9+'Other Contracts Grnts-2Yr'!R9+'Investment Income-2Yr'!R9+'All Other E&amp;G-2Yr'!R9</f>
        <v>83793.294999999998</v>
      </c>
      <c r="S9" s="83">
        <f>+'Tuition-2Yr'!S9+'State Appropriations-2Yr'!S9+'Local Appropriations-2Yr'!S9+'Fed Contracts Grnts-2Yr'!S9+'Other Contracts Grnts-2Yr'!S9+'Investment Income-2Yr'!S9+'All Other E&amp;G-2Yr'!S9</f>
        <v>89812.878999999986</v>
      </c>
      <c r="T9" s="83">
        <f>+'Tuition-2Yr'!T9+'State Appropriations-2Yr'!T9+'Local Appropriations-2Yr'!T9+'Fed Contracts Grnts-2Yr'!T9+'Other Contracts Grnts-2Yr'!T9+'Investment Income-2Yr'!T9+'All Other E&amp;G-2Yr'!T9</f>
        <v>90428.844999999987</v>
      </c>
      <c r="U9" s="83">
        <f>+'Tuition-2Yr'!U9+'State Appropriations-2Yr'!U9+'Local Appropriations-2Yr'!U9+'Fed Contracts Grnts-2Yr'!U9+'Other Contracts Grnts-2Yr'!U9+'Investment Income-2Yr'!U9+'All Other E&amp;G-2Yr'!U9</f>
        <v>97110.25</v>
      </c>
      <c r="V9" s="83">
        <f>+'Tuition-2Yr'!V9+'State Appropriations-2Yr'!V9+'Local Appropriations-2Yr'!V9+'Fed Contracts Grnts-2Yr'!V9+'Other Contracts Grnts-2Yr'!V9+'Investment Income-2Yr'!V9+'All Other E&amp;G-2Yr'!V9</f>
        <v>98673.514999999999</v>
      </c>
      <c r="W9" s="83">
        <f>+'Tuition-2Yr'!W9+'State Appropriations-2Yr'!W9+'Local Appropriations-2Yr'!W9+'Fed Contracts Grnts-2Yr'!W9+'Other Contracts Grnts-2Yr'!W9+'Investment Income-2Yr'!W9+'All Other E&amp;G-2Yr'!W9</f>
        <v>105824.777</v>
      </c>
      <c r="X9" s="83">
        <f>+'Tuition-2Yr'!X9+'State Appropriations-2Yr'!X9+'Local Appropriations-2Yr'!X9+'Fed Contracts Grnts-2Yr'!X9+'Other Contracts Grnts-2Yr'!X9+'Investment Income-2Yr'!X9+'All Other E&amp;G-2Yr'!X9</f>
        <v>111203.78700000001</v>
      </c>
      <c r="Y9" s="83">
        <f>+'Tuition-2Yr'!Y9+'State Appropriations-2Yr'!Y9+'Local Appropriations-2Yr'!Y9+'Fed Contracts Grnts-2Yr'!Y9+'Other Contracts Grnts-2Yr'!Y9+'Investment Income-2Yr'!Y9+'All Other E&amp;G-2Yr'!Y9</f>
        <v>118677.982</v>
      </c>
      <c r="Z9" s="83">
        <f>+'Tuition-2Yr'!Z9+'State Appropriations-2Yr'!Z9+'Local Appropriations-2Yr'!Z9+'Fed Contracts Grnts-2Yr'!Z9+'Other Contracts Grnts-2Yr'!Z9+'Investment Income-2Yr'!Z9+'All Other E&amp;G-2Yr'!Z9</f>
        <v>127897.902</v>
      </c>
      <c r="AA9" s="83">
        <f>+'Tuition-2Yr'!AA9+'State Appropriations-2Yr'!AA9+'Local Appropriations-2Yr'!AA9+'Fed Contracts Grnts-2Yr'!AA9+'Other Contracts Grnts-2Yr'!AA9+'Investment Income-2Yr'!AA9+'All Other E&amp;G-2Yr'!AA9</f>
        <v>131744.76</v>
      </c>
      <c r="AB9" s="83">
        <f>+'Tuition-2Yr'!AB9+'State Appropriations-2Yr'!AB9+'Local Appropriations-2Yr'!AB9+'Fed Contracts Grnts-2Yr'!AB9+'Other Contracts Grnts-2Yr'!AB9+'Investment Income-2Yr'!AB9+'All Other E&amp;G-2Yr'!AB9</f>
        <v>154882.375</v>
      </c>
      <c r="AC9" s="83">
        <f>+'Tuition-2Yr'!AC9+'State Appropriations-2Yr'!AC9+'Local Appropriations-2Yr'!AC9+'Fed Contracts Grnts-2Yr'!AC9+'Other Contracts Grnts-2Yr'!AC9+'Investment Income-2Yr'!AC9+'All Other E&amp;G-2Yr'!AC9</f>
        <v>170110</v>
      </c>
      <c r="AD9" s="83">
        <f>+'Tuition-2Yr'!AD9+'State Appropriations-2Yr'!AD9+'Local Appropriations-2Yr'!AD9+'Fed Contracts Grnts-2Yr'!AD9+'Other Contracts Grnts-2Yr'!AD9+'Investment Income-2Yr'!AD9+'All Other E&amp;G-2Yr'!AD9</f>
        <v>188914.93400000001</v>
      </c>
      <c r="AE9" s="83">
        <f>+'Tuition-2Yr'!AE9+'State Appropriations-2Yr'!AE9+'Local Appropriations-2Yr'!AE9+'Fed Contracts Grnts-2Yr'!AE9+'Other Contracts Grnts-2Yr'!AE9+'Investment Income-2Yr'!AE9+'All Other E&amp;G-2Yr'!AE9</f>
        <v>174771.13</v>
      </c>
      <c r="AF9" s="83">
        <f>+'Tuition-2Yr'!AF9+'State Appropriations-2Yr'!AF9+'Local Appropriations-2Yr'!AF9+'Fed Contracts Grnts-2Yr'!AF9+'Other Contracts Grnts-2Yr'!AF9+'Investment Income-2Yr'!AF9+'All Other E&amp;G-2Yr'!AF9</f>
        <v>178575.492</v>
      </c>
      <c r="AG9" s="83">
        <f>+'Tuition-2Yr'!AG9+'State Appropriations-2Yr'!AG9+'Local Appropriations-2Yr'!AG9+'Fed Contracts Grnts-2Yr'!AG9+'Other Contracts Grnts-2Yr'!AG9+'Investment Income-2Yr'!AG9+'All Other E&amp;G-2Yr'!AG9</f>
        <v>180491.46100000001</v>
      </c>
      <c r="AH9" s="83">
        <f>+'Tuition-2Yr'!AH9+'State Appropriations-2Yr'!AH9+'Local Appropriations-2Yr'!AH9+'Fed Contracts Grnts-2Yr'!AH9+'Other Contracts Grnts-2Yr'!AH9+'Investment Income-2Yr'!AH9+'All Other E&amp;G-2Yr'!AH9</f>
        <v>183292.77300000002</v>
      </c>
      <c r="AI9" s="83">
        <f>+'Tuition-2Yr'!AI9+'State Appropriations-2Yr'!AI9+'Local Appropriations-2Yr'!AI9+'Fed Contracts Grnts-2Yr'!AI9+'Other Contracts Grnts-2Yr'!AI9+'Investment Income-2Yr'!AI9+'All Other E&amp;G-2Yr'!AI9</f>
        <v>186929.09499999997</v>
      </c>
      <c r="AJ9" s="83">
        <f>+'Tuition-2Yr'!AJ9+'State Appropriations-2Yr'!AJ9+'Local Appropriations-2Yr'!AJ9+'Fed Contracts Grnts-2Yr'!AJ9+'Other Contracts Grnts-2Yr'!AJ9+'Investment Income-2Yr'!AJ9+'All Other E&amp;G-2Yr'!AJ9</f>
        <v>0</v>
      </c>
      <c r="AK9" s="83">
        <f>+'Tuition-2Yr'!AK9+'State Appropriations-2Yr'!AK9+'Local Appropriations-2Yr'!AK9+'Fed Contracts Grnts-2Yr'!AK9+'Other Contracts Grnts-2Yr'!AK9+'Investment Income-2Yr'!AK9+'All Other E&amp;G-2Yr'!AK9</f>
        <v>193293.02500000002</v>
      </c>
      <c r="AL9" s="83">
        <f>+'Tuition-2Yr'!AL9+'State Appropriations-2Yr'!AL9+'Local Appropriations-2Yr'!AL9+'Fed Contracts Grnts-2Yr'!AL9+'Other Contracts Grnts-2Yr'!AL9+'Investment Income-2Yr'!AL9+'All Other E&amp;G-2Yr'!AL9</f>
        <v>198289.34100000001</v>
      </c>
    </row>
    <row r="10" spans="1:38" ht="12.75" customHeight="1">
      <c r="A10" s="1" t="s">
        <v>25</v>
      </c>
      <c r="B10" s="83">
        <f>+'Tuition-2Yr'!B10+'State Appropriations-2Yr'!B10+'Local Appropriations-2Yr'!B10+'Fed Contracts Grnts-2Yr'!B10+'Other Contracts Grnts-2Yr'!B10+'Investment Income-2Yr'!B10+'All Other E&amp;G-2Yr'!B10</f>
        <v>500236</v>
      </c>
      <c r="C10" s="83">
        <f>+'Tuition-2Yr'!C10+'State Appropriations-2Yr'!C10+'Local Appropriations-2Yr'!C10+'Fed Contracts Grnts-2Yr'!C10+'Other Contracts Grnts-2Yr'!C10+'Investment Income-2Yr'!C10+'All Other E&amp;G-2Yr'!C10</f>
        <v>522708</v>
      </c>
      <c r="D10" s="83">
        <f>+'Tuition-2Yr'!D10+'State Appropriations-2Yr'!D10+'Local Appropriations-2Yr'!D10+'Fed Contracts Grnts-2Yr'!D10+'Other Contracts Grnts-2Yr'!D10+'Investment Income-2Yr'!D10+'All Other E&amp;G-2Yr'!D10</f>
        <v>552297</v>
      </c>
      <c r="E10" s="83">
        <f>+'Tuition-2Yr'!E10+'State Appropriations-2Yr'!E10+'Local Appropriations-2Yr'!E10+'Fed Contracts Grnts-2Yr'!E10+'Other Contracts Grnts-2Yr'!E10+'Investment Income-2Yr'!E10+'All Other E&amp;G-2Yr'!E10</f>
        <v>0</v>
      </c>
      <c r="F10" s="83">
        <f>+'Tuition-2Yr'!F10+'State Appropriations-2Yr'!F10+'Local Appropriations-2Yr'!F10+'Fed Contracts Grnts-2Yr'!F10+'Other Contracts Grnts-2Yr'!F10+'Investment Income-2Yr'!F10+'All Other E&amp;G-2Yr'!F10</f>
        <v>0</v>
      </c>
      <c r="G10" s="83">
        <f>+'Tuition-2Yr'!G10+'State Appropriations-2Yr'!G10+'Local Appropriations-2Yr'!G10+'Fed Contracts Grnts-2Yr'!G10+'Other Contracts Grnts-2Yr'!G10+'Investment Income-2Yr'!G10+'All Other E&amp;G-2Yr'!G10</f>
        <v>0</v>
      </c>
      <c r="H10" s="83">
        <f>+'Tuition-2Yr'!H10+'State Appropriations-2Yr'!H10+'Local Appropriations-2Yr'!H10+'Fed Contracts Grnts-2Yr'!H10+'Other Contracts Grnts-2Yr'!H10+'Investment Income-2Yr'!H10+'All Other E&amp;G-2Yr'!H10</f>
        <v>0</v>
      </c>
      <c r="I10" s="83">
        <f>+'Tuition-2Yr'!I10+'State Appropriations-2Yr'!I10+'Local Appropriations-2Yr'!I10+'Fed Contracts Grnts-2Yr'!I10+'Other Contracts Grnts-2Yr'!I10+'Investment Income-2Yr'!I10+'All Other E&amp;G-2Yr'!I10</f>
        <v>927756.37200000009</v>
      </c>
      <c r="J10" s="83">
        <f>+'Tuition-2Yr'!J10+'State Appropriations-2Yr'!J10+'Local Appropriations-2Yr'!J10+'Fed Contracts Grnts-2Yr'!J10+'Other Contracts Grnts-2Yr'!J10+'Investment Income-2Yr'!J10+'All Other E&amp;G-2Yr'!J10</f>
        <v>986859.01599999995</v>
      </c>
      <c r="K10" s="83">
        <f>+'Tuition-2Yr'!K10+'State Appropriations-2Yr'!K10+'Local Appropriations-2Yr'!K10+'Fed Contracts Grnts-2Yr'!K10+'Other Contracts Grnts-2Yr'!K10+'Investment Income-2Yr'!K10+'All Other E&amp;G-2Yr'!K10</f>
        <v>1052291.798</v>
      </c>
      <c r="L10" s="83">
        <f>+'Tuition-2Yr'!L10+'State Appropriations-2Yr'!L10+'Local Appropriations-2Yr'!L10+'Fed Contracts Grnts-2Yr'!L10+'Other Contracts Grnts-2Yr'!L10+'Investment Income-2Yr'!L10+'All Other E&amp;G-2Yr'!L10</f>
        <v>1113754.05</v>
      </c>
      <c r="M10" s="83">
        <f>+'Tuition-2Yr'!M10+'State Appropriations-2Yr'!M10+'Local Appropriations-2Yr'!M10+'Fed Contracts Grnts-2Yr'!M10+'Other Contracts Grnts-2Yr'!M10+'Investment Income-2Yr'!M10+'All Other E&amp;G-2Yr'!M10</f>
        <v>1158694.4040000003</v>
      </c>
      <c r="N10" s="83">
        <f>+'Tuition-2Yr'!N10+'State Appropriations-2Yr'!N10+'Local Appropriations-2Yr'!N10+'Fed Contracts Grnts-2Yr'!N10+'Other Contracts Grnts-2Yr'!N10+'Investment Income-2Yr'!N10+'All Other E&amp;G-2Yr'!N10</f>
        <v>1195912.5059999998</v>
      </c>
      <c r="O10" s="83">
        <f>+'Tuition-2Yr'!O10+'State Appropriations-2Yr'!O10+'Local Appropriations-2Yr'!O10+'Fed Contracts Grnts-2Yr'!O10+'Other Contracts Grnts-2Yr'!O10+'Investment Income-2Yr'!O10+'All Other E&amp;G-2Yr'!O10</f>
        <v>1303896.9039999999</v>
      </c>
      <c r="P10" s="83">
        <f>+'Tuition-2Yr'!P10+'State Appropriations-2Yr'!P10+'Local Appropriations-2Yr'!P10+'Fed Contracts Grnts-2Yr'!P10+'Other Contracts Grnts-2Yr'!P10+'Investment Income-2Yr'!P10+'All Other E&amp;G-2Yr'!P10</f>
        <v>0</v>
      </c>
      <c r="Q10" s="83">
        <f>+'Tuition-2Yr'!Q10+'State Appropriations-2Yr'!Q10+'Local Appropriations-2Yr'!Q10+'Fed Contracts Grnts-2Yr'!Q10+'Other Contracts Grnts-2Yr'!Q10+'Investment Income-2Yr'!Q10+'All Other E&amp;G-2Yr'!Q10</f>
        <v>0</v>
      </c>
      <c r="R10" s="83">
        <f>+'Tuition-2Yr'!R10+'State Appropriations-2Yr'!R10+'Local Appropriations-2Yr'!R10+'Fed Contracts Grnts-2Yr'!R10+'Other Contracts Grnts-2Yr'!R10+'Investment Income-2Yr'!R10+'All Other E&amp;G-2Yr'!R10</f>
        <v>1555907.463</v>
      </c>
      <c r="S10" s="83">
        <f>+'Tuition-2Yr'!S10+'State Appropriations-2Yr'!S10+'Local Appropriations-2Yr'!S10+'Fed Contracts Grnts-2Yr'!S10+'Other Contracts Grnts-2Yr'!S10+'Investment Income-2Yr'!S10+'All Other E&amp;G-2Yr'!S10</f>
        <v>1943647.986</v>
      </c>
      <c r="T10" s="83">
        <f>+'Tuition-2Yr'!T10+'State Appropriations-2Yr'!T10+'Local Appropriations-2Yr'!T10+'Fed Contracts Grnts-2Yr'!T10+'Other Contracts Grnts-2Yr'!T10+'Investment Income-2Yr'!T10+'All Other E&amp;G-2Yr'!T10</f>
        <v>1679629.1740000003</v>
      </c>
      <c r="U10" s="83">
        <f>+'Tuition-2Yr'!U10+'State Appropriations-2Yr'!U10+'Local Appropriations-2Yr'!U10+'Fed Contracts Grnts-2Yr'!U10+'Other Contracts Grnts-2Yr'!U10+'Investment Income-2Yr'!U10+'All Other E&amp;G-2Yr'!U10</f>
        <v>1361985.9249999998</v>
      </c>
      <c r="V10" s="83">
        <f>+'Tuition-2Yr'!V10+'State Appropriations-2Yr'!V10+'Local Appropriations-2Yr'!V10+'Fed Contracts Grnts-2Yr'!V10+'Other Contracts Grnts-2Yr'!V10+'Investment Income-2Yr'!V10+'All Other E&amp;G-2Yr'!V10</f>
        <v>1353467.6710000001</v>
      </c>
      <c r="W10" s="83">
        <f>+'Tuition-2Yr'!W10+'State Appropriations-2Yr'!W10+'Local Appropriations-2Yr'!W10+'Fed Contracts Grnts-2Yr'!W10+'Other Contracts Grnts-2Yr'!W10+'Investment Income-2Yr'!W10+'All Other E&amp;G-2Yr'!W10</f>
        <v>1583708.6690000002</v>
      </c>
      <c r="X10" s="83">
        <f>+'Tuition-2Yr'!X10+'State Appropriations-2Yr'!X10+'Local Appropriations-2Yr'!X10+'Fed Contracts Grnts-2Yr'!X10+'Other Contracts Grnts-2Yr'!X10+'Investment Income-2Yr'!X10+'All Other E&amp;G-2Yr'!X10</f>
        <v>1517317.129</v>
      </c>
      <c r="Y10" s="83">
        <f>+'Tuition-2Yr'!Y10+'State Appropriations-2Yr'!Y10+'Local Appropriations-2Yr'!Y10+'Fed Contracts Grnts-2Yr'!Y10+'Other Contracts Grnts-2Yr'!Y10+'Investment Income-2Yr'!Y10+'All Other E&amp;G-2Yr'!Y10</f>
        <v>1925255.132</v>
      </c>
      <c r="Z10" s="83">
        <f>+'Tuition-2Yr'!Z10+'State Appropriations-2Yr'!Z10+'Local Appropriations-2Yr'!Z10+'Fed Contracts Grnts-2Yr'!Z10+'Other Contracts Grnts-2Yr'!Z10+'Investment Income-2Yr'!Z10+'All Other E&amp;G-2Yr'!Z10</f>
        <v>1944414.281</v>
      </c>
      <c r="AA10" s="83">
        <f>+'Tuition-2Yr'!AA10+'State Appropriations-2Yr'!AA10+'Local Appropriations-2Yr'!AA10+'Fed Contracts Grnts-2Yr'!AA10+'Other Contracts Grnts-2Yr'!AA10+'Investment Income-2Yr'!AA10+'All Other E&amp;G-2Yr'!AA10</f>
        <v>2642656.3679999998</v>
      </c>
      <c r="AB10" s="83">
        <f>+'Tuition-2Yr'!AB10+'State Appropriations-2Yr'!AB10+'Local Appropriations-2Yr'!AB10+'Fed Contracts Grnts-2Yr'!AB10+'Other Contracts Grnts-2Yr'!AB10+'Investment Income-2Yr'!AB10+'All Other E&amp;G-2Yr'!AB10</f>
        <v>3221592.9819999998</v>
      </c>
      <c r="AC10" s="83">
        <f>+'Tuition-2Yr'!AC10+'State Appropriations-2Yr'!AC10+'Local Appropriations-2Yr'!AC10+'Fed Contracts Grnts-2Yr'!AC10+'Other Contracts Grnts-2Yr'!AC10+'Investment Income-2Yr'!AC10+'All Other E&amp;G-2Yr'!AC10</f>
        <v>3586428</v>
      </c>
      <c r="AD10" s="83">
        <f>+'Tuition-2Yr'!AD10+'State Appropriations-2Yr'!AD10+'Local Appropriations-2Yr'!AD10+'Fed Contracts Grnts-2Yr'!AD10+'Other Contracts Grnts-2Yr'!AD10+'Investment Income-2Yr'!AD10+'All Other E&amp;G-2Yr'!AD10</f>
        <v>3473602.9040000001</v>
      </c>
      <c r="AE10" s="83">
        <f>+'Tuition-2Yr'!AE10+'State Appropriations-2Yr'!AE10+'Local Appropriations-2Yr'!AE10+'Fed Contracts Grnts-2Yr'!AE10+'Other Contracts Grnts-2Yr'!AE10+'Investment Income-2Yr'!AE10+'All Other E&amp;G-2Yr'!AE10</f>
        <v>3425535.3559999992</v>
      </c>
      <c r="AF10" s="83">
        <f>+'Tuition-2Yr'!AF10+'State Appropriations-2Yr'!AF10+'Local Appropriations-2Yr'!AF10+'Fed Contracts Grnts-2Yr'!AF10+'Other Contracts Grnts-2Yr'!AF10+'Investment Income-2Yr'!AF10+'All Other E&amp;G-2Yr'!AF10</f>
        <v>3484381.5359999998</v>
      </c>
      <c r="AG10" s="83">
        <f>+'Tuition-2Yr'!AG10+'State Appropriations-2Yr'!AG10+'Local Appropriations-2Yr'!AG10+'Fed Contracts Grnts-2Yr'!AG10+'Other Contracts Grnts-2Yr'!AG10+'Investment Income-2Yr'!AG10+'All Other E&amp;G-2Yr'!AG10</f>
        <v>3509401.2829999998</v>
      </c>
      <c r="AH10" s="83">
        <f>+'Tuition-2Yr'!AH10+'State Appropriations-2Yr'!AH10+'Local Appropriations-2Yr'!AH10+'Fed Contracts Grnts-2Yr'!AH10+'Other Contracts Grnts-2Yr'!AH10+'Investment Income-2Yr'!AH10+'All Other E&amp;G-2Yr'!AH10</f>
        <v>3652526.4659999995</v>
      </c>
      <c r="AI10" s="83">
        <f>+'Tuition-2Yr'!AI10+'State Appropriations-2Yr'!AI10+'Local Appropriations-2Yr'!AI10+'Fed Contracts Grnts-2Yr'!AI10+'Other Contracts Grnts-2Yr'!AI10+'Investment Income-2Yr'!AI10+'All Other E&amp;G-2Yr'!AI10</f>
        <v>3415199.7720000003</v>
      </c>
      <c r="AJ10" s="83">
        <f>+'Tuition-2Yr'!AJ10+'State Appropriations-2Yr'!AJ10+'Local Appropriations-2Yr'!AJ10+'Fed Contracts Grnts-2Yr'!AJ10+'Other Contracts Grnts-2Yr'!AJ10+'Investment Income-2Yr'!AJ10+'All Other E&amp;G-2Yr'!AJ10</f>
        <v>0</v>
      </c>
      <c r="AK10" s="83">
        <f>+'Tuition-2Yr'!AK10+'State Appropriations-2Yr'!AK10+'Local Appropriations-2Yr'!AK10+'Fed Contracts Grnts-2Yr'!AK10+'Other Contracts Grnts-2Yr'!AK10+'Investment Income-2Yr'!AK10+'All Other E&amp;G-2Yr'!AK10</f>
        <v>4217593.4460000005</v>
      </c>
      <c r="AL10" s="83">
        <f>+'Tuition-2Yr'!AL10+'State Appropriations-2Yr'!AL10+'Local Appropriations-2Yr'!AL10+'Fed Contracts Grnts-2Yr'!AL10+'Other Contracts Grnts-2Yr'!AL10+'Investment Income-2Yr'!AL10+'All Other E&amp;G-2Yr'!AL10</f>
        <v>3676279.8569999998</v>
      </c>
    </row>
    <row r="11" spans="1:38" ht="12.75" customHeight="1">
      <c r="A11" s="1" t="s">
        <v>26</v>
      </c>
      <c r="B11" s="83">
        <f>+'Tuition-2Yr'!B11+'State Appropriations-2Yr'!B11+'Local Appropriations-2Yr'!B11+'Fed Contracts Grnts-2Yr'!B11+'Other Contracts Grnts-2Yr'!B11+'Investment Income-2Yr'!B11+'All Other E&amp;G-2Yr'!B11</f>
        <v>92232</v>
      </c>
      <c r="C11" s="83">
        <f>+'Tuition-2Yr'!C11+'State Appropriations-2Yr'!C11+'Local Appropriations-2Yr'!C11+'Fed Contracts Grnts-2Yr'!C11+'Other Contracts Grnts-2Yr'!C11+'Investment Income-2Yr'!C11+'All Other E&amp;G-2Yr'!C11</f>
        <v>97429</v>
      </c>
      <c r="D11" s="83">
        <f>+'Tuition-2Yr'!D11+'State Appropriations-2Yr'!D11+'Local Appropriations-2Yr'!D11+'Fed Contracts Grnts-2Yr'!D11+'Other Contracts Grnts-2Yr'!D11+'Investment Income-2Yr'!D11+'All Other E&amp;G-2Yr'!D11</f>
        <v>102678</v>
      </c>
      <c r="E11" s="83">
        <f>+'Tuition-2Yr'!E11+'State Appropriations-2Yr'!E11+'Local Appropriations-2Yr'!E11+'Fed Contracts Grnts-2Yr'!E11+'Other Contracts Grnts-2Yr'!E11+'Investment Income-2Yr'!E11+'All Other E&amp;G-2Yr'!E11</f>
        <v>0</v>
      </c>
      <c r="F11" s="83">
        <f>+'Tuition-2Yr'!F11+'State Appropriations-2Yr'!F11+'Local Appropriations-2Yr'!F11+'Fed Contracts Grnts-2Yr'!F11+'Other Contracts Grnts-2Yr'!F11+'Investment Income-2Yr'!F11+'All Other E&amp;G-2Yr'!F11</f>
        <v>0</v>
      </c>
      <c r="G11" s="83">
        <f>+'Tuition-2Yr'!G11+'State Appropriations-2Yr'!G11+'Local Appropriations-2Yr'!G11+'Fed Contracts Grnts-2Yr'!G11+'Other Contracts Grnts-2Yr'!G11+'Investment Income-2Yr'!G11+'All Other E&amp;G-2Yr'!G11</f>
        <v>0</v>
      </c>
      <c r="H11" s="83">
        <f>+'Tuition-2Yr'!H11+'State Appropriations-2Yr'!H11+'Local Appropriations-2Yr'!H11+'Fed Contracts Grnts-2Yr'!H11+'Other Contracts Grnts-2Yr'!H11+'Investment Income-2Yr'!H11+'All Other E&amp;G-2Yr'!H11</f>
        <v>0</v>
      </c>
      <c r="I11" s="83">
        <f>+'Tuition-2Yr'!I11+'State Appropriations-2Yr'!I11+'Local Appropriations-2Yr'!I11+'Fed Contracts Grnts-2Yr'!I11+'Other Contracts Grnts-2Yr'!I11+'Investment Income-2Yr'!I11+'All Other E&amp;G-2Yr'!I11</f>
        <v>276571.53000000003</v>
      </c>
      <c r="J11" s="83">
        <f>+'Tuition-2Yr'!J11+'State Appropriations-2Yr'!J11+'Local Appropriations-2Yr'!J11+'Fed Contracts Grnts-2Yr'!J11+'Other Contracts Grnts-2Yr'!J11+'Investment Income-2Yr'!J11+'All Other E&amp;G-2Yr'!J11</f>
        <v>313912.46699999989</v>
      </c>
      <c r="K11" s="83">
        <f>+'Tuition-2Yr'!K11+'State Appropriations-2Yr'!K11+'Local Appropriations-2Yr'!K11+'Fed Contracts Grnts-2Yr'!K11+'Other Contracts Grnts-2Yr'!K11+'Investment Income-2Yr'!K11+'All Other E&amp;G-2Yr'!K11</f>
        <v>357431.97000000003</v>
      </c>
      <c r="L11" s="83">
        <f>+'Tuition-2Yr'!L11+'State Appropriations-2Yr'!L11+'Local Appropriations-2Yr'!L11+'Fed Contracts Grnts-2Yr'!L11+'Other Contracts Grnts-2Yr'!L11+'Investment Income-2Yr'!L11+'All Other E&amp;G-2Yr'!L11</f>
        <v>414423.78</v>
      </c>
      <c r="M11" s="83">
        <f>+'Tuition-2Yr'!M11+'State Appropriations-2Yr'!M11+'Local Appropriations-2Yr'!M11+'Fed Contracts Grnts-2Yr'!M11+'Other Contracts Grnts-2Yr'!M11+'Investment Income-2Yr'!M11+'All Other E&amp;G-2Yr'!M11</f>
        <v>464653.00600000005</v>
      </c>
      <c r="N11" s="83">
        <f>+'Tuition-2Yr'!N11+'State Appropriations-2Yr'!N11+'Local Appropriations-2Yr'!N11+'Fed Contracts Grnts-2Yr'!N11+'Other Contracts Grnts-2Yr'!N11+'Investment Income-2Yr'!N11+'All Other E&amp;G-2Yr'!N11</f>
        <v>382705.2950000001</v>
      </c>
      <c r="O11" s="83">
        <f>+'Tuition-2Yr'!O11+'State Appropriations-2Yr'!O11+'Local Appropriations-2Yr'!O11+'Fed Contracts Grnts-2Yr'!O11+'Other Contracts Grnts-2Yr'!O11+'Investment Income-2Yr'!O11+'All Other E&amp;G-2Yr'!O11</f>
        <v>406283.61050999997</v>
      </c>
      <c r="P11" s="83">
        <f>+'Tuition-2Yr'!P11+'State Appropriations-2Yr'!P11+'Local Appropriations-2Yr'!P11+'Fed Contracts Grnts-2Yr'!P11+'Other Contracts Grnts-2Yr'!P11+'Investment Income-2Yr'!P11+'All Other E&amp;G-2Yr'!P11</f>
        <v>0</v>
      </c>
      <c r="Q11" s="83">
        <f>+'Tuition-2Yr'!Q11+'State Appropriations-2Yr'!Q11+'Local Appropriations-2Yr'!Q11+'Fed Contracts Grnts-2Yr'!Q11+'Other Contracts Grnts-2Yr'!Q11+'Investment Income-2Yr'!Q11+'All Other E&amp;G-2Yr'!Q11</f>
        <v>0</v>
      </c>
      <c r="R11" s="83">
        <f>+'Tuition-2Yr'!R11+'State Appropriations-2Yr'!R11+'Local Appropriations-2Yr'!R11+'Fed Contracts Grnts-2Yr'!R11+'Other Contracts Grnts-2Yr'!R11+'Investment Income-2Yr'!R11+'All Other E&amp;G-2Yr'!R11</f>
        <v>672689.72200000007</v>
      </c>
      <c r="S11" s="83">
        <f>+'Tuition-2Yr'!S11+'State Appropriations-2Yr'!S11+'Local Appropriations-2Yr'!S11+'Fed Contracts Grnts-2Yr'!S11+'Other Contracts Grnts-2Yr'!S11+'Investment Income-2Yr'!S11+'All Other E&amp;G-2Yr'!S11</f>
        <v>763830.20800000022</v>
      </c>
      <c r="T11" s="83">
        <f>+'Tuition-2Yr'!T11+'State Appropriations-2Yr'!T11+'Local Appropriations-2Yr'!T11+'Fed Contracts Grnts-2Yr'!T11+'Other Contracts Grnts-2Yr'!T11+'Investment Income-2Yr'!T11+'All Other E&amp;G-2Yr'!T11</f>
        <v>816856.0399999998</v>
      </c>
      <c r="U11" s="83">
        <f>+'Tuition-2Yr'!U11+'State Appropriations-2Yr'!U11+'Local Appropriations-2Yr'!U11+'Fed Contracts Grnts-2Yr'!U11+'Other Contracts Grnts-2Yr'!U11+'Investment Income-2Yr'!U11+'All Other E&amp;G-2Yr'!U11</f>
        <v>749160.58199999994</v>
      </c>
      <c r="V11" s="83">
        <f>+'Tuition-2Yr'!V11+'State Appropriations-2Yr'!V11+'Local Appropriations-2Yr'!V11+'Fed Contracts Grnts-2Yr'!V11+'Other Contracts Grnts-2Yr'!V11+'Investment Income-2Yr'!V11+'All Other E&amp;G-2Yr'!V11</f>
        <v>815846.69699999993</v>
      </c>
      <c r="W11" s="83">
        <f>+'Tuition-2Yr'!W11+'State Appropriations-2Yr'!W11+'Local Appropriations-2Yr'!W11+'Fed Contracts Grnts-2Yr'!W11+'Other Contracts Grnts-2Yr'!W11+'Investment Income-2Yr'!W11+'All Other E&amp;G-2Yr'!W11</f>
        <v>863449.51399999997</v>
      </c>
      <c r="X11" s="83">
        <f>+'Tuition-2Yr'!X11+'State Appropriations-2Yr'!X11+'Local Appropriations-2Yr'!X11+'Fed Contracts Grnts-2Yr'!X11+'Other Contracts Grnts-2Yr'!X11+'Investment Income-2Yr'!X11+'All Other E&amp;G-2Yr'!X11</f>
        <v>904249.46799999988</v>
      </c>
      <c r="Y11" s="83">
        <f>+'Tuition-2Yr'!Y11+'State Appropriations-2Yr'!Y11+'Local Appropriations-2Yr'!Y11+'Fed Contracts Grnts-2Yr'!Y11+'Other Contracts Grnts-2Yr'!Y11+'Investment Income-2Yr'!Y11+'All Other E&amp;G-2Yr'!Y11</f>
        <v>892147.799</v>
      </c>
      <c r="Z11" s="83">
        <f>+'Tuition-2Yr'!Z11+'State Appropriations-2Yr'!Z11+'Local Appropriations-2Yr'!Z11+'Fed Contracts Grnts-2Yr'!Z11+'Other Contracts Grnts-2Yr'!Z11+'Investment Income-2Yr'!Z11+'All Other E&amp;G-2Yr'!Z11</f>
        <v>968287.45599999989</v>
      </c>
      <c r="AA11" s="83">
        <f>+'Tuition-2Yr'!AA11+'State Appropriations-2Yr'!AA11+'Local Appropriations-2Yr'!AA11+'Fed Contracts Grnts-2Yr'!AA11+'Other Contracts Grnts-2Yr'!AA11+'Investment Income-2Yr'!AA11+'All Other E&amp;G-2Yr'!AA11</f>
        <v>544947.58699999994</v>
      </c>
      <c r="AB11" s="83">
        <f>+'Tuition-2Yr'!AB11+'State Appropriations-2Yr'!AB11+'Local Appropriations-2Yr'!AB11+'Fed Contracts Grnts-2Yr'!AB11+'Other Contracts Grnts-2Yr'!AB11+'Investment Income-2Yr'!AB11+'All Other E&amp;G-2Yr'!AB11</f>
        <v>1444578.2080000001</v>
      </c>
      <c r="AC11" s="83">
        <f>+'Tuition-2Yr'!AC11+'State Appropriations-2Yr'!AC11+'Local Appropriations-2Yr'!AC11+'Fed Contracts Grnts-2Yr'!AC11+'Other Contracts Grnts-2Yr'!AC11+'Investment Income-2Yr'!AC11+'All Other E&amp;G-2Yr'!AC11</f>
        <v>1599843</v>
      </c>
      <c r="AD11" s="83">
        <f>+'Tuition-2Yr'!AD11+'State Appropriations-2Yr'!AD11+'Local Appropriations-2Yr'!AD11+'Fed Contracts Grnts-2Yr'!AD11+'Other Contracts Grnts-2Yr'!AD11+'Investment Income-2Yr'!AD11+'All Other E&amp;G-2Yr'!AD11</f>
        <v>1653457.13</v>
      </c>
      <c r="AE11" s="83">
        <f>+'Tuition-2Yr'!AE11+'State Appropriations-2Yr'!AE11+'Local Appropriations-2Yr'!AE11+'Fed Contracts Grnts-2Yr'!AE11+'Other Contracts Grnts-2Yr'!AE11+'Investment Income-2Yr'!AE11+'All Other E&amp;G-2Yr'!AE11</f>
        <v>1367579.898</v>
      </c>
      <c r="AF11" s="83">
        <f>+'Tuition-2Yr'!AF11+'State Appropriations-2Yr'!AF11+'Local Appropriations-2Yr'!AF11+'Fed Contracts Grnts-2Yr'!AF11+'Other Contracts Grnts-2Yr'!AF11+'Investment Income-2Yr'!AF11+'All Other E&amp;G-2Yr'!AF11</f>
        <v>578387.47399999993</v>
      </c>
      <c r="AG11" s="83">
        <f>+'Tuition-2Yr'!AG11+'State Appropriations-2Yr'!AG11+'Local Appropriations-2Yr'!AG11+'Fed Contracts Grnts-2Yr'!AG11+'Other Contracts Grnts-2Yr'!AG11+'Investment Income-2Yr'!AG11+'All Other E&amp;G-2Yr'!AG11</f>
        <v>588655.44900000002</v>
      </c>
      <c r="AH11" s="83">
        <f>+'Tuition-2Yr'!AH11+'State Appropriations-2Yr'!AH11+'Local Appropriations-2Yr'!AH11+'Fed Contracts Grnts-2Yr'!AH11+'Other Contracts Grnts-2Yr'!AH11+'Investment Income-2Yr'!AH11+'All Other E&amp;G-2Yr'!AH11</f>
        <v>1325863.014</v>
      </c>
      <c r="AI11" s="83">
        <f>+'Tuition-2Yr'!AI11+'State Appropriations-2Yr'!AI11+'Local Appropriations-2Yr'!AI11+'Fed Contracts Grnts-2Yr'!AI11+'Other Contracts Grnts-2Yr'!AI11+'Investment Income-2Yr'!AI11+'All Other E&amp;G-2Yr'!AI11</f>
        <v>481136.18399999995</v>
      </c>
      <c r="AJ11" s="83">
        <f>+'Tuition-2Yr'!AJ11+'State Appropriations-2Yr'!AJ11+'Local Appropriations-2Yr'!AJ11+'Fed Contracts Grnts-2Yr'!AJ11+'Other Contracts Grnts-2Yr'!AJ11+'Investment Income-2Yr'!AJ11+'All Other E&amp;G-2Yr'!AJ11</f>
        <v>0</v>
      </c>
      <c r="AK11" s="83">
        <f>+'Tuition-2Yr'!AK11+'State Appropriations-2Yr'!AK11+'Local Appropriations-2Yr'!AK11+'Fed Contracts Grnts-2Yr'!AK11+'Other Contracts Grnts-2Yr'!AK11+'Investment Income-2Yr'!AK11+'All Other E&amp;G-2Yr'!AK11</f>
        <v>491686.68599999993</v>
      </c>
      <c r="AL11" s="83">
        <f>+'Tuition-2Yr'!AL11+'State Appropriations-2Yr'!AL11+'Local Appropriations-2Yr'!AL11+'Fed Contracts Grnts-2Yr'!AL11+'Other Contracts Grnts-2Yr'!AL11+'Investment Income-2Yr'!AL11+'All Other E&amp;G-2Yr'!AL11</f>
        <v>440494.15099999995</v>
      </c>
    </row>
    <row r="12" spans="1:38" ht="12.75" customHeight="1">
      <c r="A12" s="1" t="s">
        <v>27</v>
      </c>
      <c r="B12" s="83">
        <f>+'Tuition-2Yr'!B12+'State Appropriations-2Yr'!B12+'Local Appropriations-2Yr'!B12+'Fed Contracts Grnts-2Yr'!B12+'Other Contracts Grnts-2Yr'!B12+'Investment Income-2Yr'!B12+'All Other E&amp;G-2Yr'!B12</f>
        <v>45935</v>
      </c>
      <c r="C12" s="83">
        <f>+'Tuition-2Yr'!C12+'State Appropriations-2Yr'!C12+'Local Appropriations-2Yr'!C12+'Fed Contracts Grnts-2Yr'!C12+'Other Contracts Grnts-2Yr'!C12+'Investment Income-2Yr'!C12+'All Other E&amp;G-2Yr'!C12</f>
        <v>48653</v>
      </c>
      <c r="D12" s="83">
        <f>+'Tuition-2Yr'!D12+'State Appropriations-2Yr'!D12+'Local Appropriations-2Yr'!D12+'Fed Contracts Grnts-2Yr'!D12+'Other Contracts Grnts-2Yr'!D12+'Investment Income-2Yr'!D12+'All Other E&amp;G-2Yr'!D12</f>
        <v>53038</v>
      </c>
      <c r="E12" s="83">
        <f>+'Tuition-2Yr'!E12+'State Appropriations-2Yr'!E12+'Local Appropriations-2Yr'!E12+'Fed Contracts Grnts-2Yr'!E12+'Other Contracts Grnts-2Yr'!E12+'Investment Income-2Yr'!E12+'All Other E&amp;G-2Yr'!E12</f>
        <v>0</v>
      </c>
      <c r="F12" s="83">
        <f>+'Tuition-2Yr'!F12+'State Appropriations-2Yr'!F12+'Local Appropriations-2Yr'!F12+'Fed Contracts Grnts-2Yr'!F12+'Other Contracts Grnts-2Yr'!F12+'Investment Income-2Yr'!F12+'All Other E&amp;G-2Yr'!F12</f>
        <v>0</v>
      </c>
      <c r="G12" s="83">
        <f>+'Tuition-2Yr'!G12+'State Appropriations-2Yr'!G12+'Local Appropriations-2Yr'!G12+'Fed Contracts Grnts-2Yr'!G12+'Other Contracts Grnts-2Yr'!G12+'Investment Income-2Yr'!G12+'All Other E&amp;G-2Yr'!G12</f>
        <v>0</v>
      </c>
      <c r="H12" s="83">
        <f>+'Tuition-2Yr'!H12+'State Appropriations-2Yr'!H12+'Local Appropriations-2Yr'!H12+'Fed Contracts Grnts-2Yr'!H12+'Other Contracts Grnts-2Yr'!H12+'Investment Income-2Yr'!H12+'All Other E&amp;G-2Yr'!H12</f>
        <v>0</v>
      </c>
      <c r="I12" s="83">
        <f>+'Tuition-2Yr'!I12+'State Appropriations-2Yr'!I12+'Local Appropriations-2Yr'!I12+'Fed Contracts Grnts-2Yr'!I12+'Other Contracts Grnts-2Yr'!I12+'Investment Income-2Yr'!I12+'All Other E&amp;G-2Yr'!I12</f>
        <v>109229.542</v>
      </c>
      <c r="J12" s="83">
        <f>+'Tuition-2Yr'!J12+'State Appropriations-2Yr'!J12+'Local Appropriations-2Yr'!J12+'Fed Contracts Grnts-2Yr'!J12+'Other Contracts Grnts-2Yr'!J12+'Investment Income-2Yr'!J12+'All Other E&amp;G-2Yr'!J12</f>
        <v>132337.99700000003</v>
      </c>
      <c r="K12" s="83">
        <f>+'Tuition-2Yr'!K12+'State Appropriations-2Yr'!K12+'Local Appropriations-2Yr'!K12+'Fed Contracts Grnts-2Yr'!K12+'Other Contracts Grnts-2Yr'!K12+'Investment Income-2Yr'!K12+'All Other E&amp;G-2Yr'!K12</f>
        <v>139059.01400000002</v>
      </c>
      <c r="L12" s="83">
        <f>+'Tuition-2Yr'!L12+'State Appropriations-2Yr'!L12+'Local Appropriations-2Yr'!L12+'Fed Contracts Grnts-2Yr'!L12+'Other Contracts Grnts-2Yr'!L12+'Investment Income-2Yr'!L12+'All Other E&amp;G-2Yr'!L12</f>
        <v>148663.77600000001</v>
      </c>
      <c r="M12" s="83">
        <f>+'Tuition-2Yr'!M12+'State Appropriations-2Yr'!M12+'Local Appropriations-2Yr'!M12+'Fed Contracts Grnts-2Yr'!M12+'Other Contracts Grnts-2Yr'!M12+'Investment Income-2Yr'!M12+'All Other E&amp;G-2Yr'!M12</f>
        <v>153571.057</v>
      </c>
      <c r="N12" s="83">
        <f>+'Tuition-2Yr'!N12+'State Appropriations-2Yr'!N12+'Local Appropriations-2Yr'!N12+'Fed Contracts Grnts-2Yr'!N12+'Other Contracts Grnts-2Yr'!N12+'Investment Income-2Yr'!N12+'All Other E&amp;G-2Yr'!N12</f>
        <v>156540.37699999998</v>
      </c>
      <c r="O12" s="83">
        <f>+'Tuition-2Yr'!O12+'State Appropriations-2Yr'!O12+'Local Appropriations-2Yr'!O12+'Fed Contracts Grnts-2Yr'!O12+'Other Contracts Grnts-2Yr'!O12+'Investment Income-2Yr'!O12+'All Other E&amp;G-2Yr'!O12</f>
        <v>172500.185</v>
      </c>
      <c r="P12" s="83">
        <f>+'Tuition-2Yr'!P12+'State Appropriations-2Yr'!P12+'Local Appropriations-2Yr'!P12+'Fed Contracts Grnts-2Yr'!P12+'Other Contracts Grnts-2Yr'!P12+'Investment Income-2Yr'!P12+'All Other E&amp;G-2Yr'!P12</f>
        <v>0</v>
      </c>
      <c r="Q12" s="83">
        <f>+'Tuition-2Yr'!Q12+'State Appropriations-2Yr'!Q12+'Local Appropriations-2Yr'!Q12+'Fed Contracts Grnts-2Yr'!Q12+'Other Contracts Grnts-2Yr'!Q12+'Investment Income-2Yr'!Q12+'All Other E&amp;G-2Yr'!Q12</f>
        <v>0</v>
      </c>
      <c r="R12" s="83">
        <f>+'Tuition-2Yr'!R12+'State Appropriations-2Yr'!R12+'Local Appropriations-2Yr'!R12+'Fed Contracts Grnts-2Yr'!R12+'Other Contracts Grnts-2Yr'!R12+'Investment Income-2Yr'!R12+'All Other E&amp;G-2Yr'!R12</f>
        <v>345410.11800000007</v>
      </c>
      <c r="S12" s="83">
        <f>+'Tuition-2Yr'!S12+'State Appropriations-2Yr'!S12+'Local Appropriations-2Yr'!S12+'Fed Contracts Grnts-2Yr'!S12+'Other Contracts Grnts-2Yr'!S12+'Investment Income-2Yr'!S12+'All Other E&amp;G-2Yr'!S12</f>
        <v>380740.38300000003</v>
      </c>
      <c r="T12" s="83">
        <f>+'Tuition-2Yr'!T12+'State Appropriations-2Yr'!T12+'Local Appropriations-2Yr'!T12+'Fed Contracts Grnts-2Yr'!T12+'Other Contracts Grnts-2Yr'!T12+'Investment Income-2Yr'!T12+'All Other E&amp;G-2Yr'!T12</f>
        <v>31721.755999999998</v>
      </c>
      <c r="U12" s="83">
        <f>+'Tuition-2Yr'!U12+'State Appropriations-2Yr'!U12+'Local Appropriations-2Yr'!U12+'Fed Contracts Grnts-2Yr'!U12+'Other Contracts Grnts-2Yr'!U12+'Investment Income-2Yr'!U12+'All Other E&amp;G-2Yr'!U12</f>
        <v>29224.599000000002</v>
      </c>
      <c r="V12" s="83">
        <f>+'Tuition-2Yr'!V12+'State Appropriations-2Yr'!V12+'Local Appropriations-2Yr'!V12+'Fed Contracts Grnts-2Yr'!V12+'Other Contracts Grnts-2Yr'!V12+'Investment Income-2Yr'!V12+'All Other E&amp;G-2Yr'!V12</f>
        <v>31708.478000000003</v>
      </c>
      <c r="W12" s="83">
        <f>+'Tuition-2Yr'!W12+'State Appropriations-2Yr'!W12+'Local Appropriations-2Yr'!W12+'Fed Contracts Grnts-2Yr'!W12+'Other Contracts Grnts-2Yr'!W12+'Investment Income-2Yr'!W12+'All Other E&amp;G-2Yr'!W12</f>
        <v>418950.35200000001</v>
      </c>
      <c r="X12" s="83">
        <f>+'Tuition-2Yr'!X12+'State Appropriations-2Yr'!X12+'Local Appropriations-2Yr'!X12+'Fed Contracts Grnts-2Yr'!X12+'Other Contracts Grnts-2Yr'!X12+'Investment Income-2Yr'!X12+'All Other E&amp;G-2Yr'!X12</f>
        <v>403288.95299999998</v>
      </c>
      <c r="Y12" s="83">
        <f>+'Tuition-2Yr'!Y12+'State Appropriations-2Yr'!Y12+'Local Appropriations-2Yr'!Y12+'Fed Contracts Grnts-2Yr'!Y12+'Other Contracts Grnts-2Yr'!Y12+'Investment Income-2Yr'!Y12+'All Other E&amp;G-2Yr'!Y12</f>
        <v>422347.64599999995</v>
      </c>
      <c r="Z12" s="83">
        <f>+'Tuition-2Yr'!Z12+'State Appropriations-2Yr'!Z12+'Local Appropriations-2Yr'!Z12+'Fed Contracts Grnts-2Yr'!Z12+'Other Contracts Grnts-2Yr'!Z12+'Investment Income-2Yr'!Z12+'All Other E&amp;G-2Yr'!Z12</f>
        <v>463356.06799999997</v>
      </c>
      <c r="AA12" s="83">
        <f>+'Tuition-2Yr'!AA12+'State Appropriations-2Yr'!AA12+'Local Appropriations-2Yr'!AA12+'Fed Contracts Grnts-2Yr'!AA12+'Other Contracts Grnts-2Yr'!AA12+'Investment Income-2Yr'!AA12+'All Other E&amp;G-2Yr'!AA12</f>
        <v>555928.95600000001</v>
      </c>
      <c r="AB12" s="83">
        <f>+'Tuition-2Yr'!AB12+'State Appropriations-2Yr'!AB12+'Local Appropriations-2Yr'!AB12+'Fed Contracts Grnts-2Yr'!AB12+'Other Contracts Grnts-2Yr'!AB12+'Investment Income-2Yr'!AB12+'All Other E&amp;G-2Yr'!AB12</f>
        <v>692469.38299999991</v>
      </c>
      <c r="AC12" s="83">
        <f>+'Tuition-2Yr'!AC12+'State Appropriations-2Yr'!AC12+'Local Appropriations-2Yr'!AC12+'Fed Contracts Grnts-2Yr'!AC12+'Other Contracts Grnts-2Yr'!AC12+'Investment Income-2Yr'!AC12+'All Other E&amp;G-2Yr'!AC12</f>
        <v>738136</v>
      </c>
      <c r="AD12" s="83">
        <f>+'Tuition-2Yr'!AD12+'State Appropriations-2Yr'!AD12+'Local Appropriations-2Yr'!AD12+'Fed Contracts Grnts-2Yr'!AD12+'Other Contracts Grnts-2Yr'!AD12+'Investment Income-2Yr'!AD12+'All Other E&amp;G-2Yr'!AD12</f>
        <v>741744.79599999986</v>
      </c>
      <c r="AE12" s="83">
        <f>+'Tuition-2Yr'!AE12+'State Appropriations-2Yr'!AE12+'Local Appropriations-2Yr'!AE12+'Fed Contracts Grnts-2Yr'!AE12+'Other Contracts Grnts-2Yr'!AE12+'Investment Income-2Yr'!AE12+'All Other E&amp;G-2Yr'!AE12</f>
        <v>722720.32299999997</v>
      </c>
      <c r="AF12" s="83">
        <f>+'Tuition-2Yr'!AF12+'State Appropriations-2Yr'!AF12+'Local Appropriations-2Yr'!AF12+'Fed Contracts Grnts-2Yr'!AF12+'Other Contracts Grnts-2Yr'!AF12+'Investment Income-2Yr'!AF12+'All Other E&amp;G-2Yr'!AF12</f>
        <v>595554.39199999999</v>
      </c>
      <c r="AG12" s="83">
        <f>+'Tuition-2Yr'!AG12+'State Appropriations-2Yr'!AG12+'Local Appropriations-2Yr'!AG12+'Fed Contracts Grnts-2Yr'!AG12+'Other Contracts Grnts-2Yr'!AG12+'Investment Income-2Yr'!AG12+'All Other E&amp;G-2Yr'!AG12</f>
        <v>588690.82500000007</v>
      </c>
      <c r="AH12" s="83">
        <f>+'Tuition-2Yr'!AH12+'State Appropriations-2Yr'!AH12+'Local Appropriations-2Yr'!AH12+'Fed Contracts Grnts-2Yr'!AH12+'Other Contracts Grnts-2Yr'!AH12+'Investment Income-2Yr'!AH12+'All Other E&amp;G-2Yr'!AH12</f>
        <v>612220.09400000004</v>
      </c>
      <c r="AI12" s="83">
        <f>+'Tuition-2Yr'!AI12+'State Appropriations-2Yr'!AI12+'Local Appropriations-2Yr'!AI12+'Fed Contracts Grnts-2Yr'!AI12+'Other Contracts Grnts-2Yr'!AI12+'Investment Income-2Yr'!AI12+'All Other E&amp;G-2Yr'!AI12</f>
        <v>533514.94200000004</v>
      </c>
      <c r="AJ12" s="83">
        <f>+'Tuition-2Yr'!AJ12+'State Appropriations-2Yr'!AJ12+'Local Appropriations-2Yr'!AJ12+'Fed Contracts Grnts-2Yr'!AJ12+'Other Contracts Grnts-2Yr'!AJ12+'Investment Income-2Yr'!AJ12+'All Other E&amp;G-2Yr'!AJ12</f>
        <v>0</v>
      </c>
      <c r="AK12" s="83">
        <f>+'Tuition-2Yr'!AK12+'State Appropriations-2Yr'!AK12+'Local Appropriations-2Yr'!AK12+'Fed Contracts Grnts-2Yr'!AK12+'Other Contracts Grnts-2Yr'!AK12+'Investment Income-2Yr'!AK12+'All Other E&amp;G-2Yr'!AK12</f>
        <v>661840.76500000001</v>
      </c>
      <c r="AL12" s="83">
        <f>+'Tuition-2Yr'!AL12+'State Appropriations-2Yr'!AL12+'Local Appropriations-2Yr'!AL12+'Fed Contracts Grnts-2Yr'!AL12+'Other Contracts Grnts-2Yr'!AL12+'Investment Income-2Yr'!AL12+'All Other E&amp;G-2Yr'!AL12</f>
        <v>615700.65700000001</v>
      </c>
    </row>
    <row r="13" spans="1:38" ht="12.75" customHeight="1">
      <c r="A13" s="1" t="s">
        <v>28</v>
      </c>
      <c r="B13" s="83">
        <f>+'Tuition-2Yr'!B13+'State Appropriations-2Yr'!B13+'Local Appropriations-2Yr'!B13+'Fed Contracts Grnts-2Yr'!B13+'Other Contracts Grnts-2Yr'!B13+'Investment Income-2Yr'!B13+'All Other E&amp;G-2Yr'!B13</f>
        <v>34993</v>
      </c>
      <c r="C13" s="83">
        <f>+'Tuition-2Yr'!C13+'State Appropriations-2Yr'!C13+'Local Appropriations-2Yr'!C13+'Fed Contracts Grnts-2Yr'!C13+'Other Contracts Grnts-2Yr'!C13+'Investment Income-2Yr'!C13+'All Other E&amp;G-2Yr'!C13</f>
        <v>38515</v>
      </c>
      <c r="D13" s="83">
        <f>+'Tuition-2Yr'!D13+'State Appropriations-2Yr'!D13+'Local Appropriations-2Yr'!D13+'Fed Contracts Grnts-2Yr'!D13+'Other Contracts Grnts-2Yr'!D13+'Investment Income-2Yr'!D13+'All Other E&amp;G-2Yr'!D13</f>
        <v>41033</v>
      </c>
      <c r="E13" s="83">
        <f>+'Tuition-2Yr'!E13+'State Appropriations-2Yr'!E13+'Local Appropriations-2Yr'!E13+'Fed Contracts Grnts-2Yr'!E13+'Other Contracts Grnts-2Yr'!E13+'Investment Income-2Yr'!E13+'All Other E&amp;G-2Yr'!E13</f>
        <v>0</v>
      </c>
      <c r="F13" s="83">
        <f>+'Tuition-2Yr'!F13+'State Appropriations-2Yr'!F13+'Local Appropriations-2Yr'!F13+'Fed Contracts Grnts-2Yr'!F13+'Other Contracts Grnts-2Yr'!F13+'Investment Income-2Yr'!F13+'All Other E&amp;G-2Yr'!F13</f>
        <v>0</v>
      </c>
      <c r="G13" s="83">
        <f>+'Tuition-2Yr'!G13+'State Appropriations-2Yr'!G13+'Local Appropriations-2Yr'!G13+'Fed Contracts Grnts-2Yr'!G13+'Other Contracts Grnts-2Yr'!G13+'Investment Income-2Yr'!G13+'All Other E&amp;G-2Yr'!G13</f>
        <v>0</v>
      </c>
      <c r="H13" s="83">
        <f>+'Tuition-2Yr'!H13+'State Appropriations-2Yr'!H13+'Local Appropriations-2Yr'!H13+'Fed Contracts Grnts-2Yr'!H13+'Other Contracts Grnts-2Yr'!H13+'Investment Income-2Yr'!H13+'All Other E&amp;G-2Yr'!H13</f>
        <v>0</v>
      </c>
      <c r="I13" s="83">
        <f>+'Tuition-2Yr'!I13+'State Appropriations-2Yr'!I13+'Local Appropriations-2Yr'!I13+'Fed Contracts Grnts-2Yr'!I13+'Other Contracts Grnts-2Yr'!I13+'Investment Income-2Yr'!I13+'All Other E&amp;G-2Yr'!I13</f>
        <v>67154.485000000001</v>
      </c>
      <c r="J13" s="83">
        <f>+'Tuition-2Yr'!J13+'State Appropriations-2Yr'!J13+'Local Appropriations-2Yr'!J13+'Fed Contracts Grnts-2Yr'!J13+'Other Contracts Grnts-2Yr'!J13+'Investment Income-2Yr'!J13+'All Other E&amp;G-2Yr'!J13</f>
        <v>79632.660999999993</v>
      </c>
      <c r="K13" s="83">
        <f>+'Tuition-2Yr'!K13+'State Appropriations-2Yr'!K13+'Local Appropriations-2Yr'!K13+'Fed Contracts Grnts-2Yr'!K13+'Other Contracts Grnts-2Yr'!K13+'Investment Income-2Yr'!K13+'All Other E&amp;G-2Yr'!K13</f>
        <v>84286.120999999999</v>
      </c>
      <c r="L13" s="83">
        <f>+'Tuition-2Yr'!L13+'State Appropriations-2Yr'!L13+'Local Appropriations-2Yr'!L13+'Fed Contracts Grnts-2Yr'!L13+'Other Contracts Grnts-2Yr'!L13+'Investment Income-2Yr'!L13+'All Other E&amp;G-2Yr'!L13</f>
        <v>93203.606</v>
      </c>
      <c r="M13" s="83">
        <f>+'Tuition-2Yr'!M13+'State Appropriations-2Yr'!M13+'Local Appropriations-2Yr'!M13+'Fed Contracts Grnts-2Yr'!M13+'Other Contracts Grnts-2Yr'!M13+'Investment Income-2Yr'!M13+'All Other E&amp;G-2Yr'!M13</f>
        <v>98616.828999999998</v>
      </c>
      <c r="N13" s="83">
        <f>+'Tuition-2Yr'!N13+'State Appropriations-2Yr'!N13+'Local Appropriations-2Yr'!N13+'Fed Contracts Grnts-2Yr'!N13+'Other Contracts Grnts-2Yr'!N13+'Investment Income-2Yr'!N13+'All Other E&amp;G-2Yr'!N13</f>
        <v>165650.36199999996</v>
      </c>
      <c r="O13" s="83">
        <f>+'Tuition-2Yr'!O13+'State Appropriations-2Yr'!O13+'Local Appropriations-2Yr'!O13+'Fed Contracts Grnts-2Yr'!O13+'Other Contracts Grnts-2Yr'!O13+'Investment Income-2Yr'!O13+'All Other E&amp;G-2Yr'!O13</f>
        <v>174218.20714000001</v>
      </c>
      <c r="P13" s="83">
        <f>+'Tuition-2Yr'!P13+'State Appropriations-2Yr'!P13+'Local Appropriations-2Yr'!P13+'Fed Contracts Grnts-2Yr'!P13+'Other Contracts Grnts-2Yr'!P13+'Investment Income-2Yr'!P13+'All Other E&amp;G-2Yr'!P13</f>
        <v>0</v>
      </c>
      <c r="Q13" s="83">
        <f>+'Tuition-2Yr'!Q13+'State Appropriations-2Yr'!Q13+'Local Appropriations-2Yr'!Q13+'Fed Contracts Grnts-2Yr'!Q13+'Other Contracts Grnts-2Yr'!Q13+'Investment Income-2Yr'!Q13+'All Other E&amp;G-2Yr'!Q13</f>
        <v>0</v>
      </c>
      <c r="R13" s="83">
        <f>+'Tuition-2Yr'!R13+'State Appropriations-2Yr'!R13+'Local Appropriations-2Yr'!R13+'Fed Contracts Grnts-2Yr'!R13+'Other Contracts Grnts-2Yr'!R13+'Investment Income-2Yr'!R13+'All Other E&amp;G-2Yr'!R13</f>
        <v>212561.33499999999</v>
      </c>
      <c r="S13" s="83">
        <f>+'Tuition-2Yr'!S13+'State Appropriations-2Yr'!S13+'Local Appropriations-2Yr'!S13+'Fed Contracts Grnts-2Yr'!S13+'Other Contracts Grnts-2Yr'!S13+'Investment Income-2Yr'!S13+'All Other E&amp;G-2Yr'!S13</f>
        <v>229980.30999999997</v>
      </c>
      <c r="T13" s="83">
        <f>+'Tuition-2Yr'!T13+'State Appropriations-2Yr'!T13+'Local Appropriations-2Yr'!T13+'Fed Contracts Grnts-2Yr'!T13+'Other Contracts Grnts-2Yr'!T13+'Investment Income-2Yr'!T13+'All Other E&amp;G-2Yr'!T13</f>
        <v>292455.74500000005</v>
      </c>
      <c r="U13" s="83">
        <f>+'Tuition-2Yr'!U13+'State Appropriations-2Yr'!U13+'Local Appropriations-2Yr'!U13+'Fed Contracts Grnts-2Yr'!U13+'Other Contracts Grnts-2Yr'!U13+'Investment Income-2Yr'!U13+'All Other E&amp;G-2Yr'!U13</f>
        <v>315541.14399999997</v>
      </c>
      <c r="V13" s="83">
        <f>+'Tuition-2Yr'!V13+'State Appropriations-2Yr'!V13+'Local Appropriations-2Yr'!V13+'Fed Contracts Grnts-2Yr'!V13+'Other Contracts Grnts-2Yr'!V13+'Investment Income-2Yr'!V13+'All Other E&amp;G-2Yr'!V13</f>
        <v>337842.34100000001</v>
      </c>
      <c r="W13" s="83">
        <f>+'Tuition-2Yr'!W13+'State Appropriations-2Yr'!W13+'Local Appropriations-2Yr'!W13+'Fed Contracts Grnts-2Yr'!W13+'Other Contracts Grnts-2Yr'!W13+'Investment Income-2Yr'!W13+'All Other E&amp;G-2Yr'!W13</f>
        <v>389163.46800000005</v>
      </c>
      <c r="X13" s="83">
        <f>+'Tuition-2Yr'!X13+'State Appropriations-2Yr'!X13+'Local Appropriations-2Yr'!X13+'Fed Contracts Grnts-2Yr'!X13+'Other Contracts Grnts-2Yr'!X13+'Investment Income-2Yr'!X13+'All Other E&amp;G-2Yr'!X13</f>
        <v>330223.234</v>
      </c>
      <c r="Y13" s="83">
        <f>+'Tuition-2Yr'!Y13+'State Appropriations-2Yr'!Y13+'Local Appropriations-2Yr'!Y13+'Fed Contracts Grnts-2Yr'!Y13+'Other Contracts Grnts-2Yr'!Y13+'Investment Income-2Yr'!Y13+'All Other E&amp;G-2Yr'!Y13</f>
        <v>393124.98400000005</v>
      </c>
      <c r="Z13" s="83">
        <f>+'Tuition-2Yr'!Z13+'State Appropriations-2Yr'!Z13+'Local Appropriations-2Yr'!Z13+'Fed Contracts Grnts-2Yr'!Z13+'Other Contracts Grnts-2Yr'!Z13+'Investment Income-2Yr'!Z13+'All Other E&amp;G-2Yr'!Z13</f>
        <v>461040.72699999996</v>
      </c>
      <c r="AA13" s="83">
        <f>+'Tuition-2Yr'!AA13+'State Appropriations-2Yr'!AA13+'Local Appropriations-2Yr'!AA13+'Fed Contracts Grnts-2Yr'!AA13+'Other Contracts Grnts-2Yr'!AA13+'Investment Income-2Yr'!AA13+'All Other E&amp;G-2Yr'!AA13</f>
        <v>322473.97700000001</v>
      </c>
      <c r="AB13" s="83">
        <f>+'Tuition-2Yr'!AB13+'State Appropriations-2Yr'!AB13+'Local Appropriations-2Yr'!AB13+'Fed Contracts Grnts-2Yr'!AB13+'Other Contracts Grnts-2Yr'!AB13+'Investment Income-2Yr'!AB13+'All Other E&amp;G-2Yr'!AB13</f>
        <v>523992.32700000005</v>
      </c>
      <c r="AC13" s="83">
        <f>+'Tuition-2Yr'!AC13+'State Appropriations-2Yr'!AC13+'Local Appropriations-2Yr'!AC13+'Fed Contracts Grnts-2Yr'!AC13+'Other Contracts Grnts-2Yr'!AC13+'Investment Income-2Yr'!AC13+'All Other E&amp;G-2Yr'!AC13</f>
        <v>599572</v>
      </c>
      <c r="AD13" s="83">
        <f>+'Tuition-2Yr'!AD13+'State Appropriations-2Yr'!AD13+'Local Appropriations-2Yr'!AD13+'Fed Contracts Grnts-2Yr'!AD13+'Other Contracts Grnts-2Yr'!AD13+'Investment Income-2Yr'!AD13+'All Other E&amp;G-2Yr'!AD13</f>
        <v>562549.22899999993</v>
      </c>
      <c r="AE13" s="83">
        <f>+'Tuition-2Yr'!AE13+'State Appropriations-2Yr'!AE13+'Local Appropriations-2Yr'!AE13+'Fed Contracts Grnts-2Yr'!AE13+'Other Contracts Grnts-2Yr'!AE13+'Investment Income-2Yr'!AE13+'All Other E&amp;G-2Yr'!AE13</f>
        <v>525577.37100000004</v>
      </c>
      <c r="AF13" s="83">
        <f>+'Tuition-2Yr'!AF13+'State Appropriations-2Yr'!AF13+'Local Appropriations-2Yr'!AF13+'Fed Contracts Grnts-2Yr'!AF13+'Other Contracts Grnts-2Yr'!AF13+'Investment Income-2Yr'!AF13+'All Other E&amp;G-2Yr'!AF13</f>
        <v>438427.60599999997</v>
      </c>
      <c r="AG13" s="83">
        <f>+'Tuition-2Yr'!AG13+'State Appropriations-2Yr'!AG13+'Local Appropriations-2Yr'!AG13+'Fed Contracts Grnts-2Yr'!AG13+'Other Contracts Grnts-2Yr'!AG13+'Investment Income-2Yr'!AG13+'All Other E&amp;G-2Yr'!AG13</f>
        <v>456187.98800000001</v>
      </c>
      <c r="AH13" s="83">
        <f>+'Tuition-2Yr'!AH13+'State Appropriations-2Yr'!AH13+'Local Appropriations-2Yr'!AH13+'Fed Contracts Grnts-2Yr'!AH13+'Other Contracts Grnts-2Yr'!AH13+'Investment Income-2Yr'!AH13+'All Other E&amp;G-2Yr'!AH13</f>
        <v>583647.62599999993</v>
      </c>
      <c r="AI13" s="83">
        <f>+'Tuition-2Yr'!AI13+'State Appropriations-2Yr'!AI13+'Local Appropriations-2Yr'!AI13+'Fed Contracts Grnts-2Yr'!AI13+'Other Contracts Grnts-2Yr'!AI13+'Investment Income-2Yr'!AI13+'All Other E&amp;G-2Yr'!AI13</f>
        <v>432111.32999999996</v>
      </c>
      <c r="AJ13" s="83">
        <f>+'Tuition-2Yr'!AJ13+'State Appropriations-2Yr'!AJ13+'Local Appropriations-2Yr'!AJ13+'Fed Contracts Grnts-2Yr'!AJ13+'Other Contracts Grnts-2Yr'!AJ13+'Investment Income-2Yr'!AJ13+'All Other E&amp;G-2Yr'!AJ13</f>
        <v>0</v>
      </c>
      <c r="AK13" s="83">
        <f>+'Tuition-2Yr'!AK13+'State Appropriations-2Yr'!AK13+'Local Appropriations-2Yr'!AK13+'Fed Contracts Grnts-2Yr'!AK13+'Other Contracts Grnts-2Yr'!AK13+'Investment Income-2Yr'!AK13+'All Other E&amp;G-2Yr'!AK13</f>
        <v>538585.79700000002</v>
      </c>
      <c r="AL13" s="83">
        <f>+'Tuition-2Yr'!AL13+'State Appropriations-2Yr'!AL13+'Local Appropriations-2Yr'!AL13+'Fed Contracts Grnts-2Yr'!AL13+'Other Contracts Grnts-2Yr'!AL13+'Investment Income-2Yr'!AL13+'All Other E&amp;G-2Yr'!AL13</f>
        <v>513074.641</v>
      </c>
    </row>
    <row r="14" spans="1:38" ht="12.75" customHeight="1">
      <c r="A14" s="1" t="s">
        <v>29</v>
      </c>
      <c r="B14" s="83">
        <f>+'Tuition-2Yr'!B14+'State Appropriations-2Yr'!B14+'Local Appropriations-2Yr'!B14+'Fed Contracts Grnts-2Yr'!B14+'Other Contracts Grnts-2Yr'!B14+'Investment Income-2Yr'!B14+'All Other E&amp;G-2Yr'!B14</f>
        <v>225047</v>
      </c>
      <c r="C14" s="83">
        <f>+'Tuition-2Yr'!C14+'State Appropriations-2Yr'!C14+'Local Appropriations-2Yr'!C14+'Fed Contracts Grnts-2Yr'!C14+'Other Contracts Grnts-2Yr'!C14+'Investment Income-2Yr'!C14+'All Other E&amp;G-2Yr'!C14</f>
        <v>241105</v>
      </c>
      <c r="D14" s="83">
        <f>+'Tuition-2Yr'!D14+'State Appropriations-2Yr'!D14+'Local Appropriations-2Yr'!D14+'Fed Contracts Grnts-2Yr'!D14+'Other Contracts Grnts-2Yr'!D14+'Investment Income-2Yr'!D14+'All Other E&amp;G-2Yr'!D14</f>
        <v>260886</v>
      </c>
      <c r="E14" s="83">
        <f>+'Tuition-2Yr'!E14+'State Appropriations-2Yr'!E14+'Local Appropriations-2Yr'!E14+'Fed Contracts Grnts-2Yr'!E14+'Other Contracts Grnts-2Yr'!E14+'Investment Income-2Yr'!E14+'All Other E&amp;G-2Yr'!E14</f>
        <v>0</v>
      </c>
      <c r="F14" s="83">
        <f>+'Tuition-2Yr'!F14+'State Appropriations-2Yr'!F14+'Local Appropriations-2Yr'!F14+'Fed Contracts Grnts-2Yr'!F14+'Other Contracts Grnts-2Yr'!F14+'Investment Income-2Yr'!F14+'All Other E&amp;G-2Yr'!F14</f>
        <v>0</v>
      </c>
      <c r="G14" s="83">
        <f>+'Tuition-2Yr'!G14+'State Appropriations-2Yr'!G14+'Local Appropriations-2Yr'!G14+'Fed Contracts Grnts-2Yr'!G14+'Other Contracts Grnts-2Yr'!G14+'Investment Income-2Yr'!G14+'All Other E&amp;G-2Yr'!G14</f>
        <v>0</v>
      </c>
      <c r="H14" s="83">
        <f>+'Tuition-2Yr'!H14+'State Appropriations-2Yr'!H14+'Local Appropriations-2Yr'!H14+'Fed Contracts Grnts-2Yr'!H14+'Other Contracts Grnts-2Yr'!H14+'Investment Income-2Yr'!H14+'All Other E&amp;G-2Yr'!H14</f>
        <v>0</v>
      </c>
      <c r="I14" s="83">
        <f>+'Tuition-2Yr'!I14+'State Appropriations-2Yr'!I14+'Local Appropriations-2Yr'!I14+'Fed Contracts Grnts-2Yr'!I14+'Other Contracts Grnts-2Yr'!I14+'Investment Income-2Yr'!I14+'All Other E&amp;G-2Yr'!I14</f>
        <v>368424.09700000001</v>
      </c>
      <c r="J14" s="83">
        <f>+'Tuition-2Yr'!J14+'State Appropriations-2Yr'!J14+'Local Appropriations-2Yr'!J14+'Fed Contracts Grnts-2Yr'!J14+'Other Contracts Grnts-2Yr'!J14+'Investment Income-2Yr'!J14+'All Other E&amp;G-2Yr'!J14</f>
        <v>303286.55099999992</v>
      </c>
      <c r="K14" s="83">
        <f>+'Tuition-2Yr'!K14+'State Appropriations-2Yr'!K14+'Local Appropriations-2Yr'!K14+'Fed Contracts Grnts-2Yr'!K14+'Other Contracts Grnts-2Yr'!K14+'Investment Income-2Yr'!K14+'All Other E&amp;G-2Yr'!K14</f>
        <v>409983.84600000002</v>
      </c>
      <c r="L14" s="83">
        <f>+'Tuition-2Yr'!L14+'State Appropriations-2Yr'!L14+'Local Appropriations-2Yr'!L14+'Fed Contracts Grnts-2Yr'!L14+'Other Contracts Grnts-2Yr'!L14+'Investment Income-2Yr'!L14+'All Other E&amp;G-2Yr'!L14</f>
        <v>437178.63099999994</v>
      </c>
      <c r="M14" s="83">
        <f>+'Tuition-2Yr'!M14+'State Appropriations-2Yr'!M14+'Local Appropriations-2Yr'!M14+'Fed Contracts Grnts-2Yr'!M14+'Other Contracts Grnts-2Yr'!M14+'Investment Income-2Yr'!M14+'All Other E&amp;G-2Yr'!M14</f>
        <v>369789.89799999999</v>
      </c>
      <c r="N14" s="83">
        <f>+'Tuition-2Yr'!N14+'State Appropriations-2Yr'!N14+'Local Appropriations-2Yr'!N14+'Fed Contracts Grnts-2Yr'!N14+'Other Contracts Grnts-2Yr'!N14+'Investment Income-2Yr'!N14+'All Other E&amp;G-2Yr'!N14</f>
        <v>476815.87100000004</v>
      </c>
      <c r="O14" s="83">
        <f>+'Tuition-2Yr'!O14+'State Appropriations-2Yr'!O14+'Local Appropriations-2Yr'!O14+'Fed Contracts Grnts-2Yr'!O14+'Other Contracts Grnts-2Yr'!O14+'Investment Income-2Yr'!O14+'All Other E&amp;G-2Yr'!O14</f>
        <v>488418.82199999999</v>
      </c>
      <c r="P14" s="83">
        <f>+'Tuition-2Yr'!P14+'State Appropriations-2Yr'!P14+'Local Appropriations-2Yr'!P14+'Fed Contracts Grnts-2Yr'!P14+'Other Contracts Grnts-2Yr'!P14+'Investment Income-2Yr'!P14+'All Other E&amp;G-2Yr'!P14</f>
        <v>0</v>
      </c>
      <c r="Q14" s="83">
        <f>+'Tuition-2Yr'!Q14+'State Appropriations-2Yr'!Q14+'Local Appropriations-2Yr'!Q14+'Fed Contracts Grnts-2Yr'!Q14+'Other Contracts Grnts-2Yr'!Q14+'Investment Income-2Yr'!Q14+'All Other E&amp;G-2Yr'!Q14</f>
        <v>0</v>
      </c>
      <c r="R14" s="83">
        <f>+'Tuition-2Yr'!R14+'State Appropriations-2Yr'!R14+'Local Appropriations-2Yr'!R14+'Fed Contracts Grnts-2Yr'!R14+'Other Contracts Grnts-2Yr'!R14+'Investment Income-2Yr'!R14+'All Other E&amp;G-2Yr'!R14</f>
        <v>597558.39799999993</v>
      </c>
      <c r="S14" s="83">
        <f>+'Tuition-2Yr'!S14+'State Appropriations-2Yr'!S14+'Local Appropriations-2Yr'!S14+'Fed Contracts Grnts-2Yr'!S14+'Other Contracts Grnts-2Yr'!S14+'Investment Income-2Yr'!S14+'All Other E&amp;G-2Yr'!S14</f>
        <v>655235.005</v>
      </c>
      <c r="T14" s="83">
        <f>+'Tuition-2Yr'!T14+'State Appropriations-2Yr'!T14+'Local Appropriations-2Yr'!T14+'Fed Contracts Grnts-2Yr'!T14+'Other Contracts Grnts-2Yr'!T14+'Investment Income-2Yr'!T14+'All Other E&amp;G-2Yr'!T14</f>
        <v>699336.63999999978</v>
      </c>
      <c r="U14" s="83">
        <f>+'Tuition-2Yr'!U14+'State Appropriations-2Yr'!U14+'Local Appropriations-2Yr'!U14+'Fed Contracts Grnts-2Yr'!U14+'Other Contracts Grnts-2Yr'!U14+'Investment Income-2Yr'!U14+'All Other E&amp;G-2Yr'!U14</f>
        <v>743818.255</v>
      </c>
      <c r="V14" s="83">
        <f>+'Tuition-2Yr'!V14+'State Appropriations-2Yr'!V14+'Local Appropriations-2Yr'!V14+'Fed Contracts Grnts-2Yr'!V14+'Other Contracts Grnts-2Yr'!V14+'Investment Income-2Yr'!V14+'All Other E&amp;G-2Yr'!V14</f>
        <v>774005.25299999991</v>
      </c>
      <c r="W14" s="83">
        <f>+'Tuition-2Yr'!W14+'State Appropriations-2Yr'!W14+'Local Appropriations-2Yr'!W14+'Fed Contracts Grnts-2Yr'!W14+'Other Contracts Grnts-2Yr'!W14+'Investment Income-2Yr'!W14+'All Other E&amp;G-2Yr'!W14</f>
        <v>879291.23899999994</v>
      </c>
      <c r="X14" s="83">
        <f>+'Tuition-2Yr'!X14+'State Appropriations-2Yr'!X14+'Local Appropriations-2Yr'!X14+'Fed Contracts Grnts-2Yr'!X14+'Other Contracts Grnts-2Yr'!X14+'Investment Income-2Yr'!X14+'All Other E&amp;G-2Yr'!X14</f>
        <v>861379.95899999992</v>
      </c>
      <c r="Y14" s="83">
        <f>+'Tuition-2Yr'!Y14+'State Appropriations-2Yr'!Y14+'Local Appropriations-2Yr'!Y14+'Fed Contracts Grnts-2Yr'!Y14+'Other Contracts Grnts-2Yr'!Y14+'Investment Income-2Yr'!Y14+'All Other E&amp;G-2Yr'!Y14</f>
        <v>944351.69699999993</v>
      </c>
      <c r="Z14" s="83">
        <f>+'Tuition-2Yr'!Z14+'State Appropriations-2Yr'!Z14+'Local Appropriations-2Yr'!Z14+'Fed Contracts Grnts-2Yr'!Z14+'Other Contracts Grnts-2Yr'!Z14+'Investment Income-2Yr'!Z14+'All Other E&amp;G-2Yr'!Z14</f>
        <v>1049315.9080000001</v>
      </c>
      <c r="AA14" s="83">
        <f>+'Tuition-2Yr'!AA14+'State Appropriations-2Yr'!AA14+'Local Appropriations-2Yr'!AA14+'Fed Contracts Grnts-2Yr'!AA14+'Other Contracts Grnts-2Yr'!AA14+'Investment Income-2Yr'!AA14+'All Other E&amp;G-2Yr'!AA14</f>
        <v>1176947.7420000001</v>
      </c>
      <c r="AB14" s="83">
        <f>+'Tuition-2Yr'!AB14+'State Appropriations-2Yr'!AB14+'Local Appropriations-2Yr'!AB14+'Fed Contracts Grnts-2Yr'!AB14+'Other Contracts Grnts-2Yr'!AB14+'Investment Income-2Yr'!AB14+'All Other E&amp;G-2Yr'!AB14</f>
        <v>1282740.5299999998</v>
      </c>
      <c r="AC14" s="83">
        <f>+'Tuition-2Yr'!AC14+'State Appropriations-2Yr'!AC14+'Local Appropriations-2Yr'!AC14+'Fed Contracts Grnts-2Yr'!AC14+'Other Contracts Grnts-2Yr'!AC14+'Investment Income-2Yr'!AC14+'All Other E&amp;G-2Yr'!AC14</f>
        <v>1347726</v>
      </c>
      <c r="AD14" s="83">
        <f>+'Tuition-2Yr'!AD14+'State Appropriations-2Yr'!AD14+'Local Appropriations-2Yr'!AD14+'Fed Contracts Grnts-2Yr'!AD14+'Other Contracts Grnts-2Yr'!AD14+'Investment Income-2Yr'!AD14+'All Other E&amp;G-2Yr'!AD14</f>
        <v>1370492.5249999999</v>
      </c>
      <c r="AE14" s="83">
        <f>+'Tuition-2Yr'!AE14+'State Appropriations-2Yr'!AE14+'Local Appropriations-2Yr'!AE14+'Fed Contracts Grnts-2Yr'!AE14+'Other Contracts Grnts-2Yr'!AE14+'Investment Income-2Yr'!AE14+'All Other E&amp;G-2Yr'!AE14</f>
        <v>1386485.89</v>
      </c>
      <c r="AF14" s="83">
        <f>+'Tuition-2Yr'!AF14+'State Appropriations-2Yr'!AF14+'Local Appropriations-2Yr'!AF14+'Fed Contracts Grnts-2Yr'!AF14+'Other Contracts Grnts-2Yr'!AF14+'Investment Income-2Yr'!AF14+'All Other E&amp;G-2Yr'!AF14</f>
        <v>1400723.5759999999</v>
      </c>
      <c r="AG14" s="83">
        <f>+'Tuition-2Yr'!AG14+'State Appropriations-2Yr'!AG14+'Local Appropriations-2Yr'!AG14+'Fed Contracts Grnts-2Yr'!AG14+'Other Contracts Grnts-2Yr'!AG14+'Investment Income-2Yr'!AG14+'All Other E&amp;G-2Yr'!AG14</f>
        <v>1406629.16</v>
      </c>
      <c r="AH14" s="83">
        <f>+'Tuition-2Yr'!AH14+'State Appropriations-2Yr'!AH14+'Local Appropriations-2Yr'!AH14+'Fed Contracts Grnts-2Yr'!AH14+'Other Contracts Grnts-2Yr'!AH14+'Investment Income-2Yr'!AH14+'All Other E&amp;G-2Yr'!AH14</f>
        <v>1410422.5929999999</v>
      </c>
      <c r="AI14" s="83">
        <f>+'Tuition-2Yr'!AI14+'State Appropriations-2Yr'!AI14+'Local Appropriations-2Yr'!AI14+'Fed Contracts Grnts-2Yr'!AI14+'Other Contracts Grnts-2Yr'!AI14+'Investment Income-2Yr'!AI14+'All Other E&amp;G-2Yr'!AI14</f>
        <v>1430441.3260000001</v>
      </c>
      <c r="AJ14" s="83">
        <f>+'Tuition-2Yr'!AJ14+'State Appropriations-2Yr'!AJ14+'Local Appropriations-2Yr'!AJ14+'Fed Contracts Grnts-2Yr'!AJ14+'Other Contracts Grnts-2Yr'!AJ14+'Investment Income-2Yr'!AJ14+'All Other E&amp;G-2Yr'!AJ14</f>
        <v>0</v>
      </c>
      <c r="AK14" s="83">
        <f>+'Tuition-2Yr'!AK14+'State Appropriations-2Yr'!AK14+'Local Appropriations-2Yr'!AK14+'Fed Contracts Grnts-2Yr'!AK14+'Other Contracts Grnts-2Yr'!AK14+'Investment Income-2Yr'!AK14+'All Other E&amp;G-2Yr'!AK14</f>
        <v>1527228.1849999998</v>
      </c>
      <c r="AL14" s="83">
        <f>+'Tuition-2Yr'!AL14+'State Appropriations-2Yr'!AL14+'Local Appropriations-2Yr'!AL14+'Fed Contracts Grnts-2Yr'!AL14+'Other Contracts Grnts-2Yr'!AL14+'Investment Income-2Yr'!AL14+'All Other E&amp;G-2Yr'!AL14</f>
        <v>1490553.5850000004</v>
      </c>
    </row>
    <row r="15" spans="1:38" ht="12.75" customHeight="1">
      <c r="A15" s="1" t="s">
        <v>30</v>
      </c>
      <c r="B15" s="83">
        <f>+'Tuition-2Yr'!B15+'State Appropriations-2Yr'!B15+'Local Appropriations-2Yr'!B15+'Fed Contracts Grnts-2Yr'!B15+'Other Contracts Grnts-2Yr'!B15+'Investment Income-2Yr'!B15+'All Other E&amp;G-2Yr'!B15</f>
        <v>129715</v>
      </c>
      <c r="C15" s="83">
        <f>+'Tuition-2Yr'!C15+'State Appropriations-2Yr'!C15+'Local Appropriations-2Yr'!C15+'Fed Contracts Grnts-2Yr'!C15+'Other Contracts Grnts-2Yr'!C15+'Investment Income-2Yr'!C15+'All Other E&amp;G-2Yr'!C15</f>
        <v>132970</v>
      </c>
      <c r="D15" s="83">
        <f>+'Tuition-2Yr'!D15+'State Appropriations-2Yr'!D15+'Local Appropriations-2Yr'!D15+'Fed Contracts Grnts-2Yr'!D15+'Other Contracts Grnts-2Yr'!D15+'Investment Income-2Yr'!D15+'All Other E&amp;G-2Yr'!D15</f>
        <v>148068</v>
      </c>
      <c r="E15" s="83">
        <f>+'Tuition-2Yr'!E15+'State Appropriations-2Yr'!E15+'Local Appropriations-2Yr'!E15+'Fed Contracts Grnts-2Yr'!E15+'Other Contracts Grnts-2Yr'!E15+'Investment Income-2Yr'!E15+'All Other E&amp;G-2Yr'!E15</f>
        <v>0</v>
      </c>
      <c r="F15" s="83">
        <f>+'Tuition-2Yr'!F15+'State Appropriations-2Yr'!F15+'Local Appropriations-2Yr'!F15+'Fed Contracts Grnts-2Yr'!F15+'Other Contracts Grnts-2Yr'!F15+'Investment Income-2Yr'!F15+'All Other E&amp;G-2Yr'!F15</f>
        <v>0</v>
      </c>
      <c r="G15" s="83">
        <f>+'Tuition-2Yr'!G15+'State Appropriations-2Yr'!G15+'Local Appropriations-2Yr'!G15+'Fed Contracts Grnts-2Yr'!G15+'Other Contracts Grnts-2Yr'!G15+'Investment Income-2Yr'!G15+'All Other E&amp;G-2Yr'!G15</f>
        <v>0</v>
      </c>
      <c r="H15" s="83">
        <f>+'Tuition-2Yr'!H15+'State Appropriations-2Yr'!H15+'Local Appropriations-2Yr'!H15+'Fed Contracts Grnts-2Yr'!H15+'Other Contracts Grnts-2Yr'!H15+'Investment Income-2Yr'!H15+'All Other E&amp;G-2Yr'!H15</f>
        <v>0</v>
      </c>
      <c r="I15" s="83">
        <f>+'Tuition-2Yr'!I15+'State Appropriations-2Yr'!I15+'Local Appropriations-2Yr'!I15+'Fed Contracts Grnts-2Yr'!I15+'Other Contracts Grnts-2Yr'!I15+'Investment Income-2Yr'!I15+'All Other E&amp;G-2Yr'!I15</f>
        <v>207902.73499999999</v>
      </c>
      <c r="J15" s="83">
        <f>+'Tuition-2Yr'!J15+'State Appropriations-2Yr'!J15+'Local Appropriations-2Yr'!J15+'Fed Contracts Grnts-2Yr'!J15+'Other Contracts Grnts-2Yr'!J15+'Investment Income-2Yr'!J15+'All Other E&amp;G-2Yr'!J15</f>
        <v>215226.16399999999</v>
      </c>
      <c r="K15" s="83">
        <f>+'Tuition-2Yr'!K15+'State Appropriations-2Yr'!K15+'Local Appropriations-2Yr'!K15+'Fed Contracts Grnts-2Yr'!K15+'Other Contracts Grnts-2Yr'!K15+'Investment Income-2Yr'!K15+'All Other E&amp;G-2Yr'!K15</f>
        <v>242325.337</v>
      </c>
      <c r="L15" s="83">
        <f>+'Tuition-2Yr'!L15+'State Appropriations-2Yr'!L15+'Local Appropriations-2Yr'!L15+'Fed Contracts Grnts-2Yr'!L15+'Other Contracts Grnts-2Yr'!L15+'Investment Income-2Yr'!L15+'All Other E&amp;G-2Yr'!L15</f>
        <v>259042.61199999996</v>
      </c>
      <c r="M15" s="83">
        <f>+'Tuition-2Yr'!M15+'State Appropriations-2Yr'!M15+'Local Appropriations-2Yr'!M15+'Fed Contracts Grnts-2Yr'!M15+'Other Contracts Grnts-2Yr'!M15+'Investment Income-2Yr'!M15+'All Other E&amp;G-2Yr'!M15</f>
        <v>302768.60900000005</v>
      </c>
      <c r="N15" s="83">
        <f>+'Tuition-2Yr'!N15+'State Appropriations-2Yr'!N15+'Local Appropriations-2Yr'!N15+'Fed Contracts Grnts-2Yr'!N15+'Other Contracts Grnts-2Yr'!N15+'Investment Income-2Yr'!N15+'All Other E&amp;G-2Yr'!N15</f>
        <v>330974.42800000001</v>
      </c>
      <c r="O15" s="83">
        <f>+'Tuition-2Yr'!O15+'State Appropriations-2Yr'!O15+'Local Appropriations-2Yr'!O15+'Fed Contracts Grnts-2Yr'!O15+'Other Contracts Grnts-2Yr'!O15+'Investment Income-2Yr'!O15+'All Other E&amp;G-2Yr'!O15</f>
        <v>340262.49899999995</v>
      </c>
      <c r="P15" s="83">
        <f>+'Tuition-2Yr'!P15+'State Appropriations-2Yr'!P15+'Local Appropriations-2Yr'!P15+'Fed Contracts Grnts-2Yr'!P15+'Other Contracts Grnts-2Yr'!P15+'Investment Income-2Yr'!P15+'All Other E&amp;G-2Yr'!P15</f>
        <v>0</v>
      </c>
      <c r="Q15" s="83">
        <f>+'Tuition-2Yr'!Q15+'State Appropriations-2Yr'!Q15+'Local Appropriations-2Yr'!Q15+'Fed Contracts Grnts-2Yr'!Q15+'Other Contracts Grnts-2Yr'!Q15+'Investment Income-2Yr'!Q15+'All Other E&amp;G-2Yr'!Q15</f>
        <v>0</v>
      </c>
      <c r="R15" s="83">
        <f>+'Tuition-2Yr'!R15+'State Appropriations-2Yr'!R15+'Local Appropriations-2Yr'!R15+'Fed Contracts Grnts-2Yr'!R15+'Other Contracts Grnts-2Yr'!R15+'Investment Income-2Yr'!R15+'All Other E&amp;G-2Yr'!R15</f>
        <v>421972.24400000001</v>
      </c>
      <c r="S15" s="83">
        <f>+'Tuition-2Yr'!S15+'State Appropriations-2Yr'!S15+'Local Appropriations-2Yr'!S15+'Fed Contracts Grnts-2Yr'!S15+'Other Contracts Grnts-2Yr'!S15+'Investment Income-2Yr'!S15+'All Other E&amp;G-2Yr'!S15</f>
        <v>424284.15899999999</v>
      </c>
      <c r="T15" s="83">
        <f>+'Tuition-2Yr'!T15+'State Appropriations-2Yr'!T15+'Local Appropriations-2Yr'!T15+'Fed Contracts Grnts-2Yr'!T15+'Other Contracts Grnts-2Yr'!T15+'Investment Income-2Yr'!T15+'All Other E&amp;G-2Yr'!T15</f>
        <v>458201.16200000001</v>
      </c>
      <c r="U15" s="83">
        <f>+'Tuition-2Yr'!U15+'State Appropriations-2Yr'!U15+'Local Appropriations-2Yr'!U15+'Fed Contracts Grnts-2Yr'!U15+'Other Contracts Grnts-2Yr'!U15+'Investment Income-2Yr'!U15+'All Other E&amp;G-2Yr'!U15</f>
        <v>472602.73000000004</v>
      </c>
      <c r="V15" s="83">
        <f>+'Tuition-2Yr'!V15+'State Appropriations-2Yr'!V15+'Local Appropriations-2Yr'!V15+'Fed Contracts Grnts-2Yr'!V15+'Other Contracts Grnts-2Yr'!V15+'Investment Income-2Yr'!V15+'All Other E&amp;G-2Yr'!V15</f>
        <v>484381.10000000003</v>
      </c>
      <c r="W15" s="83">
        <f>+'Tuition-2Yr'!W15+'State Appropriations-2Yr'!W15+'Local Appropriations-2Yr'!W15+'Fed Contracts Grnts-2Yr'!W15+'Other Contracts Grnts-2Yr'!W15+'Investment Income-2Yr'!W15+'All Other E&amp;G-2Yr'!W15</f>
        <v>548281.98</v>
      </c>
      <c r="X15" s="83">
        <f>+'Tuition-2Yr'!X15+'State Appropriations-2Yr'!X15+'Local Appropriations-2Yr'!X15+'Fed Contracts Grnts-2Yr'!X15+'Other Contracts Grnts-2Yr'!X15+'Investment Income-2Yr'!X15+'All Other E&amp;G-2Yr'!X15</f>
        <v>558239.08299999998</v>
      </c>
      <c r="Y15" s="83">
        <f>+'Tuition-2Yr'!Y15+'State Appropriations-2Yr'!Y15+'Local Appropriations-2Yr'!Y15+'Fed Contracts Grnts-2Yr'!Y15+'Other Contracts Grnts-2Yr'!Y15+'Investment Income-2Yr'!Y15+'All Other E&amp;G-2Yr'!Y15</f>
        <v>578054.50399999996</v>
      </c>
      <c r="Z15" s="83">
        <f>+'Tuition-2Yr'!Z15+'State Appropriations-2Yr'!Z15+'Local Appropriations-2Yr'!Z15+'Fed Contracts Grnts-2Yr'!Z15+'Other Contracts Grnts-2Yr'!Z15+'Investment Income-2Yr'!Z15+'All Other E&amp;G-2Yr'!Z15</f>
        <v>644505.5780000001</v>
      </c>
      <c r="AA15" s="83">
        <f>+'Tuition-2Yr'!AA15+'State Appropriations-2Yr'!AA15+'Local Appropriations-2Yr'!AA15+'Fed Contracts Grnts-2Yr'!AA15+'Other Contracts Grnts-2Yr'!AA15+'Investment Income-2Yr'!AA15+'All Other E&amp;G-2Yr'!AA15</f>
        <v>738437.13199999998</v>
      </c>
      <c r="AB15" s="83">
        <f>+'Tuition-2Yr'!AB15+'State Appropriations-2Yr'!AB15+'Local Appropriations-2Yr'!AB15+'Fed Contracts Grnts-2Yr'!AB15+'Other Contracts Grnts-2Yr'!AB15+'Investment Income-2Yr'!AB15+'All Other E&amp;G-2Yr'!AB15</f>
        <v>879112.13000000012</v>
      </c>
      <c r="AC15" s="83">
        <f>+'Tuition-2Yr'!AC15+'State Appropriations-2Yr'!AC15+'Local Appropriations-2Yr'!AC15+'Fed Contracts Grnts-2Yr'!AC15+'Other Contracts Grnts-2Yr'!AC15+'Investment Income-2Yr'!AC15+'All Other E&amp;G-2Yr'!AC15</f>
        <v>947084</v>
      </c>
      <c r="AD15" s="83">
        <f>+'Tuition-2Yr'!AD15+'State Appropriations-2Yr'!AD15+'Local Appropriations-2Yr'!AD15+'Fed Contracts Grnts-2Yr'!AD15+'Other Contracts Grnts-2Yr'!AD15+'Investment Income-2Yr'!AD15+'All Other E&amp;G-2Yr'!AD15</f>
        <v>859044.85600000003</v>
      </c>
      <c r="AE15" s="83">
        <f>+'Tuition-2Yr'!AE15+'State Appropriations-2Yr'!AE15+'Local Appropriations-2Yr'!AE15+'Fed Contracts Grnts-2Yr'!AE15+'Other Contracts Grnts-2Yr'!AE15+'Investment Income-2Yr'!AE15+'All Other E&amp;G-2Yr'!AE15</f>
        <v>814117.81700000004</v>
      </c>
      <c r="AF15" s="83">
        <f>+'Tuition-2Yr'!AF15+'State Appropriations-2Yr'!AF15+'Local Appropriations-2Yr'!AF15+'Fed Contracts Grnts-2Yr'!AF15+'Other Contracts Grnts-2Yr'!AF15+'Investment Income-2Yr'!AF15+'All Other E&amp;G-2Yr'!AF15</f>
        <v>822131.10800000012</v>
      </c>
      <c r="AG15" s="83">
        <f>+'Tuition-2Yr'!AG15+'State Appropriations-2Yr'!AG15+'Local Appropriations-2Yr'!AG15+'Fed Contracts Grnts-2Yr'!AG15+'Other Contracts Grnts-2Yr'!AG15+'Investment Income-2Yr'!AG15+'All Other E&amp;G-2Yr'!AG15</f>
        <v>831353.30300000019</v>
      </c>
      <c r="AH15" s="83">
        <f>+'Tuition-2Yr'!AH15+'State Appropriations-2Yr'!AH15+'Local Appropriations-2Yr'!AH15+'Fed Contracts Grnts-2Yr'!AH15+'Other Contracts Grnts-2Yr'!AH15+'Investment Income-2Yr'!AH15+'All Other E&amp;G-2Yr'!AH15</f>
        <v>838667.56299999985</v>
      </c>
      <c r="AI15" s="83">
        <f>+'Tuition-2Yr'!AI15+'State Appropriations-2Yr'!AI15+'Local Appropriations-2Yr'!AI15+'Fed Contracts Grnts-2Yr'!AI15+'Other Contracts Grnts-2Yr'!AI15+'Investment Income-2Yr'!AI15+'All Other E&amp;G-2Yr'!AI15</f>
        <v>834513.65700000001</v>
      </c>
      <c r="AJ15" s="83">
        <f>+'Tuition-2Yr'!AJ15+'State Appropriations-2Yr'!AJ15+'Local Appropriations-2Yr'!AJ15+'Fed Contracts Grnts-2Yr'!AJ15+'Other Contracts Grnts-2Yr'!AJ15+'Investment Income-2Yr'!AJ15+'All Other E&amp;G-2Yr'!AJ15</f>
        <v>0</v>
      </c>
      <c r="AK15" s="83">
        <f>+'Tuition-2Yr'!AK15+'State Appropriations-2Yr'!AK15+'Local Appropriations-2Yr'!AK15+'Fed Contracts Grnts-2Yr'!AK15+'Other Contracts Grnts-2Yr'!AK15+'Investment Income-2Yr'!AK15+'All Other E&amp;G-2Yr'!AK15</f>
        <v>999572.72899999982</v>
      </c>
      <c r="AL15" s="83">
        <f>+'Tuition-2Yr'!AL15+'State Appropriations-2Yr'!AL15+'Local Appropriations-2Yr'!AL15+'Fed Contracts Grnts-2Yr'!AL15+'Other Contracts Grnts-2Yr'!AL15+'Investment Income-2Yr'!AL15+'All Other E&amp;G-2Yr'!AL15</f>
        <v>923951.26100000006</v>
      </c>
    </row>
    <row r="16" spans="1:38" ht="12.75" customHeight="1">
      <c r="A16" s="1" t="s">
        <v>31</v>
      </c>
      <c r="B16" s="83">
        <f>+'Tuition-2Yr'!B16+'State Appropriations-2Yr'!B16+'Local Appropriations-2Yr'!B16+'Fed Contracts Grnts-2Yr'!B16+'Other Contracts Grnts-2Yr'!B16+'Investment Income-2Yr'!B16+'All Other E&amp;G-2Yr'!B16</f>
        <v>299113</v>
      </c>
      <c r="C16" s="83">
        <f>+'Tuition-2Yr'!C16+'State Appropriations-2Yr'!C16+'Local Appropriations-2Yr'!C16+'Fed Contracts Grnts-2Yr'!C16+'Other Contracts Grnts-2Yr'!C16+'Investment Income-2Yr'!C16+'All Other E&amp;G-2Yr'!C16</f>
        <v>330100</v>
      </c>
      <c r="D16" s="83">
        <f>+'Tuition-2Yr'!D16+'State Appropriations-2Yr'!D16+'Local Appropriations-2Yr'!D16+'Fed Contracts Grnts-2Yr'!D16+'Other Contracts Grnts-2Yr'!D16+'Investment Income-2Yr'!D16+'All Other E&amp;G-2Yr'!D16</f>
        <v>357737</v>
      </c>
      <c r="E16" s="83">
        <f>+'Tuition-2Yr'!E16+'State Appropriations-2Yr'!E16+'Local Appropriations-2Yr'!E16+'Fed Contracts Grnts-2Yr'!E16+'Other Contracts Grnts-2Yr'!E16+'Investment Income-2Yr'!E16+'All Other E&amp;G-2Yr'!E16</f>
        <v>0</v>
      </c>
      <c r="F16" s="83">
        <f>+'Tuition-2Yr'!F16+'State Appropriations-2Yr'!F16+'Local Appropriations-2Yr'!F16+'Fed Contracts Grnts-2Yr'!F16+'Other Contracts Grnts-2Yr'!F16+'Investment Income-2Yr'!F16+'All Other E&amp;G-2Yr'!F16</f>
        <v>0</v>
      </c>
      <c r="G16" s="83">
        <f>+'Tuition-2Yr'!G16+'State Appropriations-2Yr'!G16+'Local Appropriations-2Yr'!G16+'Fed Contracts Grnts-2Yr'!G16+'Other Contracts Grnts-2Yr'!G16+'Investment Income-2Yr'!G16+'All Other E&amp;G-2Yr'!G16</f>
        <v>0</v>
      </c>
      <c r="H16" s="83">
        <f>+'Tuition-2Yr'!H16+'State Appropriations-2Yr'!H16+'Local Appropriations-2Yr'!H16+'Fed Contracts Grnts-2Yr'!H16+'Other Contracts Grnts-2Yr'!H16+'Investment Income-2Yr'!H16+'All Other E&amp;G-2Yr'!H16</f>
        <v>0</v>
      </c>
      <c r="I16" s="83">
        <f>+'Tuition-2Yr'!I16+'State Appropriations-2Yr'!I16+'Local Appropriations-2Yr'!I16+'Fed Contracts Grnts-2Yr'!I16+'Other Contracts Grnts-2Yr'!I16+'Investment Income-2Yr'!I16+'All Other E&amp;G-2Yr'!I16</f>
        <v>528435.83299999998</v>
      </c>
      <c r="J16" s="83">
        <f>+'Tuition-2Yr'!J16+'State Appropriations-2Yr'!J16+'Local Appropriations-2Yr'!J16+'Fed Contracts Grnts-2Yr'!J16+'Other Contracts Grnts-2Yr'!J16+'Investment Income-2Yr'!J16+'All Other E&amp;G-2Yr'!J16</f>
        <v>555025.272</v>
      </c>
      <c r="K16" s="83">
        <f>+'Tuition-2Yr'!K16+'State Appropriations-2Yr'!K16+'Local Appropriations-2Yr'!K16+'Fed Contracts Grnts-2Yr'!K16+'Other Contracts Grnts-2Yr'!K16+'Investment Income-2Yr'!K16+'All Other E&amp;G-2Yr'!K16</f>
        <v>614810.87600000005</v>
      </c>
      <c r="L16" s="83">
        <f>+'Tuition-2Yr'!L16+'State Appropriations-2Yr'!L16+'Local Appropriations-2Yr'!L16+'Fed Contracts Grnts-2Yr'!L16+'Other Contracts Grnts-2Yr'!L16+'Investment Income-2Yr'!L16+'All Other E&amp;G-2Yr'!L16</f>
        <v>657699.87799999991</v>
      </c>
      <c r="M16" s="83">
        <f>+'Tuition-2Yr'!M16+'State Appropriations-2Yr'!M16+'Local Appropriations-2Yr'!M16+'Fed Contracts Grnts-2Yr'!M16+'Other Contracts Grnts-2Yr'!M16+'Investment Income-2Yr'!M16+'All Other E&amp;G-2Yr'!M16</f>
        <v>704262.15800000005</v>
      </c>
      <c r="N16" s="83">
        <f>+'Tuition-2Yr'!N16+'State Appropriations-2Yr'!N16+'Local Appropriations-2Yr'!N16+'Fed Contracts Grnts-2Yr'!N16+'Other Contracts Grnts-2Yr'!N16+'Investment Income-2Yr'!N16+'All Other E&amp;G-2Yr'!N16</f>
        <v>718090.76599999995</v>
      </c>
      <c r="O16" s="83">
        <f>+'Tuition-2Yr'!O16+'State Appropriations-2Yr'!O16+'Local Appropriations-2Yr'!O16+'Fed Contracts Grnts-2Yr'!O16+'Other Contracts Grnts-2Yr'!O16+'Investment Income-2Yr'!O16+'All Other E&amp;G-2Yr'!O16</f>
        <v>747801.57782000001</v>
      </c>
      <c r="P16" s="83">
        <f>+'Tuition-2Yr'!P16+'State Appropriations-2Yr'!P16+'Local Appropriations-2Yr'!P16+'Fed Contracts Grnts-2Yr'!P16+'Other Contracts Grnts-2Yr'!P16+'Investment Income-2Yr'!P16+'All Other E&amp;G-2Yr'!P16</f>
        <v>0</v>
      </c>
      <c r="Q16" s="83">
        <f>+'Tuition-2Yr'!Q16+'State Appropriations-2Yr'!Q16+'Local Appropriations-2Yr'!Q16+'Fed Contracts Grnts-2Yr'!Q16+'Other Contracts Grnts-2Yr'!Q16+'Investment Income-2Yr'!Q16+'All Other E&amp;G-2Yr'!Q16</f>
        <v>0</v>
      </c>
      <c r="R16" s="83">
        <f>+'Tuition-2Yr'!R16+'State Appropriations-2Yr'!R16+'Local Appropriations-2Yr'!R16+'Fed Contracts Grnts-2Yr'!R16+'Other Contracts Grnts-2Yr'!R16+'Investment Income-2Yr'!R16+'All Other E&amp;G-2Yr'!R16</f>
        <v>940204.11199999996</v>
      </c>
      <c r="S16" s="83">
        <f>+'Tuition-2Yr'!S16+'State Appropriations-2Yr'!S16+'Local Appropriations-2Yr'!S16+'Fed Contracts Grnts-2Yr'!S16+'Other Contracts Grnts-2Yr'!S16+'Investment Income-2Yr'!S16+'All Other E&amp;G-2Yr'!S16</f>
        <v>1018905.5929999999</v>
      </c>
      <c r="T16" s="83">
        <f>+'Tuition-2Yr'!T16+'State Appropriations-2Yr'!T16+'Local Appropriations-2Yr'!T16+'Fed Contracts Grnts-2Yr'!T16+'Other Contracts Grnts-2Yr'!T16+'Investment Income-2Yr'!T16+'All Other E&amp;G-2Yr'!T16</f>
        <v>1077652.6950000001</v>
      </c>
      <c r="U16" s="83">
        <f>+'Tuition-2Yr'!U16+'State Appropriations-2Yr'!U16+'Local Appropriations-2Yr'!U16+'Fed Contracts Grnts-2Yr'!U16+'Other Contracts Grnts-2Yr'!U16+'Investment Income-2Yr'!U16+'All Other E&amp;G-2Yr'!U16</f>
        <v>1156754.7789999999</v>
      </c>
      <c r="V16" s="83">
        <f>+'Tuition-2Yr'!V16+'State Appropriations-2Yr'!V16+'Local Appropriations-2Yr'!V16+'Fed Contracts Grnts-2Yr'!V16+'Other Contracts Grnts-2Yr'!V16+'Investment Income-2Yr'!V16+'All Other E&amp;G-2Yr'!V16</f>
        <v>1186269.0209999999</v>
      </c>
      <c r="W16" s="83">
        <f>+'Tuition-2Yr'!W16+'State Appropriations-2Yr'!W16+'Local Appropriations-2Yr'!W16+'Fed Contracts Grnts-2Yr'!W16+'Other Contracts Grnts-2Yr'!W16+'Investment Income-2Yr'!W16+'All Other E&amp;G-2Yr'!W16</f>
        <v>1351178.7830000001</v>
      </c>
      <c r="X16" s="83">
        <f>+'Tuition-2Yr'!X16+'State Appropriations-2Yr'!X16+'Local Appropriations-2Yr'!X16+'Fed Contracts Grnts-2Yr'!X16+'Other Contracts Grnts-2Yr'!X16+'Investment Income-2Yr'!X16+'All Other E&amp;G-2Yr'!X16</f>
        <v>1339797.3220000002</v>
      </c>
      <c r="Y16" s="83">
        <f>+'Tuition-2Yr'!Y16+'State Appropriations-2Yr'!Y16+'Local Appropriations-2Yr'!Y16+'Fed Contracts Grnts-2Yr'!Y16+'Other Contracts Grnts-2Yr'!Y16+'Investment Income-2Yr'!Y16+'All Other E&amp;G-2Yr'!Y16</f>
        <v>1457659.8930000002</v>
      </c>
      <c r="Z16" s="83">
        <f>+'Tuition-2Yr'!Z16+'State Appropriations-2Yr'!Z16+'Local Appropriations-2Yr'!Z16+'Fed Contracts Grnts-2Yr'!Z16+'Other Contracts Grnts-2Yr'!Z16+'Investment Income-2Yr'!Z16+'All Other E&amp;G-2Yr'!Z16</f>
        <v>1555350.4939999999</v>
      </c>
      <c r="AA16" s="83">
        <f>+'Tuition-2Yr'!AA16+'State Appropriations-2Yr'!AA16+'Local Appropriations-2Yr'!AA16+'Fed Contracts Grnts-2Yr'!AA16+'Other Contracts Grnts-2Yr'!AA16+'Investment Income-2Yr'!AA16+'All Other E&amp;G-2Yr'!AA16</f>
        <v>1739608.5219999999</v>
      </c>
      <c r="AB16" s="83">
        <f>+'Tuition-2Yr'!AB16+'State Appropriations-2Yr'!AB16+'Local Appropriations-2Yr'!AB16+'Fed Contracts Grnts-2Yr'!AB16+'Other Contracts Grnts-2Yr'!AB16+'Investment Income-2Yr'!AB16+'All Other E&amp;G-2Yr'!AB16</f>
        <v>2010296.2719999996</v>
      </c>
      <c r="AC16" s="83">
        <f>+'Tuition-2Yr'!AC16+'State Appropriations-2Yr'!AC16+'Local Appropriations-2Yr'!AC16+'Fed Contracts Grnts-2Yr'!AC16+'Other Contracts Grnts-2Yr'!AC16+'Investment Income-2Yr'!AC16+'All Other E&amp;G-2Yr'!AC16</f>
        <v>2189754</v>
      </c>
      <c r="AD16" s="83">
        <f>+'Tuition-2Yr'!AD16+'State Appropriations-2Yr'!AD16+'Local Appropriations-2Yr'!AD16+'Fed Contracts Grnts-2Yr'!AD16+'Other Contracts Grnts-2Yr'!AD16+'Investment Income-2Yr'!AD16+'All Other E&amp;G-2Yr'!AD16</f>
        <v>2178824.67</v>
      </c>
      <c r="AE16" s="83">
        <f>+'Tuition-2Yr'!AE16+'State Appropriations-2Yr'!AE16+'Local Appropriations-2Yr'!AE16+'Fed Contracts Grnts-2Yr'!AE16+'Other Contracts Grnts-2Yr'!AE16+'Investment Income-2Yr'!AE16+'All Other E&amp;G-2Yr'!AE16</f>
        <v>2244431.8689999999</v>
      </c>
      <c r="AF16" s="83">
        <f>+'Tuition-2Yr'!AF16+'State Appropriations-2Yr'!AF16+'Local Appropriations-2Yr'!AF16+'Fed Contracts Grnts-2Yr'!AF16+'Other Contracts Grnts-2Yr'!AF16+'Investment Income-2Yr'!AF16+'All Other E&amp;G-2Yr'!AF16</f>
        <v>2222105.1460000002</v>
      </c>
      <c r="AG16" s="83">
        <f>+'Tuition-2Yr'!AG16+'State Appropriations-2Yr'!AG16+'Local Appropriations-2Yr'!AG16+'Fed Contracts Grnts-2Yr'!AG16+'Other Contracts Grnts-2Yr'!AG16+'Investment Income-2Yr'!AG16+'All Other E&amp;G-2Yr'!AG16</f>
        <v>2252940.3400000003</v>
      </c>
      <c r="AH16" s="83">
        <f>+'Tuition-2Yr'!AH16+'State Appropriations-2Yr'!AH16+'Local Appropriations-2Yr'!AH16+'Fed Contracts Grnts-2Yr'!AH16+'Other Contracts Grnts-2Yr'!AH16+'Investment Income-2Yr'!AH16+'All Other E&amp;G-2Yr'!AH16</f>
        <v>2238961.3219999997</v>
      </c>
      <c r="AI16" s="83">
        <f>+'Tuition-2Yr'!AI16+'State Appropriations-2Yr'!AI16+'Local Appropriations-2Yr'!AI16+'Fed Contracts Grnts-2Yr'!AI16+'Other Contracts Grnts-2Yr'!AI16+'Investment Income-2Yr'!AI16+'All Other E&amp;G-2Yr'!AI16</f>
        <v>2185359.6690000002</v>
      </c>
      <c r="AJ16" s="83">
        <f>+'Tuition-2Yr'!AJ16+'State Appropriations-2Yr'!AJ16+'Local Appropriations-2Yr'!AJ16+'Fed Contracts Grnts-2Yr'!AJ16+'Other Contracts Grnts-2Yr'!AJ16+'Investment Income-2Yr'!AJ16+'All Other E&amp;G-2Yr'!AJ16</f>
        <v>0</v>
      </c>
      <c r="AK16" s="83">
        <f>+'Tuition-2Yr'!AK16+'State Appropriations-2Yr'!AK16+'Local Appropriations-2Yr'!AK16+'Fed Contracts Grnts-2Yr'!AK16+'Other Contracts Grnts-2Yr'!AK16+'Investment Income-2Yr'!AK16+'All Other E&amp;G-2Yr'!AK16</f>
        <v>2510151.4930000002</v>
      </c>
      <c r="AL16" s="83">
        <f>+'Tuition-2Yr'!AL16+'State Appropriations-2Yr'!AL16+'Local Appropriations-2Yr'!AL16+'Fed Contracts Grnts-2Yr'!AL16+'Other Contracts Grnts-2Yr'!AL16+'Investment Income-2Yr'!AL16+'All Other E&amp;G-2Yr'!AL16</f>
        <v>2311133.2499999995</v>
      </c>
    </row>
    <row r="17" spans="1:38" ht="12.75" customHeight="1">
      <c r="A17" s="1" t="s">
        <v>32</v>
      </c>
      <c r="B17" s="83">
        <f>+'Tuition-2Yr'!B17+'State Appropriations-2Yr'!B17+'Local Appropriations-2Yr'!B17+'Fed Contracts Grnts-2Yr'!B17+'Other Contracts Grnts-2Yr'!B17+'Investment Income-2Yr'!B17+'All Other E&amp;G-2Yr'!B17</f>
        <v>93152</v>
      </c>
      <c r="C17" s="83">
        <f>+'Tuition-2Yr'!C17+'State Appropriations-2Yr'!C17+'Local Appropriations-2Yr'!C17+'Fed Contracts Grnts-2Yr'!C17+'Other Contracts Grnts-2Yr'!C17+'Investment Income-2Yr'!C17+'All Other E&amp;G-2Yr'!C17</f>
        <v>98309</v>
      </c>
      <c r="D17" s="83">
        <f>+'Tuition-2Yr'!D17+'State Appropriations-2Yr'!D17+'Local Appropriations-2Yr'!D17+'Fed Contracts Grnts-2Yr'!D17+'Other Contracts Grnts-2Yr'!D17+'Investment Income-2Yr'!D17+'All Other E&amp;G-2Yr'!D17</f>
        <v>114052</v>
      </c>
      <c r="E17" s="83">
        <f>+'Tuition-2Yr'!E17+'State Appropriations-2Yr'!E17+'Local Appropriations-2Yr'!E17+'Fed Contracts Grnts-2Yr'!E17+'Other Contracts Grnts-2Yr'!E17+'Investment Income-2Yr'!E17+'All Other E&amp;G-2Yr'!E17</f>
        <v>0</v>
      </c>
      <c r="F17" s="83">
        <f>+'Tuition-2Yr'!F17+'State Appropriations-2Yr'!F17+'Local Appropriations-2Yr'!F17+'Fed Contracts Grnts-2Yr'!F17+'Other Contracts Grnts-2Yr'!F17+'Investment Income-2Yr'!F17+'All Other E&amp;G-2Yr'!F17</f>
        <v>0</v>
      </c>
      <c r="G17" s="83">
        <f>+'Tuition-2Yr'!G17+'State Appropriations-2Yr'!G17+'Local Appropriations-2Yr'!G17+'Fed Contracts Grnts-2Yr'!G17+'Other Contracts Grnts-2Yr'!G17+'Investment Income-2Yr'!G17+'All Other E&amp;G-2Yr'!G17</f>
        <v>0</v>
      </c>
      <c r="H17" s="83">
        <f>+'Tuition-2Yr'!H17+'State Appropriations-2Yr'!H17+'Local Appropriations-2Yr'!H17+'Fed Contracts Grnts-2Yr'!H17+'Other Contracts Grnts-2Yr'!H17+'Investment Income-2Yr'!H17+'All Other E&amp;G-2Yr'!H17</f>
        <v>0</v>
      </c>
      <c r="I17" s="83">
        <f>+'Tuition-2Yr'!I17+'State Appropriations-2Yr'!I17+'Local Appropriations-2Yr'!I17+'Fed Contracts Grnts-2Yr'!I17+'Other Contracts Grnts-2Yr'!I17+'Investment Income-2Yr'!I17+'All Other E&amp;G-2Yr'!I17</f>
        <v>170799.89499999999</v>
      </c>
      <c r="J17" s="83">
        <f>+'Tuition-2Yr'!J17+'State Appropriations-2Yr'!J17+'Local Appropriations-2Yr'!J17+'Fed Contracts Grnts-2Yr'!J17+'Other Contracts Grnts-2Yr'!J17+'Investment Income-2Yr'!J17+'All Other E&amp;G-2Yr'!J17</f>
        <v>196423.08599999998</v>
      </c>
      <c r="K17" s="83">
        <f>+'Tuition-2Yr'!K17+'State Appropriations-2Yr'!K17+'Local Appropriations-2Yr'!K17+'Fed Contracts Grnts-2Yr'!K17+'Other Contracts Grnts-2Yr'!K17+'Investment Income-2Yr'!K17+'All Other E&amp;G-2Yr'!K17</f>
        <v>197250.88</v>
      </c>
      <c r="L17" s="83">
        <f>+'Tuition-2Yr'!L17+'State Appropriations-2Yr'!L17+'Local Appropriations-2Yr'!L17+'Fed Contracts Grnts-2Yr'!L17+'Other Contracts Grnts-2Yr'!L17+'Investment Income-2Yr'!L17+'All Other E&amp;G-2Yr'!L17</f>
        <v>202624.39300000001</v>
      </c>
      <c r="M17" s="83">
        <f>+'Tuition-2Yr'!M17+'State Appropriations-2Yr'!M17+'Local Appropriations-2Yr'!M17+'Fed Contracts Grnts-2Yr'!M17+'Other Contracts Grnts-2Yr'!M17+'Investment Income-2Yr'!M17+'All Other E&amp;G-2Yr'!M17</f>
        <v>205017.86500000002</v>
      </c>
      <c r="N17" s="83">
        <f>+'Tuition-2Yr'!N17+'State Appropriations-2Yr'!N17+'Local Appropriations-2Yr'!N17+'Fed Contracts Grnts-2Yr'!N17+'Other Contracts Grnts-2Yr'!N17+'Investment Income-2Yr'!N17+'All Other E&amp;G-2Yr'!N17</f>
        <v>215266.758</v>
      </c>
      <c r="O17" s="83">
        <f>+'Tuition-2Yr'!O17+'State Appropriations-2Yr'!O17+'Local Appropriations-2Yr'!O17+'Fed Contracts Grnts-2Yr'!O17+'Other Contracts Grnts-2Yr'!O17+'Investment Income-2Yr'!O17+'All Other E&amp;G-2Yr'!O17</f>
        <v>234679.99163999999</v>
      </c>
      <c r="P17" s="83">
        <f>+'Tuition-2Yr'!P17+'State Appropriations-2Yr'!P17+'Local Appropriations-2Yr'!P17+'Fed Contracts Grnts-2Yr'!P17+'Other Contracts Grnts-2Yr'!P17+'Investment Income-2Yr'!P17+'All Other E&amp;G-2Yr'!P17</f>
        <v>0</v>
      </c>
      <c r="Q17" s="83">
        <f>+'Tuition-2Yr'!Q17+'State Appropriations-2Yr'!Q17+'Local Appropriations-2Yr'!Q17+'Fed Contracts Grnts-2Yr'!Q17+'Other Contracts Grnts-2Yr'!Q17+'Investment Income-2Yr'!Q17+'All Other E&amp;G-2Yr'!Q17</f>
        <v>0</v>
      </c>
      <c r="R17" s="83">
        <f>+'Tuition-2Yr'!R17+'State Appropriations-2Yr'!R17+'Local Appropriations-2Yr'!R17+'Fed Contracts Grnts-2Yr'!R17+'Other Contracts Grnts-2Yr'!R17+'Investment Income-2Yr'!R17+'All Other E&amp;G-2Yr'!R17</f>
        <v>264651.54699999996</v>
      </c>
      <c r="S17" s="83">
        <f>+'Tuition-2Yr'!S17+'State Appropriations-2Yr'!S17+'Local Appropriations-2Yr'!S17+'Fed Contracts Grnts-2Yr'!S17+'Other Contracts Grnts-2Yr'!S17+'Investment Income-2Yr'!S17+'All Other E&amp;G-2Yr'!S17</f>
        <v>404381.69200000004</v>
      </c>
      <c r="T17" s="83">
        <f>+'Tuition-2Yr'!T17+'State Appropriations-2Yr'!T17+'Local Appropriations-2Yr'!T17+'Fed Contracts Grnts-2Yr'!T17+'Other Contracts Grnts-2Yr'!T17+'Investment Income-2Yr'!T17+'All Other E&amp;G-2Yr'!T17</f>
        <v>348080.78599999996</v>
      </c>
      <c r="U17" s="83">
        <f>+'Tuition-2Yr'!U17+'State Appropriations-2Yr'!U17+'Local Appropriations-2Yr'!U17+'Fed Contracts Grnts-2Yr'!U17+'Other Contracts Grnts-2Yr'!U17+'Investment Income-2Yr'!U17+'All Other E&amp;G-2Yr'!U17</f>
        <v>317127.72500000003</v>
      </c>
      <c r="V17" s="83">
        <f>+'Tuition-2Yr'!V17+'State Appropriations-2Yr'!V17+'Local Appropriations-2Yr'!V17+'Fed Contracts Grnts-2Yr'!V17+'Other Contracts Grnts-2Yr'!V17+'Investment Income-2Yr'!V17+'All Other E&amp;G-2Yr'!V17</f>
        <v>310274.83400000003</v>
      </c>
      <c r="W17" s="83">
        <f>+'Tuition-2Yr'!W17+'State Appropriations-2Yr'!W17+'Local Appropriations-2Yr'!W17+'Fed Contracts Grnts-2Yr'!W17+'Other Contracts Grnts-2Yr'!W17+'Investment Income-2Yr'!W17+'All Other E&amp;G-2Yr'!W17</f>
        <v>359497.29200000002</v>
      </c>
      <c r="X17" s="83">
        <f>+'Tuition-2Yr'!X17+'State Appropriations-2Yr'!X17+'Local Appropriations-2Yr'!X17+'Fed Contracts Grnts-2Yr'!X17+'Other Contracts Grnts-2Yr'!X17+'Investment Income-2Yr'!X17+'All Other E&amp;G-2Yr'!X17</f>
        <v>344754.09300000005</v>
      </c>
      <c r="Y17" s="83">
        <f>+'Tuition-2Yr'!Y17+'State Appropriations-2Yr'!Y17+'Local Appropriations-2Yr'!Y17+'Fed Contracts Grnts-2Yr'!Y17+'Other Contracts Grnts-2Yr'!Y17+'Investment Income-2Yr'!Y17+'All Other E&amp;G-2Yr'!Y17</f>
        <v>353779.61699999991</v>
      </c>
      <c r="Z17" s="83">
        <f>+'Tuition-2Yr'!Z17+'State Appropriations-2Yr'!Z17+'Local Appropriations-2Yr'!Z17+'Fed Contracts Grnts-2Yr'!Z17+'Other Contracts Grnts-2Yr'!Z17+'Investment Income-2Yr'!Z17+'All Other E&amp;G-2Yr'!Z17</f>
        <v>413225.67499999999</v>
      </c>
      <c r="AA17" s="83">
        <f>+'Tuition-2Yr'!AA17+'State Appropriations-2Yr'!AA17+'Local Appropriations-2Yr'!AA17+'Fed Contracts Grnts-2Yr'!AA17+'Other Contracts Grnts-2Yr'!AA17+'Investment Income-2Yr'!AA17+'All Other E&amp;G-2Yr'!AA17</f>
        <v>508535.717</v>
      </c>
      <c r="AB17" s="83">
        <f>+'Tuition-2Yr'!AB17+'State Appropriations-2Yr'!AB17+'Local Appropriations-2Yr'!AB17+'Fed Contracts Grnts-2Yr'!AB17+'Other Contracts Grnts-2Yr'!AB17+'Investment Income-2Yr'!AB17+'All Other E&amp;G-2Yr'!AB17</f>
        <v>576235.85200000007</v>
      </c>
      <c r="AC17" s="83">
        <f>+'Tuition-2Yr'!AC17+'State Appropriations-2Yr'!AC17+'Local Appropriations-2Yr'!AC17+'Fed Contracts Grnts-2Yr'!AC17+'Other Contracts Grnts-2Yr'!AC17+'Investment Income-2Yr'!AC17+'All Other E&amp;G-2Yr'!AC17</f>
        <v>621496</v>
      </c>
      <c r="AD17" s="83">
        <f>+'Tuition-2Yr'!AD17+'State Appropriations-2Yr'!AD17+'Local Appropriations-2Yr'!AD17+'Fed Contracts Grnts-2Yr'!AD17+'Other Contracts Grnts-2Yr'!AD17+'Investment Income-2Yr'!AD17+'All Other E&amp;G-2Yr'!AD17</f>
        <v>627020.24899999995</v>
      </c>
      <c r="AE17" s="83">
        <f>+'Tuition-2Yr'!AE17+'State Appropriations-2Yr'!AE17+'Local Appropriations-2Yr'!AE17+'Fed Contracts Grnts-2Yr'!AE17+'Other Contracts Grnts-2Yr'!AE17+'Investment Income-2Yr'!AE17+'All Other E&amp;G-2Yr'!AE17</f>
        <v>615843.821</v>
      </c>
      <c r="AF17" s="83">
        <f>+'Tuition-2Yr'!AF17+'State Appropriations-2Yr'!AF17+'Local Appropriations-2Yr'!AF17+'Fed Contracts Grnts-2Yr'!AF17+'Other Contracts Grnts-2Yr'!AF17+'Investment Income-2Yr'!AF17+'All Other E&amp;G-2Yr'!AF17</f>
        <v>602345.5149999999</v>
      </c>
      <c r="AG17" s="83">
        <f>+'Tuition-2Yr'!AG17+'State Appropriations-2Yr'!AG17+'Local Appropriations-2Yr'!AG17+'Fed Contracts Grnts-2Yr'!AG17+'Other Contracts Grnts-2Yr'!AG17+'Investment Income-2Yr'!AG17+'All Other E&amp;G-2Yr'!AG17</f>
        <v>605904.20900000003</v>
      </c>
      <c r="AH17" s="83">
        <f>+'Tuition-2Yr'!AH17+'State Appropriations-2Yr'!AH17+'Local Appropriations-2Yr'!AH17+'Fed Contracts Grnts-2Yr'!AH17+'Other Contracts Grnts-2Yr'!AH17+'Investment Income-2Yr'!AH17+'All Other E&amp;G-2Yr'!AH17</f>
        <v>621905.73</v>
      </c>
      <c r="AI17" s="83">
        <f>+'Tuition-2Yr'!AI17+'State Appropriations-2Yr'!AI17+'Local Appropriations-2Yr'!AI17+'Fed Contracts Grnts-2Yr'!AI17+'Other Contracts Grnts-2Yr'!AI17+'Investment Income-2Yr'!AI17+'All Other E&amp;G-2Yr'!AI17</f>
        <v>607336.38499999989</v>
      </c>
      <c r="AJ17" s="83">
        <f>+'Tuition-2Yr'!AJ17+'State Appropriations-2Yr'!AJ17+'Local Appropriations-2Yr'!AJ17+'Fed Contracts Grnts-2Yr'!AJ17+'Other Contracts Grnts-2Yr'!AJ17+'Investment Income-2Yr'!AJ17+'All Other E&amp;G-2Yr'!AJ17</f>
        <v>0</v>
      </c>
      <c r="AK17" s="83">
        <f>+'Tuition-2Yr'!AK17+'State Appropriations-2Yr'!AK17+'Local Appropriations-2Yr'!AK17+'Fed Contracts Grnts-2Yr'!AK17+'Other Contracts Grnts-2Yr'!AK17+'Investment Income-2Yr'!AK17+'All Other E&amp;G-2Yr'!AK17</f>
        <v>699597.24</v>
      </c>
      <c r="AL17" s="83">
        <f>+'Tuition-2Yr'!AL17+'State Appropriations-2Yr'!AL17+'Local Appropriations-2Yr'!AL17+'Fed Contracts Grnts-2Yr'!AL17+'Other Contracts Grnts-2Yr'!AL17+'Investment Income-2Yr'!AL17+'All Other E&amp;G-2Yr'!AL17</f>
        <v>619565.772</v>
      </c>
    </row>
    <row r="18" spans="1:38" ht="12.75" customHeight="1">
      <c r="A18" s="1" t="s">
        <v>33</v>
      </c>
      <c r="B18" s="83">
        <f>+'Tuition-2Yr'!B18+'State Appropriations-2Yr'!B18+'Local Appropriations-2Yr'!B18+'Fed Contracts Grnts-2Yr'!B18+'Other Contracts Grnts-2Yr'!B18+'Investment Income-2Yr'!B18+'All Other E&amp;G-2Yr'!B18</f>
        <v>121248</v>
      </c>
      <c r="C18" s="83">
        <f>+'Tuition-2Yr'!C18+'State Appropriations-2Yr'!C18+'Local Appropriations-2Yr'!C18+'Fed Contracts Grnts-2Yr'!C18+'Other Contracts Grnts-2Yr'!C18+'Investment Income-2Yr'!C18+'All Other E&amp;G-2Yr'!C18</f>
        <v>130470</v>
      </c>
      <c r="D18" s="83">
        <f>+'Tuition-2Yr'!D18+'State Appropriations-2Yr'!D18+'Local Appropriations-2Yr'!D18+'Fed Contracts Grnts-2Yr'!D18+'Other Contracts Grnts-2Yr'!D18+'Investment Income-2Yr'!D18+'All Other E&amp;G-2Yr'!D18</f>
        <v>144484</v>
      </c>
      <c r="E18" s="83">
        <f>+'Tuition-2Yr'!E18+'State Appropriations-2Yr'!E18+'Local Appropriations-2Yr'!E18+'Fed Contracts Grnts-2Yr'!E18+'Other Contracts Grnts-2Yr'!E18+'Investment Income-2Yr'!E18+'All Other E&amp;G-2Yr'!E18</f>
        <v>0</v>
      </c>
      <c r="F18" s="83">
        <f>+'Tuition-2Yr'!F18+'State Appropriations-2Yr'!F18+'Local Appropriations-2Yr'!F18+'Fed Contracts Grnts-2Yr'!F18+'Other Contracts Grnts-2Yr'!F18+'Investment Income-2Yr'!F18+'All Other E&amp;G-2Yr'!F18</f>
        <v>0</v>
      </c>
      <c r="G18" s="83">
        <f>+'Tuition-2Yr'!G18+'State Appropriations-2Yr'!G18+'Local Appropriations-2Yr'!G18+'Fed Contracts Grnts-2Yr'!G18+'Other Contracts Grnts-2Yr'!G18+'Investment Income-2Yr'!G18+'All Other E&amp;G-2Yr'!G18</f>
        <v>0</v>
      </c>
      <c r="H18" s="83">
        <f>+'Tuition-2Yr'!H18+'State Appropriations-2Yr'!H18+'Local Appropriations-2Yr'!H18+'Fed Contracts Grnts-2Yr'!H18+'Other Contracts Grnts-2Yr'!H18+'Investment Income-2Yr'!H18+'All Other E&amp;G-2Yr'!H18</f>
        <v>0</v>
      </c>
      <c r="I18" s="83">
        <f>+'Tuition-2Yr'!I18+'State Appropriations-2Yr'!I18+'Local Appropriations-2Yr'!I18+'Fed Contracts Grnts-2Yr'!I18+'Other Contracts Grnts-2Yr'!I18+'Investment Income-2Yr'!I18+'All Other E&amp;G-2Yr'!I18</f>
        <v>213930.90100000001</v>
      </c>
      <c r="J18" s="83">
        <f>+'Tuition-2Yr'!J18+'State Appropriations-2Yr'!J18+'Local Appropriations-2Yr'!J18+'Fed Contracts Grnts-2Yr'!J18+'Other Contracts Grnts-2Yr'!J18+'Investment Income-2Yr'!J18+'All Other E&amp;G-2Yr'!J18</f>
        <v>232912.23699999996</v>
      </c>
      <c r="K18" s="83">
        <f>+'Tuition-2Yr'!K18+'State Appropriations-2Yr'!K18+'Local Appropriations-2Yr'!K18+'Fed Contracts Grnts-2Yr'!K18+'Other Contracts Grnts-2Yr'!K18+'Investment Income-2Yr'!K18+'All Other E&amp;G-2Yr'!K18</f>
        <v>248923.78899999999</v>
      </c>
      <c r="L18" s="83">
        <f>+'Tuition-2Yr'!L18+'State Appropriations-2Yr'!L18+'Local Appropriations-2Yr'!L18+'Fed Contracts Grnts-2Yr'!L18+'Other Contracts Grnts-2Yr'!L18+'Investment Income-2Yr'!L18+'All Other E&amp;G-2Yr'!L18</f>
        <v>262259.89500000002</v>
      </c>
      <c r="M18" s="83">
        <f>+'Tuition-2Yr'!M18+'State Appropriations-2Yr'!M18+'Local Appropriations-2Yr'!M18+'Fed Contracts Grnts-2Yr'!M18+'Other Contracts Grnts-2Yr'!M18+'Investment Income-2Yr'!M18+'All Other E&amp;G-2Yr'!M18</f>
        <v>273211.88900000002</v>
      </c>
      <c r="N18" s="83">
        <f>+'Tuition-2Yr'!N18+'State Appropriations-2Yr'!N18+'Local Appropriations-2Yr'!N18+'Fed Contracts Grnts-2Yr'!N18+'Other Contracts Grnts-2Yr'!N18+'Investment Income-2Yr'!N18+'All Other E&amp;G-2Yr'!N18</f>
        <v>288449.11600000004</v>
      </c>
      <c r="O18" s="83">
        <f>+'Tuition-2Yr'!O18+'State Appropriations-2Yr'!O18+'Local Appropriations-2Yr'!O18+'Fed Contracts Grnts-2Yr'!O18+'Other Contracts Grnts-2Yr'!O18+'Investment Income-2Yr'!O18+'All Other E&amp;G-2Yr'!O18</f>
        <v>315035.886</v>
      </c>
      <c r="P18" s="83">
        <f>+'Tuition-2Yr'!P18+'State Appropriations-2Yr'!P18+'Local Appropriations-2Yr'!P18+'Fed Contracts Grnts-2Yr'!P18+'Other Contracts Grnts-2Yr'!P18+'Investment Income-2Yr'!P18+'All Other E&amp;G-2Yr'!P18</f>
        <v>0</v>
      </c>
      <c r="Q18" s="83">
        <f>+'Tuition-2Yr'!Q18+'State Appropriations-2Yr'!Q18+'Local Appropriations-2Yr'!Q18+'Fed Contracts Grnts-2Yr'!Q18+'Other Contracts Grnts-2Yr'!Q18+'Investment Income-2Yr'!Q18+'All Other E&amp;G-2Yr'!Q18</f>
        <v>0</v>
      </c>
      <c r="R18" s="83">
        <f>+'Tuition-2Yr'!R18+'State Appropriations-2Yr'!R18+'Local Appropriations-2Yr'!R18+'Fed Contracts Grnts-2Yr'!R18+'Other Contracts Grnts-2Yr'!R18+'Investment Income-2Yr'!R18+'All Other E&amp;G-2Yr'!R18</f>
        <v>400711.75799999997</v>
      </c>
      <c r="S18" s="83">
        <f>+'Tuition-2Yr'!S18+'State Appropriations-2Yr'!S18+'Local Appropriations-2Yr'!S18+'Fed Contracts Grnts-2Yr'!S18+'Other Contracts Grnts-2Yr'!S18+'Investment Income-2Yr'!S18+'All Other E&amp;G-2Yr'!S18</f>
        <v>428235.96700000006</v>
      </c>
      <c r="T18" s="83">
        <f>+'Tuition-2Yr'!T18+'State Appropriations-2Yr'!T18+'Local Appropriations-2Yr'!T18+'Fed Contracts Grnts-2Yr'!T18+'Other Contracts Grnts-2Yr'!T18+'Investment Income-2Yr'!T18+'All Other E&amp;G-2Yr'!T18</f>
        <v>489343.11199999991</v>
      </c>
      <c r="U18" s="83">
        <f>+'Tuition-2Yr'!U18+'State Appropriations-2Yr'!U18+'Local Appropriations-2Yr'!U18+'Fed Contracts Grnts-2Yr'!U18+'Other Contracts Grnts-2Yr'!U18+'Investment Income-2Yr'!U18+'All Other E&amp;G-2Yr'!U18</f>
        <v>509474.46900000004</v>
      </c>
      <c r="V18" s="83">
        <f>+'Tuition-2Yr'!V18+'State Appropriations-2Yr'!V18+'Local Appropriations-2Yr'!V18+'Fed Contracts Grnts-2Yr'!V18+'Other Contracts Grnts-2Yr'!V18+'Investment Income-2Yr'!V18+'All Other E&amp;G-2Yr'!V18</f>
        <v>504815.09</v>
      </c>
      <c r="W18" s="83">
        <f>+'Tuition-2Yr'!W18+'State Appropriations-2Yr'!W18+'Local Appropriations-2Yr'!W18+'Fed Contracts Grnts-2Yr'!W18+'Other Contracts Grnts-2Yr'!W18+'Investment Income-2Yr'!W18+'All Other E&amp;G-2Yr'!W18</f>
        <v>627293.99</v>
      </c>
      <c r="X18" s="83">
        <f>+'Tuition-2Yr'!X18+'State Appropriations-2Yr'!X18+'Local Appropriations-2Yr'!X18+'Fed Contracts Grnts-2Yr'!X18+'Other Contracts Grnts-2Yr'!X18+'Investment Income-2Yr'!X18+'All Other E&amp;G-2Yr'!X18</f>
        <v>555636.83700000006</v>
      </c>
      <c r="Y18" s="83">
        <f>+'Tuition-2Yr'!Y18+'State Appropriations-2Yr'!Y18+'Local Appropriations-2Yr'!Y18+'Fed Contracts Grnts-2Yr'!Y18+'Other Contracts Grnts-2Yr'!Y18+'Investment Income-2Yr'!Y18+'All Other E&amp;G-2Yr'!Y18</f>
        <v>614545.80699999991</v>
      </c>
      <c r="Z18" s="83">
        <f>+'Tuition-2Yr'!Z18+'State Appropriations-2Yr'!Z18+'Local Appropriations-2Yr'!Z18+'Fed Contracts Grnts-2Yr'!Z18+'Other Contracts Grnts-2Yr'!Z18+'Investment Income-2Yr'!Z18+'All Other E&amp;G-2Yr'!Z18</f>
        <v>676874.44300000009</v>
      </c>
      <c r="AA18" s="83">
        <f>+'Tuition-2Yr'!AA18+'State Appropriations-2Yr'!AA18+'Local Appropriations-2Yr'!AA18+'Fed Contracts Grnts-2Yr'!AA18+'Other Contracts Grnts-2Yr'!AA18+'Investment Income-2Yr'!AA18+'All Other E&amp;G-2Yr'!AA18</f>
        <v>801844.63599999994</v>
      </c>
      <c r="AB18" s="83">
        <f>+'Tuition-2Yr'!AB18+'State Appropriations-2Yr'!AB18+'Local Appropriations-2Yr'!AB18+'Fed Contracts Grnts-2Yr'!AB18+'Other Contracts Grnts-2Yr'!AB18+'Investment Income-2Yr'!AB18+'All Other E&amp;G-2Yr'!AB18</f>
        <v>949116.755</v>
      </c>
      <c r="AC18" s="83">
        <f>+'Tuition-2Yr'!AC18+'State Appropriations-2Yr'!AC18+'Local Appropriations-2Yr'!AC18+'Fed Contracts Grnts-2Yr'!AC18+'Other Contracts Grnts-2Yr'!AC18+'Investment Income-2Yr'!AC18+'All Other E&amp;G-2Yr'!AC18</f>
        <v>993790</v>
      </c>
      <c r="AD18" s="83">
        <f>+'Tuition-2Yr'!AD18+'State Appropriations-2Yr'!AD18+'Local Appropriations-2Yr'!AD18+'Fed Contracts Grnts-2Yr'!AD18+'Other Contracts Grnts-2Yr'!AD18+'Investment Income-2Yr'!AD18+'All Other E&amp;G-2Yr'!AD18</f>
        <v>977485.64099999995</v>
      </c>
      <c r="AE18" s="83">
        <f>+'Tuition-2Yr'!AE18+'State Appropriations-2Yr'!AE18+'Local Appropriations-2Yr'!AE18+'Fed Contracts Grnts-2Yr'!AE18+'Other Contracts Grnts-2Yr'!AE18+'Investment Income-2Yr'!AE18+'All Other E&amp;G-2Yr'!AE18</f>
        <v>987976.25199999998</v>
      </c>
      <c r="AF18" s="83">
        <f>+'Tuition-2Yr'!AF18+'State Appropriations-2Yr'!AF18+'Local Appropriations-2Yr'!AF18+'Fed Contracts Grnts-2Yr'!AF18+'Other Contracts Grnts-2Yr'!AF18+'Investment Income-2Yr'!AF18+'All Other E&amp;G-2Yr'!AF18</f>
        <v>986713.83800000011</v>
      </c>
      <c r="AG18" s="83">
        <f>+'Tuition-2Yr'!AG18+'State Appropriations-2Yr'!AG18+'Local Appropriations-2Yr'!AG18+'Fed Contracts Grnts-2Yr'!AG18+'Other Contracts Grnts-2Yr'!AG18+'Investment Income-2Yr'!AG18+'All Other E&amp;G-2Yr'!AG18</f>
        <v>965012.30800000008</v>
      </c>
      <c r="AH18" s="83">
        <f>+'Tuition-2Yr'!AH18+'State Appropriations-2Yr'!AH18+'Local Appropriations-2Yr'!AH18+'Fed Contracts Grnts-2Yr'!AH18+'Other Contracts Grnts-2Yr'!AH18+'Investment Income-2Yr'!AH18+'All Other E&amp;G-2Yr'!AH18</f>
        <v>948082.93500000017</v>
      </c>
      <c r="AI18" s="83">
        <f>+'Tuition-2Yr'!AI18+'State Appropriations-2Yr'!AI18+'Local Appropriations-2Yr'!AI18+'Fed Contracts Grnts-2Yr'!AI18+'Other Contracts Grnts-2Yr'!AI18+'Investment Income-2Yr'!AI18+'All Other E&amp;G-2Yr'!AI18</f>
        <v>945740.89</v>
      </c>
      <c r="AJ18" s="83">
        <f>+'Tuition-2Yr'!AJ18+'State Appropriations-2Yr'!AJ18+'Local Appropriations-2Yr'!AJ18+'Fed Contracts Grnts-2Yr'!AJ18+'Other Contracts Grnts-2Yr'!AJ18+'Investment Income-2Yr'!AJ18+'All Other E&amp;G-2Yr'!AJ18</f>
        <v>0</v>
      </c>
      <c r="AK18" s="83">
        <f>+'Tuition-2Yr'!AK18+'State Appropriations-2Yr'!AK18+'Local Appropriations-2Yr'!AK18+'Fed Contracts Grnts-2Yr'!AK18+'Other Contracts Grnts-2Yr'!AK18+'Investment Income-2Yr'!AK18+'All Other E&amp;G-2Yr'!AK18</f>
        <v>1073294.5549999999</v>
      </c>
      <c r="AL18" s="83">
        <f>+'Tuition-2Yr'!AL18+'State Appropriations-2Yr'!AL18+'Local Appropriations-2Yr'!AL18+'Fed Contracts Grnts-2Yr'!AL18+'Other Contracts Grnts-2Yr'!AL18+'Investment Income-2Yr'!AL18+'All Other E&amp;G-2Yr'!AL18</f>
        <v>1053375.2920000001</v>
      </c>
    </row>
    <row r="19" spans="1:38" ht="12.75" customHeight="1">
      <c r="A19" s="1" t="s">
        <v>34</v>
      </c>
      <c r="B19" s="83">
        <f>+'Tuition-2Yr'!B19+'State Appropriations-2Yr'!B19+'Local Appropriations-2Yr'!B19+'Fed Contracts Grnts-2Yr'!B19+'Other Contracts Grnts-2Yr'!B19+'Investment Income-2Yr'!B19+'All Other E&amp;G-2Yr'!B19</f>
        <v>117385</v>
      </c>
      <c r="C19" s="83">
        <f>+'Tuition-2Yr'!C19+'State Appropriations-2Yr'!C19+'Local Appropriations-2Yr'!C19+'Fed Contracts Grnts-2Yr'!C19+'Other Contracts Grnts-2Yr'!C19+'Investment Income-2Yr'!C19+'All Other E&amp;G-2Yr'!C19</f>
        <v>143019</v>
      </c>
      <c r="D19" s="83">
        <f>+'Tuition-2Yr'!D19+'State Appropriations-2Yr'!D19+'Local Appropriations-2Yr'!D19+'Fed Contracts Grnts-2Yr'!D19+'Other Contracts Grnts-2Yr'!D19+'Investment Income-2Yr'!D19+'All Other E&amp;G-2Yr'!D19</f>
        <v>158311</v>
      </c>
      <c r="E19" s="83">
        <f>+'Tuition-2Yr'!E19+'State Appropriations-2Yr'!E19+'Local Appropriations-2Yr'!E19+'Fed Contracts Grnts-2Yr'!E19+'Other Contracts Grnts-2Yr'!E19+'Investment Income-2Yr'!E19+'All Other E&amp;G-2Yr'!E19</f>
        <v>0</v>
      </c>
      <c r="F19" s="83">
        <f>+'Tuition-2Yr'!F19+'State Appropriations-2Yr'!F19+'Local Appropriations-2Yr'!F19+'Fed Contracts Grnts-2Yr'!F19+'Other Contracts Grnts-2Yr'!F19+'Investment Income-2Yr'!F19+'All Other E&amp;G-2Yr'!F19</f>
        <v>0</v>
      </c>
      <c r="G19" s="83">
        <f>+'Tuition-2Yr'!G19+'State Appropriations-2Yr'!G19+'Local Appropriations-2Yr'!G19+'Fed Contracts Grnts-2Yr'!G19+'Other Contracts Grnts-2Yr'!G19+'Investment Income-2Yr'!G19+'All Other E&amp;G-2Yr'!G19</f>
        <v>0</v>
      </c>
      <c r="H19" s="83">
        <f>+'Tuition-2Yr'!H19+'State Appropriations-2Yr'!H19+'Local Appropriations-2Yr'!H19+'Fed Contracts Grnts-2Yr'!H19+'Other Contracts Grnts-2Yr'!H19+'Investment Income-2Yr'!H19+'All Other E&amp;G-2Yr'!H19</f>
        <v>0</v>
      </c>
      <c r="I19" s="83">
        <f>+'Tuition-2Yr'!I19+'State Appropriations-2Yr'!I19+'Local Appropriations-2Yr'!I19+'Fed Contracts Grnts-2Yr'!I19+'Other Contracts Grnts-2Yr'!I19+'Investment Income-2Yr'!I19+'All Other E&amp;G-2Yr'!I19</f>
        <v>222080.18799999997</v>
      </c>
      <c r="J19" s="83">
        <f>+'Tuition-2Yr'!J19+'State Appropriations-2Yr'!J19+'Local Appropriations-2Yr'!J19+'Fed Contracts Grnts-2Yr'!J19+'Other Contracts Grnts-2Yr'!J19+'Investment Income-2Yr'!J19+'All Other E&amp;G-2Yr'!J19</f>
        <v>230102.28099999999</v>
      </c>
      <c r="K19" s="83">
        <f>+'Tuition-2Yr'!K19+'State Appropriations-2Yr'!K19+'Local Appropriations-2Yr'!K19+'Fed Contracts Grnts-2Yr'!K19+'Other Contracts Grnts-2Yr'!K19+'Investment Income-2Yr'!K19+'All Other E&amp;G-2Yr'!K19</f>
        <v>260923.97500000001</v>
      </c>
      <c r="L19" s="83">
        <f>+'Tuition-2Yr'!L19+'State Appropriations-2Yr'!L19+'Local Appropriations-2Yr'!L19+'Fed Contracts Grnts-2Yr'!L19+'Other Contracts Grnts-2Yr'!L19+'Investment Income-2Yr'!L19+'All Other E&amp;G-2Yr'!L19</f>
        <v>278644.20600000001</v>
      </c>
      <c r="M19" s="83">
        <f>+'Tuition-2Yr'!M19+'State Appropriations-2Yr'!M19+'Local Appropriations-2Yr'!M19+'Fed Contracts Grnts-2Yr'!M19+'Other Contracts Grnts-2Yr'!M19+'Investment Income-2Yr'!M19+'All Other E&amp;G-2Yr'!M19</f>
        <v>292593.99700000003</v>
      </c>
      <c r="N19" s="83">
        <f>+'Tuition-2Yr'!N19+'State Appropriations-2Yr'!N19+'Local Appropriations-2Yr'!N19+'Fed Contracts Grnts-2Yr'!N19+'Other Contracts Grnts-2Yr'!N19+'Investment Income-2Yr'!N19+'All Other E&amp;G-2Yr'!N19</f>
        <v>294463.83299999998</v>
      </c>
      <c r="O19" s="83">
        <f>+'Tuition-2Yr'!O19+'State Appropriations-2Yr'!O19+'Local Appropriations-2Yr'!O19+'Fed Contracts Grnts-2Yr'!O19+'Other Contracts Grnts-2Yr'!O19+'Investment Income-2Yr'!O19+'All Other E&amp;G-2Yr'!O19</f>
        <v>304948.20099999994</v>
      </c>
      <c r="P19" s="83">
        <f>+'Tuition-2Yr'!P19+'State Appropriations-2Yr'!P19+'Local Appropriations-2Yr'!P19+'Fed Contracts Grnts-2Yr'!P19+'Other Contracts Grnts-2Yr'!P19+'Investment Income-2Yr'!P19+'All Other E&amp;G-2Yr'!P19</f>
        <v>0</v>
      </c>
      <c r="Q19" s="83">
        <f>+'Tuition-2Yr'!Q19+'State Appropriations-2Yr'!Q19+'Local Appropriations-2Yr'!Q19+'Fed Contracts Grnts-2Yr'!Q19+'Other Contracts Grnts-2Yr'!Q19+'Investment Income-2Yr'!Q19+'All Other E&amp;G-2Yr'!Q19</f>
        <v>0</v>
      </c>
      <c r="R19" s="83">
        <f>+'Tuition-2Yr'!R19+'State Appropriations-2Yr'!R19+'Local Appropriations-2Yr'!R19+'Fed Contracts Grnts-2Yr'!R19+'Other Contracts Grnts-2Yr'!R19+'Investment Income-2Yr'!R19+'All Other E&amp;G-2Yr'!R19</f>
        <v>363838.07</v>
      </c>
      <c r="S19" s="83">
        <f>+'Tuition-2Yr'!S19+'State Appropriations-2Yr'!S19+'Local Appropriations-2Yr'!S19+'Fed Contracts Grnts-2Yr'!S19+'Other Contracts Grnts-2Yr'!S19+'Investment Income-2Yr'!S19+'All Other E&amp;G-2Yr'!S19</f>
        <v>385067.79299999995</v>
      </c>
      <c r="T19" s="83">
        <f>+'Tuition-2Yr'!T19+'State Appropriations-2Yr'!T19+'Local Appropriations-2Yr'!T19+'Fed Contracts Grnts-2Yr'!T19+'Other Contracts Grnts-2Yr'!T19+'Investment Income-2Yr'!T19+'All Other E&amp;G-2Yr'!T19</f>
        <v>404676.18100000004</v>
      </c>
      <c r="U19" s="83">
        <f>+'Tuition-2Yr'!U19+'State Appropriations-2Yr'!U19+'Local Appropriations-2Yr'!U19+'Fed Contracts Grnts-2Yr'!U19+'Other Contracts Grnts-2Yr'!U19+'Investment Income-2Yr'!U19+'All Other E&amp;G-2Yr'!U19</f>
        <v>391898.38500000001</v>
      </c>
      <c r="V19" s="83">
        <f>+'Tuition-2Yr'!V19+'State Appropriations-2Yr'!V19+'Local Appropriations-2Yr'!V19+'Fed Contracts Grnts-2Yr'!V19+'Other Contracts Grnts-2Yr'!V19+'Investment Income-2Yr'!V19+'All Other E&amp;G-2Yr'!V19</f>
        <v>404857.97699999996</v>
      </c>
      <c r="W19" s="83">
        <f>+'Tuition-2Yr'!W19+'State Appropriations-2Yr'!W19+'Local Appropriations-2Yr'!W19+'Fed Contracts Grnts-2Yr'!W19+'Other Contracts Grnts-2Yr'!W19+'Investment Income-2Yr'!W19+'All Other E&amp;G-2Yr'!W19</f>
        <v>483727.35</v>
      </c>
      <c r="X19" s="83">
        <f>+'Tuition-2Yr'!X19+'State Appropriations-2Yr'!X19+'Local Appropriations-2Yr'!X19+'Fed Contracts Grnts-2Yr'!X19+'Other Contracts Grnts-2Yr'!X19+'Investment Income-2Yr'!X19+'All Other E&amp;G-2Yr'!X19</f>
        <v>440302.03500000003</v>
      </c>
      <c r="Y19" s="83">
        <f>+'Tuition-2Yr'!Y19+'State Appropriations-2Yr'!Y19+'Local Appropriations-2Yr'!Y19+'Fed Contracts Grnts-2Yr'!Y19+'Other Contracts Grnts-2Yr'!Y19+'Investment Income-2Yr'!Y19+'All Other E&amp;G-2Yr'!Y19</f>
        <v>473890.97000000003</v>
      </c>
      <c r="Z19" s="83">
        <f>+'Tuition-2Yr'!Z19+'State Appropriations-2Yr'!Z19+'Local Appropriations-2Yr'!Z19+'Fed Contracts Grnts-2Yr'!Z19+'Other Contracts Grnts-2Yr'!Z19+'Investment Income-2Yr'!Z19+'All Other E&amp;G-2Yr'!Z19</f>
        <v>508930.679</v>
      </c>
      <c r="AA19" s="83">
        <f>+'Tuition-2Yr'!AA19+'State Appropriations-2Yr'!AA19+'Local Appropriations-2Yr'!AA19+'Fed Contracts Grnts-2Yr'!AA19+'Other Contracts Grnts-2Yr'!AA19+'Investment Income-2Yr'!AA19+'All Other E&amp;G-2Yr'!AA19</f>
        <v>613123.76800000004</v>
      </c>
      <c r="AB19" s="83">
        <f>+'Tuition-2Yr'!AB19+'State Appropriations-2Yr'!AB19+'Local Appropriations-2Yr'!AB19+'Fed Contracts Grnts-2Yr'!AB19+'Other Contracts Grnts-2Yr'!AB19+'Investment Income-2Yr'!AB19+'All Other E&amp;G-2Yr'!AB19</f>
        <v>757461.86700000009</v>
      </c>
      <c r="AC19" s="83">
        <f>+'Tuition-2Yr'!AC19+'State Appropriations-2Yr'!AC19+'Local Appropriations-2Yr'!AC19+'Fed Contracts Grnts-2Yr'!AC19+'Other Contracts Grnts-2Yr'!AC19+'Investment Income-2Yr'!AC19+'All Other E&amp;G-2Yr'!AC19</f>
        <v>818119</v>
      </c>
      <c r="AD19" s="83">
        <f>+'Tuition-2Yr'!AD19+'State Appropriations-2Yr'!AD19+'Local Appropriations-2Yr'!AD19+'Fed Contracts Grnts-2Yr'!AD19+'Other Contracts Grnts-2Yr'!AD19+'Investment Income-2Yr'!AD19+'All Other E&amp;G-2Yr'!AD19</f>
        <v>777144.50799999991</v>
      </c>
      <c r="AE19" s="83">
        <f>+'Tuition-2Yr'!AE19+'State Appropriations-2Yr'!AE19+'Local Appropriations-2Yr'!AE19+'Fed Contracts Grnts-2Yr'!AE19+'Other Contracts Grnts-2Yr'!AE19+'Investment Income-2Yr'!AE19+'All Other E&amp;G-2Yr'!AE19</f>
        <v>769107.72200000007</v>
      </c>
      <c r="AF19" s="83">
        <f>+'Tuition-2Yr'!AF19+'State Appropriations-2Yr'!AF19+'Local Appropriations-2Yr'!AF19+'Fed Contracts Grnts-2Yr'!AF19+'Other Contracts Grnts-2Yr'!AF19+'Investment Income-2Yr'!AF19+'All Other E&amp;G-2Yr'!AF19</f>
        <v>761054.83799999987</v>
      </c>
      <c r="AG19" s="83">
        <f>+'Tuition-2Yr'!AG19+'State Appropriations-2Yr'!AG19+'Local Appropriations-2Yr'!AG19+'Fed Contracts Grnts-2Yr'!AG19+'Other Contracts Grnts-2Yr'!AG19+'Investment Income-2Yr'!AG19+'All Other E&amp;G-2Yr'!AG19</f>
        <v>764765.66599999985</v>
      </c>
      <c r="AH19" s="83">
        <f>+'Tuition-2Yr'!AH19+'State Appropriations-2Yr'!AH19+'Local Appropriations-2Yr'!AH19+'Fed Contracts Grnts-2Yr'!AH19+'Other Contracts Grnts-2Yr'!AH19+'Investment Income-2Yr'!AH19+'All Other E&amp;G-2Yr'!AH19</f>
        <v>793749.38600000006</v>
      </c>
      <c r="AI19" s="83">
        <f>+'Tuition-2Yr'!AI19+'State Appropriations-2Yr'!AI19+'Local Appropriations-2Yr'!AI19+'Fed Contracts Grnts-2Yr'!AI19+'Other Contracts Grnts-2Yr'!AI19+'Investment Income-2Yr'!AI19+'All Other E&amp;G-2Yr'!AI19</f>
        <v>810142.54899999988</v>
      </c>
      <c r="AJ19" s="83">
        <f>+'Tuition-2Yr'!AJ19+'State Appropriations-2Yr'!AJ19+'Local Appropriations-2Yr'!AJ19+'Fed Contracts Grnts-2Yr'!AJ19+'Other Contracts Grnts-2Yr'!AJ19+'Investment Income-2Yr'!AJ19+'All Other E&amp;G-2Yr'!AJ19</f>
        <v>0</v>
      </c>
      <c r="AK19" s="83">
        <f>+'Tuition-2Yr'!AK19+'State Appropriations-2Yr'!AK19+'Local Appropriations-2Yr'!AK19+'Fed Contracts Grnts-2Yr'!AK19+'Other Contracts Grnts-2Yr'!AK19+'Investment Income-2Yr'!AK19+'All Other E&amp;G-2Yr'!AK19</f>
        <v>1011316.279</v>
      </c>
      <c r="AL19" s="83">
        <f>+'Tuition-2Yr'!AL19+'State Appropriations-2Yr'!AL19+'Local Appropriations-2Yr'!AL19+'Fed Contracts Grnts-2Yr'!AL19+'Other Contracts Grnts-2Yr'!AL19+'Investment Income-2Yr'!AL19+'All Other E&amp;G-2Yr'!AL19</f>
        <v>968342.29599999997</v>
      </c>
    </row>
    <row r="20" spans="1:38" ht="12.75" customHeight="1">
      <c r="A20" s="1" t="s">
        <v>35</v>
      </c>
      <c r="B20" s="83">
        <f>+'Tuition-2Yr'!B20+'State Appropriations-2Yr'!B20+'Local Appropriations-2Yr'!B20+'Fed Contracts Grnts-2Yr'!B20+'Other Contracts Grnts-2Yr'!B20+'Investment Income-2Yr'!B20+'All Other E&amp;G-2Yr'!B20</f>
        <v>776819</v>
      </c>
      <c r="C20" s="83">
        <f>+'Tuition-2Yr'!C20+'State Appropriations-2Yr'!C20+'Local Appropriations-2Yr'!C20+'Fed Contracts Grnts-2Yr'!C20+'Other Contracts Grnts-2Yr'!C20+'Investment Income-2Yr'!C20+'All Other E&amp;G-2Yr'!C20</f>
        <v>840293</v>
      </c>
      <c r="D20" s="83">
        <f>+'Tuition-2Yr'!D20+'State Appropriations-2Yr'!D20+'Local Appropriations-2Yr'!D20+'Fed Contracts Grnts-2Yr'!D20+'Other Contracts Grnts-2Yr'!D20+'Investment Income-2Yr'!D20+'All Other E&amp;G-2Yr'!D20</f>
        <v>862041</v>
      </c>
      <c r="E20" s="83">
        <f>+'Tuition-2Yr'!E20+'State Appropriations-2Yr'!E20+'Local Appropriations-2Yr'!E20+'Fed Contracts Grnts-2Yr'!E20+'Other Contracts Grnts-2Yr'!E20+'Investment Income-2Yr'!E20+'All Other E&amp;G-2Yr'!E20</f>
        <v>0</v>
      </c>
      <c r="F20" s="83">
        <f>+'Tuition-2Yr'!F20+'State Appropriations-2Yr'!F20+'Local Appropriations-2Yr'!F20+'Fed Contracts Grnts-2Yr'!F20+'Other Contracts Grnts-2Yr'!F20+'Investment Income-2Yr'!F20+'All Other E&amp;G-2Yr'!F20</f>
        <v>0</v>
      </c>
      <c r="G20" s="83">
        <f>+'Tuition-2Yr'!G20+'State Appropriations-2Yr'!G20+'Local Appropriations-2Yr'!G20+'Fed Contracts Grnts-2Yr'!G20+'Other Contracts Grnts-2Yr'!G20+'Investment Income-2Yr'!G20+'All Other E&amp;G-2Yr'!G20</f>
        <v>0</v>
      </c>
      <c r="H20" s="83">
        <f>+'Tuition-2Yr'!H20+'State Appropriations-2Yr'!H20+'Local Appropriations-2Yr'!H20+'Fed Contracts Grnts-2Yr'!H20+'Other Contracts Grnts-2Yr'!H20+'Investment Income-2Yr'!H20+'All Other E&amp;G-2Yr'!H20</f>
        <v>0</v>
      </c>
      <c r="I20" s="83">
        <f>+'Tuition-2Yr'!I20+'State Appropriations-2Yr'!I20+'Local Appropriations-2Yr'!I20+'Fed Contracts Grnts-2Yr'!I20+'Other Contracts Grnts-2Yr'!I20+'Investment Income-2Yr'!I20+'All Other E&amp;G-2Yr'!I20</f>
        <v>1226612.4129999999</v>
      </c>
      <c r="J20" s="83">
        <f>+'Tuition-2Yr'!J20+'State Appropriations-2Yr'!J20+'Local Appropriations-2Yr'!J20+'Fed Contracts Grnts-2Yr'!J20+'Other Contracts Grnts-2Yr'!J20+'Investment Income-2Yr'!J20+'All Other E&amp;G-2Yr'!J20</f>
        <v>1311594.108</v>
      </c>
      <c r="K20" s="83">
        <f>+'Tuition-2Yr'!K20+'State Appropriations-2Yr'!K20+'Local Appropriations-2Yr'!K20+'Fed Contracts Grnts-2Yr'!K20+'Other Contracts Grnts-2Yr'!K20+'Investment Income-2Yr'!K20+'All Other E&amp;G-2Yr'!K20</f>
        <v>1456687.4949999999</v>
      </c>
      <c r="L20" s="83">
        <f>+'Tuition-2Yr'!L20+'State Appropriations-2Yr'!L20+'Local Appropriations-2Yr'!L20+'Fed Contracts Grnts-2Yr'!L20+'Other Contracts Grnts-2Yr'!L20+'Investment Income-2Yr'!L20+'All Other E&amp;G-2Yr'!L20</f>
        <v>1597268.425</v>
      </c>
      <c r="M20" s="83">
        <f>+'Tuition-2Yr'!M20+'State Appropriations-2Yr'!M20+'Local Appropriations-2Yr'!M20+'Fed Contracts Grnts-2Yr'!M20+'Other Contracts Grnts-2Yr'!M20+'Investment Income-2Yr'!M20+'All Other E&amp;G-2Yr'!M20</f>
        <v>1560776.5050000004</v>
      </c>
      <c r="N20" s="83">
        <f>+'Tuition-2Yr'!N20+'State Appropriations-2Yr'!N20+'Local Appropriations-2Yr'!N20+'Fed Contracts Grnts-2Yr'!N20+'Other Contracts Grnts-2Yr'!N20+'Investment Income-2Yr'!N20+'All Other E&amp;G-2Yr'!N20</f>
        <v>1737708.8190000001</v>
      </c>
      <c r="O20" s="83">
        <f>+'Tuition-2Yr'!O20+'State Appropriations-2Yr'!O20+'Local Appropriations-2Yr'!O20+'Fed Contracts Grnts-2Yr'!O20+'Other Contracts Grnts-2Yr'!O20+'Investment Income-2Yr'!O20+'All Other E&amp;G-2Yr'!O20</f>
        <v>1819824.8669999999</v>
      </c>
      <c r="P20" s="83">
        <f>+'Tuition-2Yr'!P20+'State Appropriations-2Yr'!P20+'Local Appropriations-2Yr'!P20+'Fed Contracts Grnts-2Yr'!P20+'Other Contracts Grnts-2Yr'!P20+'Investment Income-2Yr'!P20+'All Other E&amp;G-2Yr'!P20</f>
        <v>0</v>
      </c>
      <c r="Q20" s="83">
        <f>+'Tuition-2Yr'!Q20+'State Appropriations-2Yr'!Q20+'Local Appropriations-2Yr'!Q20+'Fed Contracts Grnts-2Yr'!Q20+'Other Contracts Grnts-2Yr'!Q20+'Investment Income-2Yr'!Q20+'All Other E&amp;G-2Yr'!Q20</f>
        <v>0</v>
      </c>
      <c r="R20" s="83">
        <f>+'Tuition-2Yr'!R20+'State Appropriations-2Yr'!R20+'Local Appropriations-2Yr'!R20+'Fed Contracts Grnts-2Yr'!R20+'Other Contracts Grnts-2Yr'!R20+'Investment Income-2Yr'!R20+'All Other E&amp;G-2Yr'!R20</f>
        <v>2177010.2510000002</v>
      </c>
      <c r="S20" s="83">
        <f>+'Tuition-2Yr'!S20+'State Appropriations-2Yr'!S20+'Local Appropriations-2Yr'!S20+'Fed Contracts Grnts-2Yr'!S20+'Other Contracts Grnts-2Yr'!S20+'Investment Income-2Yr'!S20+'All Other E&amp;G-2Yr'!S20</f>
        <v>2360696.7749999994</v>
      </c>
      <c r="T20" s="83">
        <f>+'Tuition-2Yr'!T20+'State Appropriations-2Yr'!T20+'Local Appropriations-2Yr'!T20+'Fed Contracts Grnts-2Yr'!T20+'Other Contracts Grnts-2Yr'!T20+'Investment Income-2Yr'!T20+'All Other E&amp;G-2Yr'!T20</f>
        <v>2737560.9309999999</v>
      </c>
      <c r="U20" s="83">
        <f>+'Tuition-2Yr'!U20+'State Appropriations-2Yr'!U20+'Local Appropriations-2Yr'!U20+'Fed Contracts Grnts-2Yr'!U20+'Other Contracts Grnts-2Yr'!U20+'Investment Income-2Yr'!U20+'All Other E&amp;G-2Yr'!U20</f>
        <v>2842984.3719999995</v>
      </c>
      <c r="V20" s="83">
        <f>+'Tuition-2Yr'!V20+'State Appropriations-2Yr'!V20+'Local Appropriations-2Yr'!V20+'Fed Contracts Grnts-2Yr'!V20+'Other Contracts Grnts-2Yr'!V20+'Investment Income-2Yr'!V20+'All Other E&amp;G-2Yr'!V20</f>
        <v>2885562.0559999994</v>
      </c>
      <c r="W20" s="83">
        <f>+'Tuition-2Yr'!W20+'State Appropriations-2Yr'!W20+'Local Appropriations-2Yr'!W20+'Fed Contracts Grnts-2Yr'!W20+'Other Contracts Grnts-2Yr'!W20+'Investment Income-2Yr'!W20+'All Other E&amp;G-2Yr'!W20</f>
        <v>3220762.9209999996</v>
      </c>
      <c r="X20" s="83">
        <f>+'Tuition-2Yr'!X20+'State Appropriations-2Yr'!X20+'Local Appropriations-2Yr'!X20+'Fed Contracts Grnts-2Yr'!X20+'Other Contracts Grnts-2Yr'!X20+'Investment Income-2Yr'!X20+'All Other E&amp;G-2Yr'!X20</f>
        <v>3237642.5360000003</v>
      </c>
      <c r="Y20" s="83">
        <f>+'Tuition-2Yr'!Y20+'State Appropriations-2Yr'!Y20+'Local Appropriations-2Yr'!Y20+'Fed Contracts Grnts-2Yr'!Y20+'Other Contracts Grnts-2Yr'!Y20+'Investment Income-2Yr'!Y20+'All Other E&amp;G-2Yr'!Y20</f>
        <v>3446571.7670000005</v>
      </c>
      <c r="Z20" s="83">
        <f>+'Tuition-2Yr'!Z20+'State Appropriations-2Yr'!Z20+'Local Appropriations-2Yr'!Z20+'Fed Contracts Grnts-2Yr'!Z20+'Other Contracts Grnts-2Yr'!Z20+'Investment Income-2Yr'!Z20+'All Other E&amp;G-2Yr'!Z20</f>
        <v>3725087.45</v>
      </c>
      <c r="AA20" s="83">
        <f>+'Tuition-2Yr'!AA20+'State Appropriations-2Yr'!AA20+'Local Appropriations-2Yr'!AA20+'Fed Contracts Grnts-2Yr'!AA20+'Other Contracts Grnts-2Yr'!AA20+'Investment Income-2Yr'!AA20+'All Other E&amp;G-2Yr'!AA20</f>
        <v>4503003.7050000001</v>
      </c>
      <c r="AB20" s="83">
        <f>+'Tuition-2Yr'!AB20+'State Appropriations-2Yr'!AB20+'Local Appropriations-2Yr'!AB20+'Fed Contracts Grnts-2Yr'!AB20+'Other Contracts Grnts-2Yr'!AB20+'Investment Income-2Yr'!AB20+'All Other E&amp;G-2Yr'!AB20</f>
        <v>5203760.0190000003</v>
      </c>
      <c r="AC20" s="83">
        <f>+'Tuition-2Yr'!AC20+'State Appropriations-2Yr'!AC20+'Local Appropriations-2Yr'!AC20+'Fed Contracts Grnts-2Yr'!AC20+'Other Contracts Grnts-2Yr'!AC20+'Investment Income-2Yr'!AC20+'All Other E&amp;G-2Yr'!AC20</f>
        <v>5572475</v>
      </c>
      <c r="AD20" s="83">
        <f>+'Tuition-2Yr'!AD20+'State Appropriations-2Yr'!AD20+'Local Appropriations-2Yr'!AD20+'Fed Contracts Grnts-2Yr'!AD20+'Other Contracts Grnts-2Yr'!AD20+'Investment Income-2Yr'!AD20+'All Other E&amp;G-2Yr'!AD20</f>
        <v>5535151.3050000006</v>
      </c>
      <c r="AE20" s="83">
        <f>+'Tuition-2Yr'!AE20+'State Appropriations-2Yr'!AE20+'Local Appropriations-2Yr'!AE20+'Fed Contracts Grnts-2Yr'!AE20+'Other Contracts Grnts-2Yr'!AE20+'Investment Income-2Yr'!AE20+'All Other E&amp;G-2Yr'!AE20</f>
        <v>5561027.8169999998</v>
      </c>
      <c r="AF20" s="83">
        <f>+'Tuition-2Yr'!AF20+'State Appropriations-2Yr'!AF20+'Local Appropriations-2Yr'!AF20+'Fed Contracts Grnts-2Yr'!AF20+'Other Contracts Grnts-2Yr'!AF20+'Investment Income-2Yr'!AF20+'All Other E&amp;G-2Yr'!AF20</f>
        <v>5662672.943</v>
      </c>
      <c r="AG20" s="83">
        <f>+'Tuition-2Yr'!AG20+'State Appropriations-2Yr'!AG20+'Local Appropriations-2Yr'!AG20+'Fed Contracts Grnts-2Yr'!AG20+'Other Contracts Grnts-2Yr'!AG20+'Investment Income-2Yr'!AG20+'All Other E&amp;G-2Yr'!AG20</f>
        <v>5698642.1490000011</v>
      </c>
      <c r="AH20" s="83">
        <f>+'Tuition-2Yr'!AH20+'State Appropriations-2Yr'!AH20+'Local Appropriations-2Yr'!AH20+'Fed Contracts Grnts-2Yr'!AH20+'Other Contracts Grnts-2Yr'!AH20+'Investment Income-2Yr'!AH20+'All Other E&amp;G-2Yr'!AH20</f>
        <v>5850550.3310000002</v>
      </c>
      <c r="AI20" s="83">
        <f>+'Tuition-2Yr'!AI20+'State Appropriations-2Yr'!AI20+'Local Appropriations-2Yr'!AI20+'Fed Contracts Grnts-2Yr'!AI20+'Other Contracts Grnts-2Yr'!AI20+'Investment Income-2Yr'!AI20+'All Other E&amp;G-2Yr'!AI20</f>
        <v>6225632.7530000005</v>
      </c>
      <c r="AJ20" s="83">
        <f>+'Tuition-2Yr'!AJ20+'State Appropriations-2Yr'!AJ20+'Local Appropriations-2Yr'!AJ20+'Fed Contracts Grnts-2Yr'!AJ20+'Other Contracts Grnts-2Yr'!AJ20+'Investment Income-2Yr'!AJ20+'All Other E&amp;G-2Yr'!AJ20</f>
        <v>0</v>
      </c>
      <c r="AK20" s="83">
        <f>+'Tuition-2Yr'!AK20+'State Appropriations-2Yr'!AK20+'Local Appropriations-2Yr'!AK20+'Fed Contracts Grnts-2Yr'!AK20+'Other Contracts Grnts-2Yr'!AK20+'Investment Income-2Yr'!AK20+'All Other E&amp;G-2Yr'!AK20</f>
        <v>7447740.0010000002</v>
      </c>
      <c r="AL20" s="83">
        <f>+'Tuition-2Yr'!AL20+'State Appropriations-2Yr'!AL20+'Local Appropriations-2Yr'!AL20+'Fed Contracts Grnts-2Yr'!AL20+'Other Contracts Grnts-2Yr'!AL20+'Investment Income-2Yr'!AL20+'All Other E&amp;G-2Yr'!AL20</f>
        <v>7244755.8339999998</v>
      </c>
    </row>
    <row r="21" spans="1:38" ht="12.75" customHeight="1">
      <c r="A21" s="1" t="s">
        <v>36</v>
      </c>
      <c r="B21" s="83">
        <f>+'Tuition-2Yr'!B21+'State Appropriations-2Yr'!B21+'Local Appropriations-2Yr'!B21+'Fed Contracts Grnts-2Yr'!B21+'Other Contracts Grnts-2Yr'!B21+'Investment Income-2Yr'!B21+'All Other E&amp;G-2Yr'!B21</f>
        <v>177943</v>
      </c>
      <c r="C21" s="83">
        <f>+'Tuition-2Yr'!C21+'State Appropriations-2Yr'!C21+'Local Appropriations-2Yr'!C21+'Fed Contracts Grnts-2Yr'!C21+'Other Contracts Grnts-2Yr'!C21+'Investment Income-2Yr'!C21+'All Other E&amp;G-2Yr'!C21</f>
        <v>201076</v>
      </c>
      <c r="D21" s="83">
        <f>+'Tuition-2Yr'!D21+'State Appropriations-2Yr'!D21+'Local Appropriations-2Yr'!D21+'Fed Contracts Grnts-2Yr'!D21+'Other Contracts Grnts-2Yr'!D21+'Investment Income-2Yr'!D21+'All Other E&amp;G-2Yr'!D21</f>
        <v>215322</v>
      </c>
      <c r="E21" s="83">
        <f>+'Tuition-2Yr'!E21+'State Appropriations-2Yr'!E21+'Local Appropriations-2Yr'!E21+'Fed Contracts Grnts-2Yr'!E21+'Other Contracts Grnts-2Yr'!E21+'Investment Income-2Yr'!E21+'All Other E&amp;G-2Yr'!E21</f>
        <v>0</v>
      </c>
      <c r="F21" s="83">
        <f>+'Tuition-2Yr'!F21+'State Appropriations-2Yr'!F21+'Local Appropriations-2Yr'!F21+'Fed Contracts Grnts-2Yr'!F21+'Other Contracts Grnts-2Yr'!F21+'Investment Income-2Yr'!F21+'All Other E&amp;G-2Yr'!F21</f>
        <v>0</v>
      </c>
      <c r="G21" s="83">
        <f>+'Tuition-2Yr'!G21+'State Appropriations-2Yr'!G21+'Local Appropriations-2Yr'!G21+'Fed Contracts Grnts-2Yr'!G21+'Other Contracts Grnts-2Yr'!G21+'Investment Income-2Yr'!G21+'All Other E&amp;G-2Yr'!G21</f>
        <v>0</v>
      </c>
      <c r="H21" s="83">
        <f>+'Tuition-2Yr'!H21+'State Appropriations-2Yr'!H21+'Local Appropriations-2Yr'!H21+'Fed Contracts Grnts-2Yr'!H21+'Other Contracts Grnts-2Yr'!H21+'Investment Income-2Yr'!H21+'All Other E&amp;G-2Yr'!H21</f>
        <v>0</v>
      </c>
      <c r="I21" s="83">
        <f>+'Tuition-2Yr'!I21+'State Appropriations-2Yr'!I21+'Local Appropriations-2Yr'!I21+'Fed Contracts Grnts-2Yr'!I21+'Other Contracts Grnts-2Yr'!I21+'Investment Income-2Yr'!I21+'All Other E&amp;G-2Yr'!I21</f>
        <v>297333.28000000003</v>
      </c>
      <c r="J21" s="83">
        <f>+'Tuition-2Yr'!J21+'State Appropriations-2Yr'!J21+'Local Appropriations-2Yr'!J21+'Fed Contracts Grnts-2Yr'!J21+'Other Contracts Grnts-2Yr'!J21+'Investment Income-2Yr'!J21+'All Other E&amp;G-2Yr'!J21</f>
        <v>313780.29399999999</v>
      </c>
      <c r="K21" s="83">
        <f>+'Tuition-2Yr'!K21+'State Appropriations-2Yr'!K21+'Local Appropriations-2Yr'!K21+'Fed Contracts Grnts-2Yr'!K21+'Other Contracts Grnts-2Yr'!K21+'Investment Income-2Yr'!K21+'All Other E&amp;G-2Yr'!K21</f>
        <v>339257.99099999998</v>
      </c>
      <c r="L21" s="83">
        <f>+'Tuition-2Yr'!L21+'State Appropriations-2Yr'!L21+'Local Appropriations-2Yr'!L21+'Fed Contracts Grnts-2Yr'!L21+'Other Contracts Grnts-2Yr'!L21+'Investment Income-2Yr'!L21+'All Other E&amp;G-2Yr'!L21</f>
        <v>361336.98899999994</v>
      </c>
      <c r="M21" s="83">
        <f>+'Tuition-2Yr'!M21+'State Appropriations-2Yr'!M21+'Local Appropriations-2Yr'!M21+'Fed Contracts Grnts-2Yr'!M21+'Other Contracts Grnts-2Yr'!M21+'Investment Income-2Yr'!M21+'All Other E&amp;G-2Yr'!M21</f>
        <v>379465.30199999997</v>
      </c>
      <c r="N21" s="83">
        <f>+'Tuition-2Yr'!N21+'State Appropriations-2Yr'!N21+'Local Appropriations-2Yr'!N21+'Fed Contracts Grnts-2Yr'!N21+'Other Contracts Grnts-2Yr'!N21+'Investment Income-2Yr'!N21+'All Other E&amp;G-2Yr'!N21</f>
        <v>383395.63100000005</v>
      </c>
      <c r="O21" s="83">
        <f>+'Tuition-2Yr'!O21+'State Appropriations-2Yr'!O21+'Local Appropriations-2Yr'!O21+'Fed Contracts Grnts-2Yr'!O21+'Other Contracts Grnts-2Yr'!O21+'Investment Income-2Yr'!O21+'All Other E&amp;G-2Yr'!O21</f>
        <v>399016.223</v>
      </c>
      <c r="P21" s="83">
        <f>+'Tuition-2Yr'!P21+'State Appropriations-2Yr'!P21+'Local Appropriations-2Yr'!P21+'Fed Contracts Grnts-2Yr'!P21+'Other Contracts Grnts-2Yr'!P21+'Investment Income-2Yr'!P21+'All Other E&amp;G-2Yr'!P21</f>
        <v>0</v>
      </c>
      <c r="Q21" s="83">
        <f>+'Tuition-2Yr'!Q21+'State Appropriations-2Yr'!Q21+'Local Appropriations-2Yr'!Q21+'Fed Contracts Grnts-2Yr'!Q21+'Other Contracts Grnts-2Yr'!Q21+'Investment Income-2Yr'!Q21+'All Other E&amp;G-2Yr'!Q21</f>
        <v>0</v>
      </c>
      <c r="R21" s="83">
        <f>+'Tuition-2Yr'!R21+'State Appropriations-2Yr'!R21+'Local Appropriations-2Yr'!R21+'Fed Contracts Grnts-2Yr'!R21+'Other Contracts Grnts-2Yr'!R21+'Investment Income-2Yr'!R21+'All Other E&amp;G-2Yr'!R21</f>
        <v>495288.62099999998</v>
      </c>
      <c r="S21" s="83">
        <f>+'Tuition-2Yr'!S21+'State Appropriations-2Yr'!S21+'Local Appropriations-2Yr'!S21+'Fed Contracts Grnts-2Yr'!S21+'Other Contracts Grnts-2Yr'!S21+'Investment Income-2Yr'!S21+'All Other E&amp;G-2Yr'!S21</f>
        <v>532372.63</v>
      </c>
      <c r="T21" s="83">
        <f>+'Tuition-2Yr'!T21+'State Appropriations-2Yr'!T21+'Local Appropriations-2Yr'!T21+'Fed Contracts Grnts-2Yr'!T21+'Other Contracts Grnts-2Yr'!T21+'Investment Income-2Yr'!T21+'All Other E&amp;G-2Yr'!T21</f>
        <v>561006.33000000007</v>
      </c>
      <c r="U21" s="83">
        <f>+'Tuition-2Yr'!U21+'State Appropriations-2Yr'!U21+'Local Appropriations-2Yr'!U21+'Fed Contracts Grnts-2Yr'!U21+'Other Contracts Grnts-2Yr'!U21+'Investment Income-2Yr'!U21+'All Other E&amp;G-2Yr'!U21</f>
        <v>546295.8629999999</v>
      </c>
      <c r="V21" s="83">
        <f>+'Tuition-2Yr'!V21+'State Appropriations-2Yr'!V21+'Local Appropriations-2Yr'!V21+'Fed Contracts Grnts-2Yr'!V21+'Other Contracts Grnts-2Yr'!V21+'Investment Income-2Yr'!V21+'All Other E&amp;G-2Yr'!V21</f>
        <v>576757.31800000009</v>
      </c>
      <c r="W21" s="83">
        <f>+'Tuition-2Yr'!W21+'State Appropriations-2Yr'!W21+'Local Appropriations-2Yr'!W21+'Fed Contracts Grnts-2Yr'!W21+'Other Contracts Grnts-2Yr'!W21+'Investment Income-2Yr'!W21+'All Other E&amp;G-2Yr'!W21</f>
        <v>649699.16</v>
      </c>
      <c r="X21" s="83">
        <f>+'Tuition-2Yr'!X21+'State Appropriations-2Yr'!X21+'Local Appropriations-2Yr'!X21+'Fed Contracts Grnts-2Yr'!X21+'Other Contracts Grnts-2Yr'!X21+'Investment Income-2Yr'!X21+'All Other E&amp;G-2Yr'!X21</f>
        <v>682607.23100000003</v>
      </c>
      <c r="Y21" s="83">
        <f>+'Tuition-2Yr'!Y21+'State Appropriations-2Yr'!Y21+'Local Appropriations-2Yr'!Y21+'Fed Contracts Grnts-2Yr'!Y21+'Other Contracts Grnts-2Yr'!Y21+'Investment Income-2Yr'!Y21+'All Other E&amp;G-2Yr'!Y21</f>
        <v>731504.38600000017</v>
      </c>
      <c r="Z21" s="83">
        <f>+'Tuition-2Yr'!Z21+'State Appropriations-2Yr'!Z21+'Local Appropriations-2Yr'!Z21+'Fed Contracts Grnts-2Yr'!Z21+'Other Contracts Grnts-2Yr'!Z21+'Investment Income-2Yr'!Z21+'All Other E&amp;G-2Yr'!Z21</f>
        <v>815964.93900000001</v>
      </c>
      <c r="AA21" s="83">
        <f>+'Tuition-2Yr'!AA21+'State Appropriations-2Yr'!AA21+'Local Appropriations-2Yr'!AA21+'Fed Contracts Grnts-2Yr'!AA21+'Other Contracts Grnts-2Yr'!AA21+'Investment Income-2Yr'!AA21+'All Other E&amp;G-2Yr'!AA21</f>
        <v>919344.79800000007</v>
      </c>
      <c r="AB21" s="83">
        <f>+'Tuition-2Yr'!AB21+'State Appropriations-2Yr'!AB21+'Local Appropriations-2Yr'!AB21+'Fed Contracts Grnts-2Yr'!AB21+'Other Contracts Grnts-2Yr'!AB21+'Investment Income-2Yr'!AB21+'All Other E&amp;G-2Yr'!AB21</f>
        <v>1050946.3019999999</v>
      </c>
      <c r="AC21" s="83">
        <f>+'Tuition-2Yr'!AC21+'State Appropriations-2Yr'!AC21+'Local Appropriations-2Yr'!AC21+'Fed Contracts Grnts-2Yr'!AC21+'Other Contracts Grnts-2Yr'!AC21+'Investment Income-2Yr'!AC21+'All Other E&amp;G-2Yr'!AC21</f>
        <v>1193766</v>
      </c>
      <c r="AD21" s="83">
        <f>+'Tuition-2Yr'!AD21+'State Appropriations-2Yr'!AD21+'Local Appropriations-2Yr'!AD21+'Fed Contracts Grnts-2Yr'!AD21+'Other Contracts Grnts-2Yr'!AD21+'Investment Income-2Yr'!AD21+'All Other E&amp;G-2Yr'!AD21</f>
        <v>1257964.1999999997</v>
      </c>
      <c r="AE21" s="83">
        <f>+'Tuition-2Yr'!AE21+'State Appropriations-2Yr'!AE21+'Local Appropriations-2Yr'!AE21+'Fed Contracts Grnts-2Yr'!AE21+'Other Contracts Grnts-2Yr'!AE21+'Investment Income-2Yr'!AE21+'All Other E&amp;G-2Yr'!AE21</f>
        <v>1290413.6509999998</v>
      </c>
      <c r="AF21" s="83">
        <f>+'Tuition-2Yr'!AF21+'State Appropriations-2Yr'!AF21+'Local Appropriations-2Yr'!AF21+'Fed Contracts Grnts-2Yr'!AF21+'Other Contracts Grnts-2Yr'!AF21+'Investment Income-2Yr'!AF21+'All Other E&amp;G-2Yr'!AF21</f>
        <v>1305413.1650000003</v>
      </c>
      <c r="AG21" s="83">
        <f>+'Tuition-2Yr'!AG21+'State Appropriations-2Yr'!AG21+'Local Appropriations-2Yr'!AG21+'Fed Contracts Grnts-2Yr'!AG21+'Other Contracts Grnts-2Yr'!AG21+'Investment Income-2Yr'!AG21+'All Other E&amp;G-2Yr'!AG21</f>
        <v>1291061.0549999997</v>
      </c>
      <c r="AH21" s="83">
        <f>+'Tuition-2Yr'!AH21+'State Appropriations-2Yr'!AH21+'Local Appropriations-2Yr'!AH21+'Fed Contracts Grnts-2Yr'!AH21+'Other Contracts Grnts-2Yr'!AH21+'Investment Income-2Yr'!AH21+'All Other E&amp;G-2Yr'!AH21</f>
        <v>1268702.9850000001</v>
      </c>
      <c r="AI21" s="83">
        <f>+'Tuition-2Yr'!AI21+'State Appropriations-2Yr'!AI21+'Local Appropriations-2Yr'!AI21+'Fed Contracts Grnts-2Yr'!AI21+'Other Contracts Grnts-2Yr'!AI21+'Investment Income-2Yr'!AI21+'All Other E&amp;G-2Yr'!AI21</f>
        <v>1262267.7550000001</v>
      </c>
      <c r="AJ21" s="83">
        <f>+'Tuition-2Yr'!AJ21+'State Appropriations-2Yr'!AJ21+'Local Appropriations-2Yr'!AJ21+'Fed Contracts Grnts-2Yr'!AJ21+'Other Contracts Grnts-2Yr'!AJ21+'Investment Income-2Yr'!AJ21+'All Other E&amp;G-2Yr'!AJ21</f>
        <v>0</v>
      </c>
      <c r="AK21" s="83">
        <f>+'Tuition-2Yr'!AK21+'State Appropriations-2Yr'!AK21+'Local Appropriations-2Yr'!AK21+'Fed Contracts Grnts-2Yr'!AK21+'Other Contracts Grnts-2Yr'!AK21+'Investment Income-2Yr'!AK21+'All Other E&amp;G-2Yr'!AK21</f>
        <v>1335472.9299999997</v>
      </c>
      <c r="AL21" s="83">
        <f>+'Tuition-2Yr'!AL21+'State Appropriations-2Yr'!AL21+'Local Appropriations-2Yr'!AL21+'Fed Contracts Grnts-2Yr'!AL21+'Other Contracts Grnts-2Yr'!AL21+'Investment Income-2Yr'!AL21+'All Other E&amp;G-2Yr'!AL21</f>
        <v>1248456.8380000002</v>
      </c>
    </row>
    <row r="22" spans="1:38" ht="12.75" customHeight="1">
      <c r="A22" s="27" t="s">
        <v>37</v>
      </c>
      <c r="B22" s="84">
        <f>+'Tuition-2Yr'!B22+'State Appropriations-2Yr'!B22+'Local Appropriations-2Yr'!B22+'Fed Contracts Grnts-2Yr'!B22+'Other Contracts Grnts-2Yr'!B22+'Investment Income-2Yr'!B22+'All Other E&amp;G-2Yr'!B22</f>
        <v>18028</v>
      </c>
      <c r="C22" s="84">
        <f>+'Tuition-2Yr'!C22+'State Appropriations-2Yr'!C22+'Local Appropriations-2Yr'!C22+'Fed Contracts Grnts-2Yr'!C22+'Other Contracts Grnts-2Yr'!C22+'Investment Income-2Yr'!C22+'All Other E&amp;G-2Yr'!C22</f>
        <v>19166</v>
      </c>
      <c r="D22" s="84">
        <f>+'Tuition-2Yr'!D22+'State Appropriations-2Yr'!D22+'Local Appropriations-2Yr'!D22+'Fed Contracts Grnts-2Yr'!D22+'Other Contracts Grnts-2Yr'!D22+'Investment Income-2Yr'!D22+'All Other E&amp;G-2Yr'!D22</f>
        <v>21178</v>
      </c>
      <c r="E22" s="84">
        <f>+'Tuition-2Yr'!E22+'State Appropriations-2Yr'!E22+'Local Appropriations-2Yr'!E22+'Fed Contracts Grnts-2Yr'!E22+'Other Contracts Grnts-2Yr'!E22+'Investment Income-2Yr'!E22+'All Other E&amp;G-2Yr'!E22</f>
        <v>0</v>
      </c>
      <c r="F22" s="84">
        <f>+'Tuition-2Yr'!F22+'State Appropriations-2Yr'!F22+'Local Appropriations-2Yr'!F22+'Fed Contracts Grnts-2Yr'!F22+'Other Contracts Grnts-2Yr'!F22+'Investment Income-2Yr'!F22+'All Other E&amp;G-2Yr'!F22</f>
        <v>0</v>
      </c>
      <c r="G22" s="84">
        <f>+'Tuition-2Yr'!G22+'State Appropriations-2Yr'!G22+'Local Appropriations-2Yr'!G22+'Fed Contracts Grnts-2Yr'!G22+'Other Contracts Grnts-2Yr'!G22+'Investment Income-2Yr'!G22+'All Other E&amp;G-2Yr'!G22</f>
        <v>0</v>
      </c>
      <c r="H22" s="84">
        <f>+'Tuition-2Yr'!H22+'State Appropriations-2Yr'!H22+'Local Appropriations-2Yr'!H22+'Fed Contracts Grnts-2Yr'!H22+'Other Contracts Grnts-2Yr'!H22+'Investment Income-2Yr'!H22+'All Other E&amp;G-2Yr'!H22</f>
        <v>0</v>
      </c>
      <c r="I22" s="84">
        <f>+'Tuition-2Yr'!I22+'State Appropriations-2Yr'!I22+'Local Appropriations-2Yr'!I22+'Fed Contracts Grnts-2Yr'!I22+'Other Contracts Grnts-2Yr'!I22+'Investment Income-2Yr'!I22+'All Other E&amp;G-2Yr'!I22</f>
        <v>22025.544000000002</v>
      </c>
      <c r="J22" s="84">
        <f>+'Tuition-2Yr'!J22+'State Appropriations-2Yr'!J22+'Local Appropriations-2Yr'!J22+'Fed Contracts Grnts-2Yr'!J22+'Other Contracts Grnts-2Yr'!J22+'Investment Income-2Yr'!J22+'All Other E&amp;G-2Yr'!J22</f>
        <v>24365.755999999998</v>
      </c>
      <c r="K22" s="84">
        <f>+'Tuition-2Yr'!K22+'State Appropriations-2Yr'!K22+'Local Appropriations-2Yr'!K22+'Fed Contracts Grnts-2Yr'!K22+'Other Contracts Grnts-2Yr'!K22+'Investment Income-2Yr'!K22+'All Other E&amp;G-2Yr'!K22</f>
        <v>25291.786999999997</v>
      </c>
      <c r="L22" s="84">
        <f>+'Tuition-2Yr'!L22+'State Appropriations-2Yr'!L22+'Local Appropriations-2Yr'!L22+'Fed Contracts Grnts-2Yr'!L22+'Other Contracts Grnts-2Yr'!L22+'Investment Income-2Yr'!L22+'All Other E&amp;G-2Yr'!L22</f>
        <v>27132.163999999997</v>
      </c>
      <c r="M22" s="84">
        <f>+'Tuition-2Yr'!M22+'State Appropriations-2Yr'!M22+'Local Appropriations-2Yr'!M22+'Fed Contracts Grnts-2Yr'!M22+'Other Contracts Grnts-2Yr'!M22+'Investment Income-2Yr'!M22+'All Other E&amp;G-2Yr'!M22</f>
        <v>29372.907000000003</v>
      </c>
      <c r="N22" s="84">
        <f>+'Tuition-2Yr'!N22+'State Appropriations-2Yr'!N22+'Local Appropriations-2Yr'!N22+'Fed Contracts Grnts-2Yr'!N22+'Other Contracts Grnts-2Yr'!N22+'Investment Income-2Yr'!N22+'All Other E&amp;G-2Yr'!N22</f>
        <v>30930.39</v>
      </c>
      <c r="O22" s="84">
        <f>+'Tuition-2Yr'!O22+'State Appropriations-2Yr'!O22+'Local Appropriations-2Yr'!O22+'Fed Contracts Grnts-2Yr'!O22+'Other Contracts Grnts-2Yr'!O22+'Investment Income-2Yr'!O22+'All Other E&amp;G-2Yr'!O22</f>
        <v>30811.746520000001</v>
      </c>
      <c r="P22" s="84">
        <f>+'Tuition-2Yr'!P22+'State Appropriations-2Yr'!P22+'Local Appropriations-2Yr'!P22+'Fed Contracts Grnts-2Yr'!P22+'Other Contracts Grnts-2Yr'!P22+'Investment Income-2Yr'!P22+'All Other E&amp;G-2Yr'!P22</f>
        <v>0</v>
      </c>
      <c r="Q22" s="84">
        <f>+'Tuition-2Yr'!Q22+'State Appropriations-2Yr'!Q22+'Local Appropriations-2Yr'!Q22+'Fed Contracts Grnts-2Yr'!Q22+'Other Contracts Grnts-2Yr'!Q22+'Investment Income-2Yr'!Q22+'All Other E&amp;G-2Yr'!Q22</f>
        <v>0</v>
      </c>
      <c r="R22" s="84">
        <f>+'Tuition-2Yr'!R22+'State Appropriations-2Yr'!R22+'Local Appropriations-2Yr'!R22+'Fed Contracts Grnts-2Yr'!R22+'Other Contracts Grnts-2Yr'!R22+'Investment Income-2Yr'!R22+'All Other E&amp;G-2Yr'!R22</f>
        <v>34805.661</v>
      </c>
      <c r="S22" s="84">
        <f>+'Tuition-2Yr'!S22+'State Appropriations-2Yr'!S22+'Local Appropriations-2Yr'!S22+'Fed Contracts Grnts-2Yr'!S22+'Other Contracts Grnts-2Yr'!S22+'Investment Income-2Yr'!S22+'All Other E&amp;G-2Yr'!S22</f>
        <v>47961.387000000002</v>
      </c>
      <c r="T22" s="84">
        <f>+'Tuition-2Yr'!T22+'State Appropriations-2Yr'!T22+'Local Appropriations-2Yr'!T22+'Fed Contracts Grnts-2Yr'!T22+'Other Contracts Grnts-2Yr'!T22+'Investment Income-2Yr'!T22+'All Other E&amp;G-2Yr'!T22</f>
        <v>37240.935999999994</v>
      </c>
      <c r="U22" s="84">
        <f>+'Tuition-2Yr'!U22+'State Appropriations-2Yr'!U22+'Local Appropriations-2Yr'!U22+'Fed Contracts Grnts-2Yr'!U22+'Other Contracts Grnts-2Yr'!U22+'Investment Income-2Yr'!U22+'All Other E&amp;G-2Yr'!U22</f>
        <v>41729.704999999994</v>
      </c>
      <c r="V22" s="84">
        <f>+'Tuition-2Yr'!V22+'State Appropriations-2Yr'!V22+'Local Appropriations-2Yr'!V22+'Fed Contracts Grnts-2Yr'!V22+'Other Contracts Grnts-2Yr'!V22+'Investment Income-2Yr'!V22+'All Other E&amp;G-2Yr'!V22</f>
        <v>33998.618000000009</v>
      </c>
      <c r="W22" s="84">
        <f>+'Tuition-2Yr'!W22+'State Appropriations-2Yr'!W22+'Local Appropriations-2Yr'!W22+'Fed Contracts Grnts-2Yr'!W22+'Other Contracts Grnts-2Yr'!W22+'Investment Income-2Yr'!W22+'All Other E&amp;G-2Yr'!W22</f>
        <v>86243.690999999992</v>
      </c>
      <c r="X22" s="84">
        <f>+'Tuition-2Yr'!X22+'State Appropriations-2Yr'!X22+'Local Appropriations-2Yr'!X22+'Fed Contracts Grnts-2Yr'!X22+'Other Contracts Grnts-2Yr'!X22+'Investment Income-2Yr'!X22+'All Other E&amp;G-2Yr'!X22</f>
        <v>77138.824999999997</v>
      </c>
      <c r="Y22" s="84">
        <f>+'Tuition-2Yr'!Y22+'State Appropriations-2Yr'!Y22+'Local Appropriations-2Yr'!Y22+'Fed Contracts Grnts-2Yr'!Y22+'Other Contracts Grnts-2Yr'!Y22+'Investment Income-2Yr'!Y22+'All Other E&amp;G-2Yr'!Y22</f>
        <v>103206.894</v>
      </c>
      <c r="Z22" s="84">
        <f>+'Tuition-2Yr'!Z22+'State Appropriations-2Yr'!Z22+'Local Appropriations-2Yr'!Z22+'Fed Contracts Grnts-2Yr'!Z22+'Other Contracts Grnts-2Yr'!Z22+'Investment Income-2Yr'!Z22+'All Other E&amp;G-2Yr'!Z22</f>
        <v>112210.05099999999</v>
      </c>
      <c r="AA22" s="84">
        <f>+'Tuition-2Yr'!AA22+'State Appropriations-2Yr'!AA22+'Local Appropriations-2Yr'!AA22+'Fed Contracts Grnts-2Yr'!AA22+'Other Contracts Grnts-2Yr'!AA22+'Investment Income-2Yr'!AA22+'All Other E&amp;G-2Yr'!AA22</f>
        <v>143792.37</v>
      </c>
      <c r="AB22" s="84">
        <f>+'Tuition-2Yr'!AB22+'State Appropriations-2Yr'!AB22+'Local Appropriations-2Yr'!AB22+'Fed Contracts Grnts-2Yr'!AB22+'Other Contracts Grnts-2Yr'!AB22+'Investment Income-2Yr'!AB22+'All Other E&amp;G-2Yr'!AB22</f>
        <v>206962.66199999998</v>
      </c>
      <c r="AC22" s="84">
        <f>+'Tuition-2Yr'!AC22+'State Appropriations-2Yr'!AC22+'Local Appropriations-2Yr'!AC22+'Fed Contracts Grnts-2Yr'!AC22+'Other Contracts Grnts-2Yr'!AC22+'Investment Income-2Yr'!AC22+'All Other E&amp;G-2Yr'!AC22</f>
        <v>219602</v>
      </c>
      <c r="AD22" s="84">
        <f>+'Tuition-2Yr'!AD22+'State Appropriations-2Yr'!AD22+'Local Appropriations-2Yr'!AD22+'Fed Contracts Grnts-2Yr'!AD22+'Other Contracts Grnts-2Yr'!AD22+'Investment Income-2Yr'!AD22+'All Other E&amp;G-2Yr'!AD22</f>
        <v>239615.41299999997</v>
      </c>
      <c r="AE22" s="84">
        <f>+'Tuition-2Yr'!AE22+'State Appropriations-2Yr'!AE22+'Local Appropriations-2Yr'!AE22+'Fed Contracts Grnts-2Yr'!AE22+'Other Contracts Grnts-2Yr'!AE22+'Investment Income-2Yr'!AE22+'All Other E&amp;G-2Yr'!AE22</f>
        <v>225427.70599999998</v>
      </c>
      <c r="AF22" s="84">
        <f>+'Tuition-2Yr'!AF22+'State Appropriations-2Yr'!AF22+'Local Appropriations-2Yr'!AF22+'Fed Contracts Grnts-2Yr'!AF22+'Other Contracts Grnts-2Yr'!AF22+'Investment Income-2Yr'!AF22+'All Other E&amp;G-2Yr'!AF22</f>
        <v>207178.81599999999</v>
      </c>
      <c r="AG22" s="84">
        <f>+'Tuition-2Yr'!AG22+'State Appropriations-2Yr'!AG22+'Local Appropriations-2Yr'!AG22+'Fed Contracts Grnts-2Yr'!AG22+'Other Contracts Grnts-2Yr'!AG22+'Investment Income-2Yr'!AG22+'All Other E&amp;G-2Yr'!AG22</f>
        <v>196189.976</v>
      </c>
      <c r="AH22" s="84">
        <f>+'Tuition-2Yr'!AH22+'State Appropriations-2Yr'!AH22+'Local Appropriations-2Yr'!AH22+'Fed Contracts Grnts-2Yr'!AH22+'Other Contracts Grnts-2Yr'!AH22+'Investment Income-2Yr'!AH22+'All Other E&amp;G-2Yr'!AH22</f>
        <v>195639.386</v>
      </c>
      <c r="AI22" s="84">
        <f>+'Tuition-2Yr'!AI22+'State Appropriations-2Yr'!AI22+'Local Appropriations-2Yr'!AI22+'Fed Contracts Grnts-2Yr'!AI22+'Other Contracts Grnts-2Yr'!AI22+'Investment Income-2Yr'!AI22+'All Other E&amp;G-2Yr'!AI22</f>
        <v>201043.98199999999</v>
      </c>
      <c r="AJ22" s="84">
        <f>+'Tuition-2Yr'!AJ22+'State Appropriations-2Yr'!AJ22+'Local Appropriations-2Yr'!AJ22+'Fed Contracts Grnts-2Yr'!AJ22+'Other Contracts Grnts-2Yr'!AJ22+'Investment Income-2Yr'!AJ22+'All Other E&amp;G-2Yr'!AJ22</f>
        <v>0</v>
      </c>
      <c r="AK22" s="84">
        <f>+'Tuition-2Yr'!AK22+'State Appropriations-2Yr'!AK22+'Local Appropriations-2Yr'!AK22+'Fed Contracts Grnts-2Yr'!AK22+'Other Contracts Grnts-2Yr'!AK22+'Investment Income-2Yr'!AK22+'All Other E&amp;G-2Yr'!AK22</f>
        <v>192176.56499999997</v>
      </c>
      <c r="AL22" s="84">
        <f>+'Tuition-2Yr'!AL22+'State Appropriations-2Yr'!AL22+'Local Appropriations-2Yr'!AL22+'Fed Contracts Grnts-2Yr'!AL22+'Other Contracts Grnts-2Yr'!AL22+'Investment Income-2Yr'!AL22+'All Other E&amp;G-2Yr'!AL22</f>
        <v>189944.87000000002</v>
      </c>
    </row>
    <row r="23" spans="1:38" ht="12.75" customHeight="1">
      <c r="A23" s="6" t="s">
        <v>38</v>
      </c>
      <c r="B23" s="83">
        <f>+'Tuition-2Yr'!B23+'State Appropriations-2Yr'!B23+'Local Appropriations-2Yr'!B23+'Fed Contracts Grnts-2Yr'!B23+'Other Contracts Grnts-2Yr'!B23+'Investment Income-2Yr'!B23+'All Other E&amp;G-2Yr'!B23</f>
        <v>0</v>
      </c>
      <c r="C23" s="83">
        <f>+'Tuition-2Yr'!C23+'State Appropriations-2Yr'!C23+'Local Appropriations-2Yr'!C23+'Fed Contracts Grnts-2Yr'!C23+'Other Contracts Grnts-2Yr'!C23+'Investment Income-2Yr'!C23+'All Other E&amp;G-2Yr'!C23</f>
        <v>0</v>
      </c>
      <c r="D23" s="83">
        <f>+'Tuition-2Yr'!D23+'State Appropriations-2Yr'!D23+'Local Appropriations-2Yr'!D23+'Fed Contracts Grnts-2Yr'!D23+'Other Contracts Grnts-2Yr'!D23+'Investment Income-2Yr'!D23+'All Other E&amp;G-2Yr'!D23</f>
        <v>0</v>
      </c>
      <c r="E23" s="83">
        <f>+'Tuition-2Yr'!E23+'State Appropriations-2Yr'!E23+'Local Appropriations-2Yr'!E23+'Fed Contracts Grnts-2Yr'!E23+'Other Contracts Grnts-2Yr'!E23+'Investment Income-2Yr'!E23+'All Other E&amp;G-2Yr'!E23</f>
        <v>0</v>
      </c>
      <c r="F23" s="83">
        <f>+'Tuition-2Yr'!F23+'State Appropriations-2Yr'!F23+'Local Appropriations-2Yr'!F23+'Fed Contracts Grnts-2Yr'!F23+'Other Contracts Grnts-2Yr'!F23+'Investment Income-2Yr'!F23+'All Other E&amp;G-2Yr'!F23</f>
        <v>0</v>
      </c>
      <c r="G23" s="83">
        <f>+'Tuition-2Yr'!G23+'State Appropriations-2Yr'!G23+'Local Appropriations-2Yr'!G23+'Fed Contracts Grnts-2Yr'!G23+'Other Contracts Grnts-2Yr'!G23+'Investment Income-2Yr'!G23+'All Other E&amp;G-2Yr'!G23</f>
        <v>0</v>
      </c>
      <c r="H23" s="83">
        <f>+'Tuition-2Yr'!H23+'State Appropriations-2Yr'!H23+'Local Appropriations-2Yr'!H23+'Fed Contracts Grnts-2Yr'!H23+'Other Contracts Grnts-2Yr'!H23+'Investment Income-2Yr'!H23+'All Other E&amp;G-2Yr'!H23</f>
        <v>0</v>
      </c>
      <c r="I23" s="83">
        <f>+'Tuition-2Yr'!I23+'State Appropriations-2Yr'!I23+'Local Appropriations-2Yr'!I23+'Fed Contracts Grnts-2Yr'!I23+'Other Contracts Grnts-2Yr'!I23+'Investment Income-2Yr'!I23+'All Other E&amp;G-2Yr'!I23</f>
        <v>0</v>
      </c>
      <c r="J23" s="83">
        <f>+'Tuition-2Yr'!J23+'State Appropriations-2Yr'!J23+'Local Appropriations-2Yr'!J23+'Fed Contracts Grnts-2Yr'!J23+'Other Contracts Grnts-2Yr'!J23+'Investment Income-2Yr'!J23+'All Other E&amp;G-2Yr'!J23</f>
        <v>5452487.7419999996</v>
      </c>
      <c r="K23" s="83">
        <f>+'Tuition-2Yr'!K23+'State Appropriations-2Yr'!K23+'Local Appropriations-2Yr'!K23+'Fed Contracts Grnts-2Yr'!K23+'Other Contracts Grnts-2Yr'!K23+'Investment Income-2Yr'!K23+'All Other E&amp;G-2Yr'!K23</f>
        <v>0</v>
      </c>
      <c r="L23" s="83">
        <f>+'Tuition-2Yr'!L23+'State Appropriations-2Yr'!L23+'Local Appropriations-2Yr'!L23+'Fed Contracts Grnts-2Yr'!L23+'Other Contracts Grnts-2Yr'!L23+'Investment Income-2Yr'!L23+'All Other E&amp;G-2Yr'!L23</f>
        <v>0</v>
      </c>
      <c r="M23" s="83">
        <f>+'Tuition-2Yr'!M23+'State Appropriations-2Yr'!M23+'Local Appropriations-2Yr'!M23+'Fed Contracts Grnts-2Yr'!M23+'Other Contracts Grnts-2Yr'!M23+'Investment Income-2Yr'!M23+'All Other E&amp;G-2Yr'!M23</f>
        <v>5983536.8940000003</v>
      </c>
      <c r="N23" s="83">
        <f>+'Tuition-2Yr'!N23+'State Appropriations-2Yr'!N23+'Local Appropriations-2Yr'!N23+'Fed Contracts Grnts-2Yr'!N23+'Other Contracts Grnts-2Yr'!N23+'Investment Income-2Yr'!N23+'All Other E&amp;G-2Yr'!N23</f>
        <v>0</v>
      </c>
      <c r="O23" s="83">
        <f>+'Tuition-2Yr'!O23+'State Appropriations-2Yr'!O23+'Local Appropriations-2Yr'!O23+'Fed Contracts Grnts-2Yr'!O23+'Other Contracts Grnts-2Yr'!O23+'Investment Income-2Yr'!O23+'All Other E&amp;G-2Yr'!O23</f>
        <v>7259180.4621299999</v>
      </c>
      <c r="P23" s="83">
        <f>+'Tuition-2Yr'!P23+'State Appropriations-2Yr'!P23+'Local Appropriations-2Yr'!P23+'Fed Contracts Grnts-2Yr'!P23+'Other Contracts Grnts-2Yr'!P23+'Investment Income-2Yr'!P23+'All Other E&amp;G-2Yr'!P23</f>
        <v>0</v>
      </c>
      <c r="Q23" s="83">
        <f>+'Tuition-2Yr'!Q23+'State Appropriations-2Yr'!Q23+'Local Appropriations-2Yr'!Q23+'Fed Contracts Grnts-2Yr'!Q23+'Other Contracts Grnts-2Yr'!Q23+'Investment Income-2Yr'!Q23+'All Other E&amp;G-2Yr'!Q23</f>
        <v>0</v>
      </c>
      <c r="R23" s="83">
        <f>+'Tuition-2Yr'!R23+'State Appropriations-2Yr'!R23+'Local Appropriations-2Yr'!R23+'Fed Contracts Grnts-2Yr'!R23+'Other Contracts Grnts-2Yr'!R23+'Investment Income-2Yr'!R23+'All Other E&amp;G-2Yr'!R23</f>
        <v>7361464.4110000012</v>
      </c>
      <c r="S23" s="83">
        <f>+'Tuition-2Yr'!S23+'State Appropriations-2Yr'!S23+'Local Appropriations-2Yr'!S23+'Fed Contracts Grnts-2Yr'!S23+'Other Contracts Grnts-2Yr'!S23+'Investment Income-2Yr'!S23+'All Other E&amp;G-2Yr'!S23</f>
        <v>8597464.2509999983</v>
      </c>
      <c r="T23" s="83">
        <f>+'Tuition-2Yr'!T23+'State Appropriations-2Yr'!T23+'Local Appropriations-2Yr'!T23+'Fed Contracts Grnts-2Yr'!T23+'Other Contracts Grnts-2Yr'!T23+'Investment Income-2Yr'!T23+'All Other E&amp;G-2Yr'!T23</f>
        <v>8860285.3469999991</v>
      </c>
      <c r="U23" s="83">
        <f>+'Tuition-2Yr'!U23+'State Appropriations-2Yr'!U23+'Local Appropriations-2Yr'!U23+'Fed Contracts Grnts-2Yr'!U23+'Other Contracts Grnts-2Yr'!U23+'Investment Income-2Yr'!U23+'All Other E&amp;G-2Yr'!U23</f>
        <v>8833606.477</v>
      </c>
      <c r="V23" s="83">
        <f>+'Tuition-2Yr'!V23+'State Appropriations-2Yr'!V23+'Local Appropriations-2Yr'!V23+'Fed Contracts Grnts-2Yr'!V23+'Other Contracts Grnts-2Yr'!V23+'Investment Income-2Yr'!V23+'All Other E&amp;G-2Yr'!V23</f>
        <v>9134696.436999999</v>
      </c>
      <c r="W23" s="83">
        <f>+'Tuition-2Yr'!W23+'State Appropriations-2Yr'!W23+'Local Appropriations-2Yr'!W23+'Fed Contracts Grnts-2Yr'!W23+'Other Contracts Grnts-2Yr'!W23+'Investment Income-2Yr'!W23+'All Other E&amp;G-2Yr'!W23</f>
        <v>11930116.678000001</v>
      </c>
      <c r="X23" s="83">
        <f>+'Tuition-2Yr'!X23+'State Appropriations-2Yr'!X23+'Local Appropriations-2Yr'!X23+'Fed Contracts Grnts-2Yr'!X23+'Other Contracts Grnts-2Yr'!X23+'Investment Income-2Yr'!X23+'All Other E&amp;G-2Yr'!X23</f>
        <v>12229986.461000001</v>
      </c>
      <c r="Y23" s="83">
        <f>+'Tuition-2Yr'!Y23+'State Appropriations-2Yr'!Y23+'Local Appropriations-2Yr'!Y23+'Fed Contracts Grnts-2Yr'!Y23+'Other Contracts Grnts-2Yr'!Y23+'Investment Income-2Yr'!Y23+'All Other E&amp;G-2Yr'!Y23</f>
        <v>13153348.823000001</v>
      </c>
      <c r="Z23" s="83">
        <f>+'Tuition-2Yr'!Z23+'State Appropriations-2Yr'!Z23+'Local Appropriations-2Yr'!Z23+'Fed Contracts Grnts-2Yr'!Z23+'Other Contracts Grnts-2Yr'!Z23+'Investment Income-2Yr'!Z23+'All Other E&amp;G-2Yr'!Z23</f>
        <v>14184298.366000002</v>
      </c>
      <c r="AA23" s="83">
        <f>+'Tuition-2Yr'!AA23+'State Appropriations-2Yr'!AA23+'Local Appropriations-2Yr'!AA23+'Fed Contracts Grnts-2Yr'!AA23+'Other Contracts Grnts-2Yr'!AA23+'Investment Income-2Yr'!AA23+'All Other E&amp;G-2Yr'!AA23</f>
        <v>16123631.979</v>
      </c>
      <c r="AB23" s="83">
        <f>+'Tuition-2Yr'!AB23+'State Appropriations-2Yr'!AB23+'Local Appropriations-2Yr'!AB23+'Fed Contracts Grnts-2Yr'!AB23+'Other Contracts Grnts-2Yr'!AB23+'Investment Income-2Yr'!AB23+'All Other E&amp;G-2Yr'!AB23</f>
        <v>17276977.794</v>
      </c>
      <c r="AC23" s="83">
        <f>+'Tuition-2Yr'!AC23+'State Appropriations-2Yr'!AC23+'Local Appropriations-2Yr'!AC23+'Fed Contracts Grnts-2Yr'!AC23+'Other Contracts Grnts-2Yr'!AC23+'Investment Income-2Yr'!AC23+'All Other E&amp;G-2Yr'!AC23</f>
        <v>18796526</v>
      </c>
      <c r="AD23" s="83">
        <f>+'Tuition-2Yr'!AD23+'State Appropriations-2Yr'!AD23+'Local Appropriations-2Yr'!AD23+'Fed Contracts Grnts-2Yr'!AD23+'Other Contracts Grnts-2Yr'!AD23+'Investment Income-2Yr'!AD23+'All Other E&amp;G-2Yr'!AD23</f>
        <v>17910552.269000001</v>
      </c>
      <c r="AE23" s="83">
        <f>+'Tuition-2Yr'!AE23+'State Appropriations-2Yr'!AE23+'Local Appropriations-2Yr'!AE23+'Fed Contracts Grnts-2Yr'!AE23+'Other Contracts Grnts-2Yr'!AE23+'Investment Income-2Yr'!AE23+'All Other E&amp;G-2Yr'!AE23</f>
        <v>18144469.123999998</v>
      </c>
      <c r="AF23" s="83">
        <f>+'Tuition-2Yr'!AF23+'State Appropriations-2Yr'!AF23+'Local Appropriations-2Yr'!AF23+'Fed Contracts Grnts-2Yr'!AF23+'Other Contracts Grnts-2Yr'!AF23+'Investment Income-2Yr'!AF23+'All Other E&amp;G-2Yr'!AF23</f>
        <v>13674606.623</v>
      </c>
      <c r="AG23" s="83">
        <f>+'Tuition-2Yr'!AG23+'State Appropriations-2Yr'!AG23+'Local Appropriations-2Yr'!AG23+'Fed Contracts Grnts-2Yr'!AG23+'Other Contracts Grnts-2Yr'!AG23+'Investment Income-2Yr'!AG23+'All Other E&amp;G-2Yr'!AG23</f>
        <v>13837361.827000001</v>
      </c>
      <c r="AH23" s="113">
        <f>+'Tuition-2Yr'!AH23+'State Appropriations-2Yr'!AH23+'Local Appropriations-2Yr'!AH23+'Fed Contracts Grnts-2Yr'!AH23+'Other Contracts Grnts-2Yr'!AH23+'Investment Income-2Yr'!AH23+'All Other E&amp;G-2Yr'!AH23</f>
        <v>20346102.557</v>
      </c>
      <c r="AI23" s="83">
        <f>+'Tuition-2Yr'!AI23+'State Appropriations-2Yr'!AI23+'Local Appropriations-2Yr'!AI23+'Fed Contracts Grnts-2Yr'!AI23+'Other Contracts Grnts-2Yr'!AI23+'Investment Income-2Yr'!AI23+'All Other E&amp;G-2Yr'!AI23</f>
        <v>20505342.756999999</v>
      </c>
      <c r="AJ23" s="83">
        <f>+'Tuition-2Yr'!AJ23+'State Appropriations-2Yr'!AJ23+'Local Appropriations-2Yr'!AJ23+'Fed Contracts Grnts-2Yr'!AJ23+'Other Contracts Grnts-2Yr'!AJ23+'Investment Income-2Yr'!AJ23+'All Other E&amp;G-2Yr'!AJ23</f>
        <v>0</v>
      </c>
      <c r="AK23" s="83">
        <f>+'Tuition-2Yr'!AK23+'State Appropriations-2Yr'!AK23+'Local Appropriations-2Yr'!AK23+'Fed Contracts Grnts-2Yr'!AK23+'Other Contracts Grnts-2Yr'!AK23+'Investment Income-2Yr'!AK23+'All Other E&amp;G-2Yr'!AK23</f>
        <v>24931768.357999999</v>
      </c>
      <c r="AL23" s="83">
        <f>+'Tuition-2Yr'!AL23+'State Appropriations-2Yr'!AL23+'Local Appropriations-2Yr'!AL23+'Fed Contracts Grnts-2Yr'!AL23+'Other Contracts Grnts-2Yr'!AL23+'Investment Income-2Yr'!AL23+'All Other E&amp;G-2Yr'!AL23</f>
        <v>23923744.827999998</v>
      </c>
    </row>
    <row r="24" spans="1:38" ht="12.75" customHeight="1">
      <c r="A24" s="6" t="s">
        <v>94</v>
      </c>
      <c r="B24" s="83">
        <f>+'Tuition-2Yr'!B24+'State Appropriations-2Yr'!B24+'Local Appropriations-2Yr'!B24+'Fed Contracts Grnts-2Yr'!B24+'Other Contracts Grnts-2Yr'!B24+'Investment Income-2Yr'!B24+'All Other E&amp;G-2Yr'!B24</f>
        <v>0</v>
      </c>
      <c r="C24" s="83">
        <f>+'Tuition-2Yr'!C24+'State Appropriations-2Yr'!C24+'Local Appropriations-2Yr'!C24+'Fed Contracts Grnts-2Yr'!C24+'Other Contracts Grnts-2Yr'!C24+'Investment Income-2Yr'!C24+'All Other E&amp;G-2Yr'!C24</f>
        <v>0</v>
      </c>
      <c r="D24" s="83">
        <f>+'Tuition-2Yr'!D24+'State Appropriations-2Yr'!D24+'Local Appropriations-2Yr'!D24+'Fed Contracts Grnts-2Yr'!D24+'Other Contracts Grnts-2Yr'!D24+'Investment Income-2Yr'!D24+'All Other E&amp;G-2Yr'!D24</f>
        <v>0</v>
      </c>
      <c r="E24" s="83">
        <f>+'Tuition-2Yr'!E24+'State Appropriations-2Yr'!E24+'Local Appropriations-2Yr'!E24+'Fed Contracts Grnts-2Yr'!E24+'Other Contracts Grnts-2Yr'!E24+'Investment Income-2Yr'!E24+'All Other E&amp;G-2Yr'!E24</f>
        <v>0</v>
      </c>
      <c r="F24" s="83">
        <f>+'Tuition-2Yr'!F24+'State Appropriations-2Yr'!F24+'Local Appropriations-2Yr'!F24+'Fed Contracts Grnts-2Yr'!F24+'Other Contracts Grnts-2Yr'!F24+'Investment Income-2Yr'!F24+'All Other E&amp;G-2Yr'!F24</f>
        <v>0</v>
      </c>
      <c r="G24" s="83">
        <f>+'Tuition-2Yr'!G24+'State Appropriations-2Yr'!G24+'Local Appropriations-2Yr'!G24+'Fed Contracts Grnts-2Yr'!G24+'Other Contracts Grnts-2Yr'!G24+'Investment Income-2Yr'!G24+'All Other E&amp;G-2Yr'!G24</f>
        <v>0</v>
      </c>
      <c r="H24" s="83">
        <f>+'Tuition-2Yr'!H24+'State Appropriations-2Yr'!H24+'Local Appropriations-2Yr'!H24+'Fed Contracts Grnts-2Yr'!H24+'Other Contracts Grnts-2Yr'!H24+'Investment Income-2Yr'!H24+'All Other E&amp;G-2Yr'!H24</f>
        <v>0</v>
      </c>
      <c r="I24" s="83">
        <f>+'Tuition-2Yr'!I24+'State Appropriations-2Yr'!I24+'Local Appropriations-2Yr'!I24+'Fed Contracts Grnts-2Yr'!I24+'Other Contracts Grnts-2Yr'!I24+'Investment Income-2Yr'!I24+'All Other E&amp;G-2Yr'!I24</f>
        <v>0</v>
      </c>
      <c r="J24" s="83">
        <f>+'Tuition-2Yr'!J24+'State Appropriations-2Yr'!J24+'Local Appropriations-2Yr'!J24+'Fed Contracts Grnts-2Yr'!J24+'Other Contracts Grnts-2Yr'!J24+'Investment Income-2Yr'!J24+'All Other E&amp;G-2Yr'!J24</f>
        <v>0</v>
      </c>
      <c r="K24" s="83">
        <f>+'Tuition-2Yr'!K24+'State Appropriations-2Yr'!K24+'Local Appropriations-2Yr'!K24+'Fed Contracts Grnts-2Yr'!K24+'Other Contracts Grnts-2Yr'!K24+'Investment Income-2Yr'!K24+'All Other E&amp;G-2Yr'!K24</f>
        <v>0</v>
      </c>
      <c r="L24" s="83">
        <f>+'Tuition-2Yr'!L24+'State Appropriations-2Yr'!L24+'Local Appropriations-2Yr'!L24+'Fed Contracts Grnts-2Yr'!L24+'Other Contracts Grnts-2Yr'!L24+'Investment Income-2Yr'!L24+'All Other E&amp;G-2Yr'!L24</f>
        <v>0</v>
      </c>
      <c r="M24" s="83">
        <f>+'Tuition-2Yr'!M24+'State Appropriations-2Yr'!M24+'Local Appropriations-2Yr'!M24+'Fed Contracts Grnts-2Yr'!M24+'Other Contracts Grnts-2Yr'!M24+'Investment Income-2Yr'!M24+'All Other E&amp;G-2Yr'!M24</f>
        <v>0</v>
      </c>
      <c r="N24" s="83">
        <f>+'Tuition-2Yr'!N24+'State Appropriations-2Yr'!N24+'Local Appropriations-2Yr'!N24+'Fed Contracts Grnts-2Yr'!N24+'Other Contracts Grnts-2Yr'!N24+'Investment Income-2Yr'!N24+'All Other E&amp;G-2Yr'!N24</f>
        <v>0</v>
      </c>
      <c r="O24" s="83">
        <f>+'Tuition-2Yr'!O24+'State Appropriations-2Yr'!O24+'Local Appropriations-2Yr'!O24+'Fed Contracts Grnts-2Yr'!O24+'Other Contracts Grnts-2Yr'!O24+'Investment Income-2Yr'!O24+'All Other E&amp;G-2Yr'!O24</f>
        <v>0</v>
      </c>
      <c r="P24" s="83">
        <f>+'Tuition-2Yr'!P24+'State Appropriations-2Yr'!P24+'Local Appropriations-2Yr'!P24+'Fed Contracts Grnts-2Yr'!P24+'Other Contracts Grnts-2Yr'!P24+'Investment Income-2Yr'!P24+'All Other E&amp;G-2Yr'!P24</f>
        <v>0</v>
      </c>
      <c r="Q24" s="83">
        <f>+'Tuition-2Yr'!Q24+'State Appropriations-2Yr'!Q24+'Local Appropriations-2Yr'!Q24+'Fed Contracts Grnts-2Yr'!Q24+'Other Contracts Grnts-2Yr'!Q24+'Investment Income-2Yr'!Q24+'All Other E&amp;G-2Yr'!Q24</f>
        <v>0</v>
      </c>
      <c r="R24" s="83">
        <f>+'Tuition-2Yr'!R24+'State Appropriations-2Yr'!R24+'Local Appropriations-2Yr'!R24+'Fed Contracts Grnts-2Yr'!R24+'Other Contracts Grnts-2Yr'!R24+'Investment Income-2Yr'!R24+'All Other E&amp;G-2Yr'!R24</f>
        <v>0</v>
      </c>
      <c r="S24" s="83">
        <f>+'Tuition-2Yr'!S24+'State Appropriations-2Yr'!S24+'Local Appropriations-2Yr'!S24+'Fed Contracts Grnts-2Yr'!S24+'Other Contracts Grnts-2Yr'!S24+'Investment Income-2Yr'!S24+'All Other E&amp;G-2Yr'!S24</f>
        <v>0</v>
      </c>
      <c r="T24" s="83">
        <f>+'Tuition-2Yr'!T24+'State Appropriations-2Yr'!T24+'Local Appropriations-2Yr'!T24+'Fed Contracts Grnts-2Yr'!T24+'Other Contracts Grnts-2Yr'!T24+'Investment Income-2Yr'!T24+'All Other E&amp;G-2Yr'!T24</f>
        <v>0</v>
      </c>
      <c r="U24" s="83">
        <f>+'Tuition-2Yr'!U24+'State Appropriations-2Yr'!U24+'Local Appropriations-2Yr'!U24+'Fed Contracts Grnts-2Yr'!U24+'Other Contracts Grnts-2Yr'!U24+'Investment Income-2Yr'!U24+'All Other E&amp;G-2Yr'!U24</f>
        <v>0</v>
      </c>
      <c r="V24" s="83">
        <f>+'Tuition-2Yr'!V24+'State Appropriations-2Yr'!V24+'Local Appropriations-2Yr'!V24+'Fed Contracts Grnts-2Yr'!V24+'Other Contracts Grnts-2Yr'!V24+'Investment Income-2Yr'!V24+'All Other E&amp;G-2Yr'!V24</f>
        <v>0</v>
      </c>
      <c r="W24" s="83">
        <f>+'Tuition-2Yr'!W24+'State Appropriations-2Yr'!W24+'Local Appropriations-2Yr'!W24+'Fed Contracts Grnts-2Yr'!W24+'Other Contracts Grnts-2Yr'!W24+'Investment Income-2Yr'!W24+'All Other E&amp;G-2Yr'!W24</f>
        <v>0</v>
      </c>
      <c r="X24" s="83">
        <f>+'Tuition-2Yr'!X24+'State Appropriations-2Yr'!X24+'Local Appropriations-2Yr'!X24+'Fed Contracts Grnts-2Yr'!X24+'Other Contracts Grnts-2Yr'!X24+'Investment Income-2Yr'!X24+'All Other E&amp;G-2Yr'!X24</f>
        <v>0</v>
      </c>
      <c r="Y24" s="83">
        <f>+'Tuition-2Yr'!Y24+'State Appropriations-2Yr'!Y24+'Local Appropriations-2Yr'!Y24+'Fed Contracts Grnts-2Yr'!Y24+'Other Contracts Grnts-2Yr'!Y24+'Investment Income-2Yr'!Y24+'All Other E&amp;G-2Yr'!Y24</f>
        <v>0</v>
      </c>
      <c r="Z24" s="83">
        <f>+'Tuition-2Yr'!Z24+'State Appropriations-2Yr'!Z24+'Local Appropriations-2Yr'!Z24+'Fed Contracts Grnts-2Yr'!Z24+'Other Contracts Grnts-2Yr'!Z24+'Investment Income-2Yr'!Z24+'All Other E&amp;G-2Yr'!Z24</f>
        <v>0</v>
      </c>
      <c r="AA24" s="83">
        <f>+'Tuition-2Yr'!AA24+'State Appropriations-2Yr'!AA24+'Local Appropriations-2Yr'!AA24+'Fed Contracts Grnts-2Yr'!AA24+'Other Contracts Grnts-2Yr'!AA24+'Investment Income-2Yr'!AA24+'All Other E&amp;G-2Yr'!AA24</f>
        <v>0</v>
      </c>
      <c r="AB24" s="83">
        <f>+'Tuition-2Yr'!AB24+'State Appropriations-2Yr'!AB24+'Local Appropriations-2Yr'!AB24+'Fed Contracts Grnts-2Yr'!AB24+'Other Contracts Grnts-2Yr'!AB24+'Investment Income-2Yr'!AB24+'All Other E&amp;G-2Yr'!AB24</f>
        <v>0</v>
      </c>
      <c r="AC24" s="83">
        <f>+'Tuition-2Yr'!AC24+'State Appropriations-2Yr'!AC24+'Local Appropriations-2Yr'!AC24+'Fed Contracts Grnts-2Yr'!AC24+'Other Contracts Grnts-2Yr'!AC24+'Investment Income-2Yr'!AC24+'All Other E&amp;G-2Yr'!AC24</f>
        <v>0</v>
      </c>
      <c r="AD24" s="83">
        <f>+'Tuition-2Yr'!AD24+'State Appropriations-2Yr'!AD24+'Local Appropriations-2Yr'!AD24+'Fed Contracts Grnts-2Yr'!AD24+'Other Contracts Grnts-2Yr'!AD24+'Investment Income-2Yr'!AD24+'All Other E&amp;G-2Yr'!AD24</f>
        <v>0</v>
      </c>
      <c r="AE24" s="83">
        <f>+'Tuition-2Yr'!AE24+'State Appropriations-2Yr'!AE24+'Local Appropriations-2Yr'!AE24+'Fed Contracts Grnts-2Yr'!AE24+'Other Contracts Grnts-2Yr'!AE24+'Investment Income-2Yr'!AE24+'All Other E&amp;G-2Yr'!AE24</f>
        <v>0</v>
      </c>
      <c r="AF24" s="83">
        <f>+'Tuition-2Yr'!AF24+'State Appropriations-2Yr'!AF24+'Local Appropriations-2Yr'!AF24+'Fed Contracts Grnts-2Yr'!AF24+'Other Contracts Grnts-2Yr'!AF24+'Investment Income-2Yr'!AF24+'All Other E&amp;G-2Yr'!AF24</f>
        <v>0</v>
      </c>
      <c r="AG24" s="83">
        <f>+'Tuition-2Yr'!AG24+'State Appropriations-2Yr'!AG24+'Local Appropriations-2Yr'!AG24+'Fed Contracts Grnts-2Yr'!AG24+'Other Contracts Grnts-2Yr'!AG24+'Investment Income-2Yr'!AG24+'All Other E&amp;G-2Yr'!AG24</f>
        <v>0</v>
      </c>
      <c r="AH24" s="83">
        <f>+'Tuition-2Yr'!AH24+'State Appropriations-2Yr'!AH24+'Local Appropriations-2Yr'!AH24+'Fed Contracts Grnts-2Yr'!AH24+'Other Contracts Grnts-2Yr'!AH24+'Investment Income-2Yr'!AH24+'All Other E&amp;G-2Yr'!AH24</f>
        <v>0</v>
      </c>
      <c r="AI24" s="83">
        <f>+'Tuition-2Yr'!AI24+'State Appropriations-2Yr'!AI24+'Local Appropriations-2Yr'!AI24+'Fed Contracts Grnts-2Yr'!AI24+'Other Contracts Grnts-2Yr'!AI24+'Investment Income-2Yr'!AI24+'All Other E&amp;G-2Yr'!AI24</f>
        <v>0</v>
      </c>
      <c r="AJ24" s="83">
        <f>+'Tuition-2Yr'!AJ24+'State Appropriations-2Yr'!AJ24+'Local Appropriations-2Yr'!AJ24+'Fed Contracts Grnts-2Yr'!AJ24+'Other Contracts Grnts-2Yr'!AJ24+'Investment Income-2Yr'!AJ24+'All Other E&amp;G-2Yr'!AJ24</f>
        <v>0</v>
      </c>
      <c r="AK24" s="83">
        <f>+'Tuition-2Yr'!AK24+'State Appropriations-2Yr'!AK24+'Local Appropriations-2Yr'!AK24+'Fed Contracts Grnts-2Yr'!AK24+'Other Contracts Grnts-2Yr'!AK24+'Investment Income-2Yr'!AK24+'All Other E&amp;G-2Yr'!AK24</f>
        <v>0</v>
      </c>
      <c r="AL24" s="83">
        <f>+'Tuition-2Yr'!AL24+'State Appropriations-2Yr'!AL24+'Local Appropriations-2Yr'!AL24+'Fed Contracts Grnts-2Yr'!AL24+'Other Contracts Grnts-2Yr'!AL24+'Investment Income-2Yr'!AL24+'All Other E&amp;G-2Yr'!AL24</f>
        <v>0</v>
      </c>
    </row>
    <row r="25" spans="1:38" ht="12.75" customHeight="1">
      <c r="A25" s="1" t="s">
        <v>39</v>
      </c>
      <c r="B25" s="83">
        <f>+'Tuition-2Yr'!B25+'State Appropriations-2Yr'!B25+'Local Appropriations-2Yr'!B25+'Fed Contracts Grnts-2Yr'!B25+'Other Contracts Grnts-2Yr'!B25+'Investment Income-2Yr'!B25+'All Other E&amp;G-2Yr'!B25</f>
        <v>0</v>
      </c>
      <c r="C25" s="83">
        <f>+'Tuition-2Yr'!C25+'State Appropriations-2Yr'!C25+'Local Appropriations-2Yr'!C25+'Fed Contracts Grnts-2Yr'!C25+'Other Contracts Grnts-2Yr'!C25+'Investment Income-2Yr'!C25+'All Other E&amp;G-2Yr'!C25</f>
        <v>0</v>
      </c>
      <c r="D25" s="83">
        <f>+'Tuition-2Yr'!D25+'State Appropriations-2Yr'!D25+'Local Appropriations-2Yr'!D25+'Fed Contracts Grnts-2Yr'!D25+'Other Contracts Grnts-2Yr'!D25+'Investment Income-2Yr'!D25+'All Other E&amp;G-2Yr'!D25</f>
        <v>0</v>
      </c>
      <c r="E25" s="83">
        <f>+'Tuition-2Yr'!E25+'State Appropriations-2Yr'!E25+'Local Appropriations-2Yr'!E25+'Fed Contracts Grnts-2Yr'!E25+'Other Contracts Grnts-2Yr'!E25+'Investment Income-2Yr'!E25+'All Other E&amp;G-2Yr'!E25</f>
        <v>0</v>
      </c>
      <c r="F25" s="83">
        <f>+'Tuition-2Yr'!F25+'State Appropriations-2Yr'!F25+'Local Appropriations-2Yr'!F25+'Fed Contracts Grnts-2Yr'!F25+'Other Contracts Grnts-2Yr'!F25+'Investment Income-2Yr'!F25+'All Other E&amp;G-2Yr'!F25</f>
        <v>0</v>
      </c>
      <c r="G25" s="83">
        <f>+'Tuition-2Yr'!G25+'State Appropriations-2Yr'!G25+'Local Appropriations-2Yr'!G25+'Fed Contracts Grnts-2Yr'!G25+'Other Contracts Grnts-2Yr'!G25+'Investment Income-2Yr'!G25+'All Other E&amp;G-2Yr'!G25</f>
        <v>0</v>
      </c>
      <c r="H25" s="83">
        <f>+'Tuition-2Yr'!H25+'State Appropriations-2Yr'!H25+'Local Appropriations-2Yr'!H25+'Fed Contracts Grnts-2Yr'!H25+'Other Contracts Grnts-2Yr'!H25+'Investment Income-2Yr'!H25+'All Other E&amp;G-2Yr'!H25</f>
        <v>0</v>
      </c>
      <c r="I25" s="83">
        <f>+'Tuition-2Yr'!I25+'State Appropriations-2Yr'!I25+'Local Appropriations-2Yr'!I25+'Fed Contracts Grnts-2Yr'!I25+'Other Contracts Grnts-2Yr'!I25+'Investment Income-2Yr'!I25+'All Other E&amp;G-2Yr'!I25</f>
        <v>0</v>
      </c>
      <c r="J25" s="83">
        <f>+'Tuition-2Yr'!J25+'State Appropriations-2Yr'!J25+'Local Appropriations-2Yr'!J25+'Fed Contracts Grnts-2Yr'!J25+'Other Contracts Grnts-2Yr'!J25+'Investment Income-2Yr'!J25+'All Other E&amp;G-2Yr'!J25</f>
        <v>2614.5329999999999</v>
      </c>
      <c r="K25" s="83">
        <f>+'Tuition-2Yr'!K25+'State Appropriations-2Yr'!K25+'Local Appropriations-2Yr'!K25+'Fed Contracts Grnts-2Yr'!K25+'Other Contracts Grnts-2Yr'!K25+'Investment Income-2Yr'!K25+'All Other E&amp;G-2Yr'!K25</f>
        <v>0</v>
      </c>
      <c r="L25" s="83">
        <f>+'Tuition-2Yr'!L25+'State Appropriations-2Yr'!L25+'Local Appropriations-2Yr'!L25+'Fed Contracts Grnts-2Yr'!L25+'Other Contracts Grnts-2Yr'!L25+'Investment Income-2Yr'!L25+'All Other E&amp;G-2Yr'!L25</f>
        <v>0</v>
      </c>
      <c r="M25" s="83">
        <f>+'Tuition-2Yr'!M25+'State Appropriations-2Yr'!M25+'Local Appropriations-2Yr'!M25+'Fed Contracts Grnts-2Yr'!M25+'Other Contracts Grnts-2Yr'!M25+'Investment Income-2Yr'!M25+'All Other E&amp;G-2Yr'!M25</f>
        <v>3272.1200000000003</v>
      </c>
      <c r="N25" s="83">
        <f>+'Tuition-2Yr'!N25+'State Appropriations-2Yr'!N25+'Local Appropriations-2Yr'!N25+'Fed Contracts Grnts-2Yr'!N25+'Other Contracts Grnts-2Yr'!N25+'Investment Income-2Yr'!N25+'All Other E&amp;G-2Yr'!N25</f>
        <v>0</v>
      </c>
      <c r="O25" s="83">
        <f>+'Tuition-2Yr'!O25+'State Appropriations-2Yr'!O25+'Local Appropriations-2Yr'!O25+'Fed Contracts Grnts-2Yr'!O25+'Other Contracts Grnts-2Yr'!O25+'Investment Income-2Yr'!O25+'All Other E&amp;G-2Yr'!O25</f>
        <v>3779.2739999999999</v>
      </c>
      <c r="P25" s="83">
        <f>+'Tuition-2Yr'!P25+'State Appropriations-2Yr'!P25+'Local Appropriations-2Yr'!P25+'Fed Contracts Grnts-2Yr'!P25+'Other Contracts Grnts-2Yr'!P25+'Investment Income-2Yr'!P25+'All Other E&amp;G-2Yr'!P25</f>
        <v>0</v>
      </c>
      <c r="Q25" s="83">
        <f>+'Tuition-2Yr'!Q25+'State Appropriations-2Yr'!Q25+'Local Appropriations-2Yr'!Q25+'Fed Contracts Grnts-2Yr'!Q25+'Other Contracts Grnts-2Yr'!Q25+'Investment Income-2Yr'!Q25+'All Other E&amp;G-2Yr'!Q25</f>
        <v>0</v>
      </c>
      <c r="R25" s="83">
        <f>+'Tuition-2Yr'!R25+'State Appropriations-2Yr'!R25+'Local Appropriations-2Yr'!R25+'Fed Contracts Grnts-2Yr'!R25+'Other Contracts Grnts-2Yr'!R25+'Investment Income-2Yr'!R25+'All Other E&amp;G-2Yr'!R25</f>
        <v>15186.486999999999</v>
      </c>
      <c r="S25" s="83">
        <f>+'Tuition-2Yr'!S25+'State Appropriations-2Yr'!S25+'Local Appropriations-2Yr'!S25+'Fed Contracts Grnts-2Yr'!S25+'Other Contracts Grnts-2Yr'!S25+'Investment Income-2Yr'!S25+'All Other E&amp;G-2Yr'!S25</f>
        <v>3689.9789999999998</v>
      </c>
      <c r="T25" s="83">
        <f>+'Tuition-2Yr'!T25+'State Appropriations-2Yr'!T25+'Local Appropriations-2Yr'!T25+'Fed Contracts Grnts-2Yr'!T25+'Other Contracts Grnts-2Yr'!T25+'Investment Income-2Yr'!T25+'All Other E&amp;G-2Yr'!T25</f>
        <v>16749.819</v>
      </c>
      <c r="U25" s="83">
        <f>+'Tuition-2Yr'!U25+'State Appropriations-2Yr'!U25+'Local Appropriations-2Yr'!U25+'Fed Contracts Grnts-2Yr'!U25+'Other Contracts Grnts-2Yr'!U25+'Investment Income-2Yr'!U25+'All Other E&amp;G-2Yr'!U25</f>
        <v>15151.851000000001</v>
      </c>
      <c r="V25" s="83">
        <f>+'Tuition-2Yr'!V25+'State Appropriations-2Yr'!V25+'Local Appropriations-2Yr'!V25+'Fed Contracts Grnts-2Yr'!V25+'Other Contracts Grnts-2Yr'!V25+'Investment Income-2Yr'!V25+'All Other E&amp;G-2Yr'!V25</f>
        <v>15567.792000000001</v>
      </c>
      <c r="W25" s="83">
        <f>+'Tuition-2Yr'!W25+'State Appropriations-2Yr'!W25+'Local Appropriations-2Yr'!W25+'Fed Contracts Grnts-2Yr'!W25+'Other Contracts Grnts-2Yr'!W25+'Investment Income-2Yr'!W25+'All Other E&amp;G-2Yr'!W25</f>
        <v>4421.4929999999995</v>
      </c>
      <c r="X25" s="83">
        <f>+'Tuition-2Yr'!X25+'State Appropriations-2Yr'!X25+'Local Appropriations-2Yr'!X25+'Fed Contracts Grnts-2Yr'!X25+'Other Contracts Grnts-2Yr'!X25+'Investment Income-2Yr'!X25+'All Other E&amp;G-2Yr'!X25</f>
        <v>14556.599999999999</v>
      </c>
      <c r="Y25" s="83">
        <f>+'Tuition-2Yr'!Y25+'State Appropriations-2Yr'!Y25+'Local Appropriations-2Yr'!Y25+'Fed Contracts Grnts-2Yr'!Y25+'Other Contracts Grnts-2Yr'!Y25+'Investment Income-2Yr'!Y25+'All Other E&amp;G-2Yr'!Y25</f>
        <v>15480.078999999998</v>
      </c>
      <c r="Z25" s="83">
        <f>+'Tuition-2Yr'!Z25+'State Appropriations-2Yr'!Z25+'Local Appropriations-2Yr'!Z25+'Fed Contracts Grnts-2Yr'!Z25+'Other Contracts Grnts-2Yr'!Z25+'Investment Income-2Yr'!Z25+'All Other E&amp;G-2Yr'!Z25</f>
        <v>16933.108000000004</v>
      </c>
      <c r="AA25" s="83">
        <f>+'Tuition-2Yr'!AA25+'State Appropriations-2Yr'!AA25+'Local Appropriations-2Yr'!AA25+'Fed Contracts Grnts-2Yr'!AA25+'Other Contracts Grnts-2Yr'!AA25+'Investment Income-2Yr'!AA25+'All Other E&amp;G-2Yr'!AA25</f>
        <v>17920.691999999999</v>
      </c>
      <c r="AB25" s="83">
        <f>+'Tuition-2Yr'!AB25+'State Appropriations-2Yr'!AB25+'Local Appropriations-2Yr'!AB25+'Fed Contracts Grnts-2Yr'!AB25+'Other Contracts Grnts-2Yr'!AB25+'Investment Income-2Yr'!AB25+'All Other E&amp;G-2Yr'!AB25</f>
        <v>18885.399000000001</v>
      </c>
      <c r="AC25" s="83">
        <f>+'Tuition-2Yr'!AC25+'State Appropriations-2Yr'!AC25+'Local Appropriations-2Yr'!AC25+'Fed Contracts Grnts-2Yr'!AC25+'Other Contracts Grnts-2Yr'!AC25+'Investment Income-2Yr'!AC25+'All Other E&amp;G-2Yr'!AC25</f>
        <v>6239</v>
      </c>
      <c r="AD25" s="83">
        <f>+'Tuition-2Yr'!AD25+'State Appropriations-2Yr'!AD25+'Local Appropriations-2Yr'!AD25+'Fed Contracts Grnts-2Yr'!AD25+'Other Contracts Grnts-2Yr'!AD25+'Investment Income-2Yr'!AD25+'All Other E&amp;G-2Yr'!AD25</f>
        <v>21978.303</v>
      </c>
      <c r="AE25" s="83">
        <f>+'Tuition-2Yr'!AE25+'State Appropriations-2Yr'!AE25+'Local Appropriations-2Yr'!AE25+'Fed Contracts Grnts-2Yr'!AE25+'Other Contracts Grnts-2Yr'!AE25+'Investment Income-2Yr'!AE25+'All Other E&amp;G-2Yr'!AE25</f>
        <v>36664.372000000003</v>
      </c>
      <c r="AF25" s="83">
        <f>+'Tuition-2Yr'!AF25+'State Appropriations-2Yr'!AF25+'Local Appropriations-2Yr'!AF25+'Fed Contracts Grnts-2Yr'!AF25+'Other Contracts Grnts-2Yr'!AF25+'Investment Income-2Yr'!AF25+'All Other E&amp;G-2Yr'!AF25</f>
        <v>0</v>
      </c>
      <c r="AG25" s="83">
        <f>+'Tuition-2Yr'!AG25+'State Appropriations-2Yr'!AG25+'Local Appropriations-2Yr'!AG25+'Fed Contracts Grnts-2Yr'!AG25+'Other Contracts Grnts-2Yr'!AG25+'Investment Income-2Yr'!AG25+'All Other E&amp;G-2Yr'!AG25</f>
        <v>0</v>
      </c>
      <c r="AH25" s="83">
        <f>+'Tuition-2Yr'!AH25+'State Appropriations-2Yr'!AH25+'Local Appropriations-2Yr'!AH25+'Fed Contracts Grnts-2Yr'!AH25+'Other Contracts Grnts-2Yr'!AH25+'Investment Income-2Yr'!AH25+'All Other E&amp;G-2Yr'!AH25</f>
        <v>17192.715</v>
      </c>
      <c r="AI25" s="83">
        <f>+'Tuition-2Yr'!AI25+'State Appropriations-2Yr'!AI25+'Local Appropriations-2Yr'!AI25+'Fed Contracts Grnts-2Yr'!AI25+'Other Contracts Grnts-2Yr'!AI25+'Investment Income-2Yr'!AI25+'All Other E&amp;G-2Yr'!AI25</f>
        <v>17277.368999999999</v>
      </c>
      <c r="AJ25" s="83">
        <f>+'Tuition-2Yr'!AJ25+'State Appropriations-2Yr'!AJ25+'Local Appropriations-2Yr'!AJ25+'Fed Contracts Grnts-2Yr'!AJ25+'Other Contracts Grnts-2Yr'!AJ25+'Investment Income-2Yr'!AJ25+'All Other E&amp;G-2Yr'!AJ25</f>
        <v>0</v>
      </c>
      <c r="AK25" s="83">
        <f>+'Tuition-2Yr'!AK25+'State Appropriations-2Yr'!AK25+'Local Appropriations-2Yr'!AK25+'Fed Contracts Grnts-2Yr'!AK25+'Other Contracts Grnts-2Yr'!AK25+'Investment Income-2Yr'!AK25+'All Other E&amp;G-2Yr'!AK25</f>
        <v>19346.899000000001</v>
      </c>
      <c r="AL25" s="83">
        <f>+'Tuition-2Yr'!AL25+'State Appropriations-2Yr'!AL25+'Local Appropriations-2Yr'!AL25+'Fed Contracts Grnts-2Yr'!AL25+'Other Contracts Grnts-2Yr'!AL25+'Investment Income-2Yr'!AL25+'All Other E&amp;G-2Yr'!AL25</f>
        <v>18747.893</v>
      </c>
    </row>
    <row r="26" spans="1:38" ht="12.75" customHeight="1">
      <c r="A26" s="1" t="s">
        <v>40</v>
      </c>
      <c r="B26" s="83">
        <f>+'Tuition-2Yr'!B26+'State Appropriations-2Yr'!B26+'Local Appropriations-2Yr'!B26+'Fed Contracts Grnts-2Yr'!B26+'Other Contracts Grnts-2Yr'!B26+'Investment Income-2Yr'!B26+'All Other E&amp;G-2Yr'!B26</f>
        <v>0</v>
      </c>
      <c r="C26" s="83">
        <f>+'Tuition-2Yr'!C26+'State Appropriations-2Yr'!C26+'Local Appropriations-2Yr'!C26+'Fed Contracts Grnts-2Yr'!C26+'Other Contracts Grnts-2Yr'!C26+'Investment Income-2Yr'!C26+'All Other E&amp;G-2Yr'!C26</f>
        <v>0</v>
      </c>
      <c r="D26" s="83">
        <f>+'Tuition-2Yr'!D26+'State Appropriations-2Yr'!D26+'Local Appropriations-2Yr'!D26+'Fed Contracts Grnts-2Yr'!D26+'Other Contracts Grnts-2Yr'!D26+'Investment Income-2Yr'!D26+'All Other E&amp;G-2Yr'!D26</f>
        <v>0</v>
      </c>
      <c r="E26" s="83">
        <f>+'Tuition-2Yr'!E26+'State Appropriations-2Yr'!E26+'Local Appropriations-2Yr'!E26+'Fed Contracts Grnts-2Yr'!E26+'Other Contracts Grnts-2Yr'!E26+'Investment Income-2Yr'!E26+'All Other E&amp;G-2Yr'!E26</f>
        <v>0</v>
      </c>
      <c r="F26" s="83">
        <f>+'Tuition-2Yr'!F26+'State Appropriations-2Yr'!F26+'Local Appropriations-2Yr'!F26+'Fed Contracts Grnts-2Yr'!F26+'Other Contracts Grnts-2Yr'!F26+'Investment Income-2Yr'!F26+'All Other E&amp;G-2Yr'!F26</f>
        <v>0</v>
      </c>
      <c r="G26" s="83">
        <f>+'Tuition-2Yr'!G26+'State Appropriations-2Yr'!G26+'Local Appropriations-2Yr'!G26+'Fed Contracts Grnts-2Yr'!G26+'Other Contracts Grnts-2Yr'!G26+'Investment Income-2Yr'!G26+'All Other E&amp;G-2Yr'!G26</f>
        <v>0</v>
      </c>
      <c r="H26" s="83">
        <f>+'Tuition-2Yr'!H26+'State Appropriations-2Yr'!H26+'Local Appropriations-2Yr'!H26+'Fed Contracts Grnts-2Yr'!H26+'Other Contracts Grnts-2Yr'!H26+'Investment Income-2Yr'!H26+'All Other E&amp;G-2Yr'!H26</f>
        <v>0</v>
      </c>
      <c r="I26" s="83">
        <f>+'Tuition-2Yr'!I26+'State Appropriations-2Yr'!I26+'Local Appropriations-2Yr'!I26+'Fed Contracts Grnts-2Yr'!I26+'Other Contracts Grnts-2Yr'!I26+'Investment Income-2Yr'!I26+'All Other E&amp;G-2Yr'!I26</f>
        <v>0</v>
      </c>
      <c r="J26" s="83">
        <f>+'Tuition-2Yr'!J26+'State Appropriations-2Yr'!J26+'Local Appropriations-2Yr'!J26+'Fed Contracts Grnts-2Yr'!J26+'Other Contracts Grnts-2Yr'!J26+'Investment Income-2Yr'!J26+'All Other E&amp;G-2Yr'!J26</f>
        <v>379839.27400000003</v>
      </c>
      <c r="K26" s="83">
        <f>+'Tuition-2Yr'!K26+'State Appropriations-2Yr'!K26+'Local Appropriations-2Yr'!K26+'Fed Contracts Grnts-2Yr'!K26+'Other Contracts Grnts-2Yr'!K26+'Investment Income-2Yr'!K26+'All Other E&amp;G-2Yr'!K26</f>
        <v>0</v>
      </c>
      <c r="L26" s="83">
        <f>+'Tuition-2Yr'!L26+'State Appropriations-2Yr'!L26+'Local Appropriations-2Yr'!L26+'Fed Contracts Grnts-2Yr'!L26+'Other Contracts Grnts-2Yr'!L26+'Investment Income-2Yr'!L26+'All Other E&amp;G-2Yr'!L26</f>
        <v>0</v>
      </c>
      <c r="M26" s="83">
        <f>+'Tuition-2Yr'!M26+'State Appropriations-2Yr'!M26+'Local Appropriations-2Yr'!M26+'Fed Contracts Grnts-2Yr'!M26+'Other Contracts Grnts-2Yr'!M26+'Investment Income-2Yr'!M26+'All Other E&amp;G-2Yr'!M26</f>
        <v>457411.49200000003</v>
      </c>
      <c r="N26" s="83">
        <f>+'Tuition-2Yr'!N26+'State Appropriations-2Yr'!N26+'Local Appropriations-2Yr'!N26+'Fed Contracts Grnts-2Yr'!N26+'Other Contracts Grnts-2Yr'!N26+'Investment Income-2Yr'!N26+'All Other E&amp;G-2Yr'!N26</f>
        <v>0</v>
      </c>
      <c r="O26" s="83">
        <f>+'Tuition-2Yr'!O26+'State Appropriations-2Yr'!O26+'Local Appropriations-2Yr'!O26+'Fed Contracts Grnts-2Yr'!O26+'Other Contracts Grnts-2Yr'!O26+'Investment Income-2Yr'!O26+'All Other E&amp;G-2Yr'!O26</f>
        <v>566842.54149000009</v>
      </c>
      <c r="P26" s="83">
        <f>+'Tuition-2Yr'!P26+'State Appropriations-2Yr'!P26+'Local Appropriations-2Yr'!P26+'Fed Contracts Grnts-2Yr'!P26+'Other Contracts Grnts-2Yr'!P26+'Investment Income-2Yr'!P26+'All Other E&amp;G-2Yr'!P26</f>
        <v>0</v>
      </c>
      <c r="Q26" s="83">
        <f>+'Tuition-2Yr'!Q26+'State Appropriations-2Yr'!Q26+'Local Appropriations-2Yr'!Q26+'Fed Contracts Grnts-2Yr'!Q26+'Other Contracts Grnts-2Yr'!Q26+'Investment Income-2Yr'!Q26+'All Other E&amp;G-2Yr'!Q26</f>
        <v>0</v>
      </c>
      <c r="R26" s="83">
        <f>+'Tuition-2Yr'!R26+'State Appropriations-2Yr'!R26+'Local Appropriations-2Yr'!R26+'Fed Contracts Grnts-2Yr'!R26+'Other Contracts Grnts-2Yr'!R26+'Investment Income-2Yr'!R26+'All Other E&amp;G-2Yr'!R26</f>
        <v>642711.071</v>
      </c>
      <c r="S26" s="83">
        <f>+'Tuition-2Yr'!S26+'State Appropriations-2Yr'!S26+'Local Appropriations-2Yr'!S26+'Fed Contracts Grnts-2Yr'!S26+'Other Contracts Grnts-2Yr'!S26+'Investment Income-2Yr'!S26+'All Other E&amp;G-2Yr'!S26</f>
        <v>702192.31600000011</v>
      </c>
      <c r="T26" s="83">
        <f>+'Tuition-2Yr'!T26+'State Appropriations-2Yr'!T26+'Local Appropriations-2Yr'!T26+'Fed Contracts Grnts-2Yr'!T26+'Other Contracts Grnts-2Yr'!T26+'Investment Income-2Yr'!T26+'All Other E&amp;G-2Yr'!T26</f>
        <v>822832.70199999993</v>
      </c>
      <c r="U26" s="83">
        <f>+'Tuition-2Yr'!U26+'State Appropriations-2Yr'!U26+'Local Appropriations-2Yr'!U26+'Fed Contracts Grnts-2Yr'!U26+'Other Contracts Grnts-2Yr'!U26+'Investment Income-2Yr'!U26+'All Other E&amp;G-2Yr'!U26</f>
        <v>811864.60899999994</v>
      </c>
      <c r="V26" s="83">
        <f>+'Tuition-2Yr'!V26+'State Appropriations-2Yr'!V26+'Local Appropriations-2Yr'!V26+'Fed Contracts Grnts-2Yr'!V26+'Other Contracts Grnts-2Yr'!V26+'Investment Income-2Yr'!V26+'All Other E&amp;G-2Yr'!V26</f>
        <v>881784.30700000015</v>
      </c>
      <c r="W26" s="83">
        <f>+'Tuition-2Yr'!W26+'State Appropriations-2Yr'!W26+'Local Appropriations-2Yr'!W26+'Fed Contracts Grnts-2Yr'!W26+'Other Contracts Grnts-2Yr'!W26+'Investment Income-2Yr'!W26+'All Other E&amp;G-2Yr'!W26</f>
        <v>1005398.1670000001</v>
      </c>
      <c r="X26" s="83">
        <f>+'Tuition-2Yr'!X26+'State Appropriations-2Yr'!X26+'Local Appropriations-2Yr'!X26+'Fed Contracts Grnts-2Yr'!X26+'Other Contracts Grnts-2Yr'!X26+'Investment Income-2Yr'!X26+'All Other E&amp;G-2Yr'!X26</f>
        <v>1025453.02</v>
      </c>
      <c r="Y26" s="83">
        <f>+'Tuition-2Yr'!Y26+'State Appropriations-2Yr'!Y26+'Local Appropriations-2Yr'!Y26+'Fed Contracts Grnts-2Yr'!Y26+'Other Contracts Grnts-2Yr'!Y26+'Investment Income-2Yr'!Y26+'All Other E&amp;G-2Yr'!Y26</f>
        <v>1112148.6499999999</v>
      </c>
      <c r="Z26" s="83">
        <f>+'Tuition-2Yr'!Z26+'State Appropriations-2Yr'!Z26+'Local Appropriations-2Yr'!Z26+'Fed Contracts Grnts-2Yr'!Z26+'Other Contracts Grnts-2Yr'!Z26+'Investment Income-2Yr'!Z26+'All Other E&amp;G-2Yr'!Z26</f>
        <v>1171906.97</v>
      </c>
      <c r="AA26" s="83">
        <f>+'Tuition-2Yr'!AA26+'State Appropriations-2Yr'!AA26+'Local Appropriations-2Yr'!AA26+'Fed Contracts Grnts-2Yr'!AA26+'Other Contracts Grnts-2Yr'!AA26+'Investment Income-2Yr'!AA26+'All Other E&amp;G-2Yr'!AA26</f>
        <v>1332833.5390000001</v>
      </c>
      <c r="AB26" s="83">
        <f>+'Tuition-2Yr'!AB26+'State Appropriations-2Yr'!AB26+'Local Appropriations-2Yr'!AB26+'Fed Contracts Grnts-2Yr'!AB26+'Other Contracts Grnts-2Yr'!AB26+'Investment Income-2Yr'!AB26+'All Other E&amp;G-2Yr'!AB26</f>
        <v>1470315.561</v>
      </c>
      <c r="AC26" s="83">
        <f>+'Tuition-2Yr'!AC26+'State Appropriations-2Yr'!AC26+'Local Appropriations-2Yr'!AC26+'Fed Contracts Grnts-2Yr'!AC26+'Other Contracts Grnts-2Yr'!AC26+'Investment Income-2Yr'!AC26+'All Other E&amp;G-2Yr'!AC26</f>
        <v>1594544</v>
      </c>
      <c r="AD26" s="83">
        <f>+'Tuition-2Yr'!AD26+'State Appropriations-2Yr'!AD26+'Local Appropriations-2Yr'!AD26+'Fed Contracts Grnts-2Yr'!AD26+'Other Contracts Grnts-2Yr'!AD26+'Investment Income-2Yr'!AD26+'All Other E&amp;G-2Yr'!AD26</f>
        <v>1566087.6229999999</v>
      </c>
      <c r="AE26" s="83">
        <f>+'Tuition-2Yr'!AE26+'State Appropriations-2Yr'!AE26+'Local Appropriations-2Yr'!AE26+'Fed Contracts Grnts-2Yr'!AE26+'Other Contracts Grnts-2Yr'!AE26+'Investment Income-2Yr'!AE26+'All Other E&amp;G-2Yr'!AE26</f>
        <v>1524708.0249999999</v>
      </c>
      <c r="AF26" s="83">
        <f>+'Tuition-2Yr'!AF26+'State Appropriations-2Yr'!AF26+'Local Appropriations-2Yr'!AF26+'Fed Contracts Grnts-2Yr'!AF26+'Other Contracts Grnts-2Yr'!AF26+'Investment Income-2Yr'!AF26+'All Other E&amp;G-2Yr'!AF26</f>
        <v>357893.587</v>
      </c>
      <c r="AG26" s="83">
        <f>+'Tuition-2Yr'!AG26+'State Appropriations-2Yr'!AG26+'Local Appropriations-2Yr'!AG26+'Fed Contracts Grnts-2Yr'!AG26+'Other Contracts Grnts-2Yr'!AG26+'Investment Income-2Yr'!AG26+'All Other E&amp;G-2Yr'!AG26</f>
        <v>363576.54100000003</v>
      </c>
      <c r="AH26" s="83">
        <f>+'Tuition-2Yr'!AH26+'State Appropriations-2Yr'!AH26+'Local Appropriations-2Yr'!AH26+'Fed Contracts Grnts-2Yr'!AH26+'Other Contracts Grnts-2Yr'!AH26+'Investment Income-2Yr'!AH26+'All Other E&amp;G-2Yr'!AH26</f>
        <v>1542798.0349999999</v>
      </c>
      <c r="AI26" s="83">
        <f>+'Tuition-2Yr'!AI26+'State Appropriations-2Yr'!AI26+'Local Appropriations-2Yr'!AI26+'Fed Contracts Grnts-2Yr'!AI26+'Other Contracts Grnts-2Yr'!AI26+'Investment Income-2Yr'!AI26+'All Other E&amp;G-2Yr'!AI26</f>
        <v>1526077.412</v>
      </c>
      <c r="AJ26" s="83">
        <f>+'Tuition-2Yr'!AJ26+'State Appropriations-2Yr'!AJ26+'Local Appropriations-2Yr'!AJ26+'Fed Contracts Grnts-2Yr'!AJ26+'Other Contracts Grnts-2Yr'!AJ26+'Investment Income-2Yr'!AJ26+'All Other E&amp;G-2Yr'!AJ26</f>
        <v>0</v>
      </c>
      <c r="AK26" s="83">
        <f>+'Tuition-2Yr'!AK26+'State Appropriations-2Yr'!AK26+'Local Appropriations-2Yr'!AK26+'Fed Contracts Grnts-2Yr'!AK26+'Other Contracts Grnts-2Yr'!AK26+'Investment Income-2Yr'!AK26+'All Other E&amp;G-2Yr'!AK26</f>
        <v>1701156.3579999998</v>
      </c>
      <c r="AL26" s="83">
        <f>+'Tuition-2Yr'!AL26+'State Appropriations-2Yr'!AL26+'Local Appropriations-2Yr'!AL26+'Fed Contracts Grnts-2Yr'!AL26+'Other Contracts Grnts-2Yr'!AL26+'Investment Income-2Yr'!AL26+'All Other E&amp;G-2Yr'!AL26</f>
        <v>1648095.098</v>
      </c>
    </row>
    <row r="27" spans="1:38" ht="12.75" customHeight="1">
      <c r="A27" s="1" t="s">
        <v>41</v>
      </c>
      <c r="B27" s="83">
        <f>+'Tuition-2Yr'!B27+'State Appropriations-2Yr'!B27+'Local Appropriations-2Yr'!B27+'Fed Contracts Grnts-2Yr'!B27+'Other Contracts Grnts-2Yr'!B27+'Investment Income-2Yr'!B27+'All Other E&amp;G-2Yr'!B27</f>
        <v>0</v>
      </c>
      <c r="C27" s="83">
        <f>+'Tuition-2Yr'!C27+'State Appropriations-2Yr'!C27+'Local Appropriations-2Yr'!C27+'Fed Contracts Grnts-2Yr'!C27+'Other Contracts Grnts-2Yr'!C27+'Investment Income-2Yr'!C27+'All Other E&amp;G-2Yr'!C27</f>
        <v>0</v>
      </c>
      <c r="D27" s="83">
        <f>+'Tuition-2Yr'!D27+'State Appropriations-2Yr'!D27+'Local Appropriations-2Yr'!D27+'Fed Contracts Grnts-2Yr'!D27+'Other Contracts Grnts-2Yr'!D27+'Investment Income-2Yr'!D27+'All Other E&amp;G-2Yr'!D27</f>
        <v>0</v>
      </c>
      <c r="E27" s="83">
        <f>+'Tuition-2Yr'!E27+'State Appropriations-2Yr'!E27+'Local Appropriations-2Yr'!E27+'Fed Contracts Grnts-2Yr'!E27+'Other Contracts Grnts-2Yr'!E27+'Investment Income-2Yr'!E27+'All Other E&amp;G-2Yr'!E27</f>
        <v>0</v>
      </c>
      <c r="F27" s="83">
        <f>+'Tuition-2Yr'!F27+'State Appropriations-2Yr'!F27+'Local Appropriations-2Yr'!F27+'Fed Contracts Grnts-2Yr'!F27+'Other Contracts Grnts-2Yr'!F27+'Investment Income-2Yr'!F27+'All Other E&amp;G-2Yr'!F27</f>
        <v>0</v>
      </c>
      <c r="G27" s="83">
        <f>+'Tuition-2Yr'!G27+'State Appropriations-2Yr'!G27+'Local Appropriations-2Yr'!G27+'Fed Contracts Grnts-2Yr'!G27+'Other Contracts Grnts-2Yr'!G27+'Investment Income-2Yr'!G27+'All Other E&amp;G-2Yr'!G27</f>
        <v>0</v>
      </c>
      <c r="H27" s="83">
        <f>+'Tuition-2Yr'!H27+'State Appropriations-2Yr'!H27+'Local Appropriations-2Yr'!H27+'Fed Contracts Grnts-2Yr'!H27+'Other Contracts Grnts-2Yr'!H27+'Investment Income-2Yr'!H27+'All Other E&amp;G-2Yr'!H27</f>
        <v>0</v>
      </c>
      <c r="I27" s="83">
        <f>+'Tuition-2Yr'!I27+'State Appropriations-2Yr'!I27+'Local Appropriations-2Yr'!I27+'Fed Contracts Grnts-2Yr'!I27+'Other Contracts Grnts-2Yr'!I27+'Investment Income-2Yr'!I27+'All Other E&amp;G-2Yr'!I27</f>
        <v>0</v>
      </c>
      <c r="J27" s="83">
        <f>+'Tuition-2Yr'!J27+'State Appropriations-2Yr'!J27+'Local Appropriations-2Yr'!J27+'Fed Contracts Grnts-2Yr'!J27+'Other Contracts Grnts-2Yr'!J27+'Investment Income-2Yr'!J27+'All Other E&amp;G-2Yr'!J27</f>
        <v>3342953.9140000008</v>
      </c>
      <c r="K27" s="83">
        <f>+'Tuition-2Yr'!K27+'State Appropriations-2Yr'!K27+'Local Appropriations-2Yr'!K27+'Fed Contracts Grnts-2Yr'!K27+'Other Contracts Grnts-2Yr'!K27+'Investment Income-2Yr'!K27+'All Other E&amp;G-2Yr'!K27</f>
        <v>0</v>
      </c>
      <c r="L27" s="83">
        <f>+'Tuition-2Yr'!L27+'State Appropriations-2Yr'!L27+'Local Appropriations-2Yr'!L27+'Fed Contracts Grnts-2Yr'!L27+'Other Contracts Grnts-2Yr'!L27+'Investment Income-2Yr'!L27+'All Other E&amp;G-2Yr'!L27</f>
        <v>0</v>
      </c>
      <c r="M27" s="83">
        <f>+'Tuition-2Yr'!M27+'State Appropriations-2Yr'!M27+'Local Appropriations-2Yr'!M27+'Fed Contracts Grnts-2Yr'!M27+'Other Contracts Grnts-2Yr'!M27+'Investment Income-2Yr'!M27+'All Other E&amp;G-2Yr'!M27</f>
        <v>3439184.7140000002</v>
      </c>
      <c r="N27" s="83">
        <f>+'Tuition-2Yr'!N27+'State Appropriations-2Yr'!N27+'Local Appropriations-2Yr'!N27+'Fed Contracts Grnts-2Yr'!N27+'Other Contracts Grnts-2Yr'!N27+'Investment Income-2Yr'!N27+'All Other E&amp;G-2Yr'!N27</f>
        <v>0</v>
      </c>
      <c r="O27" s="83">
        <f>+'Tuition-2Yr'!O27+'State Appropriations-2Yr'!O27+'Local Appropriations-2Yr'!O27+'Fed Contracts Grnts-2Yr'!O27+'Other Contracts Grnts-2Yr'!O27+'Investment Income-2Yr'!O27+'All Other E&amp;G-2Yr'!O27</f>
        <v>4308499.5686900001</v>
      </c>
      <c r="P27" s="83">
        <f>+'Tuition-2Yr'!P27+'State Appropriations-2Yr'!P27+'Local Appropriations-2Yr'!P27+'Fed Contracts Grnts-2Yr'!P27+'Other Contracts Grnts-2Yr'!P27+'Investment Income-2Yr'!P27+'All Other E&amp;G-2Yr'!P27</f>
        <v>0</v>
      </c>
      <c r="Q27" s="83">
        <f>+'Tuition-2Yr'!Q27+'State Appropriations-2Yr'!Q27+'Local Appropriations-2Yr'!Q27+'Fed Contracts Grnts-2Yr'!Q27+'Other Contracts Grnts-2Yr'!Q27+'Investment Income-2Yr'!Q27+'All Other E&amp;G-2Yr'!Q27</f>
        <v>0</v>
      </c>
      <c r="R27" s="83">
        <f>+'Tuition-2Yr'!R27+'State Appropriations-2Yr'!R27+'Local Appropriations-2Yr'!R27+'Fed Contracts Grnts-2Yr'!R27+'Other Contracts Grnts-2Yr'!R27+'Investment Income-2Yr'!R27+'All Other E&amp;G-2Yr'!R27</f>
        <v>3865154.3390000002</v>
      </c>
      <c r="S27" s="83">
        <f>+'Tuition-2Yr'!S27+'State Appropriations-2Yr'!S27+'Local Appropriations-2Yr'!S27+'Fed Contracts Grnts-2Yr'!S27+'Other Contracts Grnts-2Yr'!S27+'Investment Income-2Yr'!S27+'All Other E&amp;G-2Yr'!S27</f>
        <v>4778173.5140000014</v>
      </c>
      <c r="T27" s="83">
        <f>+'Tuition-2Yr'!T27+'State Appropriations-2Yr'!T27+'Local Appropriations-2Yr'!T27+'Fed Contracts Grnts-2Yr'!T27+'Other Contracts Grnts-2Yr'!T27+'Investment Income-2Yr'!T27+'All Other E&amp;G-2Yr'!T27</f>
        <v>4651263.3210000005</v>
      </c>
      <c r="U27" s="83">
        <f>+'Tuition-2Yr'!U27+'State Appropriations-2Yr'!U27+'Local Appropriations-2Yr'!U27+'Fed Contracts Grnts-2Yr'!U27+'Other Contracts Grnts-2Yr'!U27+'Investment Income-2Yr'!U27+'All Other E&amp;G-2Yr'!U27</f>
        <v>4544193.7700000005</v>
      </c>
      <c r="V27" s="83">
        <f>+'Tuition-2Yr'!V27+'State Appropriations-2Yr'!V27+'Local Appropriations-2Yr'!V27+'Fed Contracts Grnts-2Yr'!V27+'Other Contracts Grnts-2Yr'!V27+'Investment Income-2Yr'!V27+'All Other E&amp;G-2Yr'!V27</f>
        <v>4648934.4479999999</v>
      </c>
      <c r="W27" s="83">
        <f>+'Tuition-2Yr'!W27+'State Appropriations-2Yr'!W27+'Local Appropriations-2Yr'!W27+'Fed Contracts Grnts-2Yr'!W27+'Other Contracts Grnts-2Yr'!W27+'Investment Income-2Yr'!W27+'All Other E&amp;G-2Yr'!W27</f>
        <v>7070438.7749999985</v>
      </c>
      <c r="X27" s="83">
        <f>+'Tuition-2Yr'!X27+'State Appropriations-2Yr'!X27+'Local Appropriations-2Yr'!X27+'Fed Contracts Grnts-2Yr'!X27+'Other Contracts Grnts-2Yr'!X27+'Investment Income-2Yr'!X27+'All Other E&amp;G-2Yr'!X27</f>
        <v>7270582.5980000002</v>
      </c>
      <c r="Y27" s="83">
        <f>+'Tuition-2Yr'!Y27+'State Appropriations-2Yr'!Y27+'Local Appropriations-2Yr'!Y27+'Fed Contracts Grnts-2Yr'!Y27+'Other Contracts Grnts-2Yr'!Y27+'Investment Income-2Yr'!Y27+'All Other E&amp;G-2Yr'!Y27</f>
        <v>8235450.6590000009</v>
      </c>
      <c r="Z27" s="83">
        <f>+'Tuition-2Yr'!Z27+'State Appropriations-2Yr'!Z27+'Local Appropriations-2Yr'!Z27+'Fed Contracts Grnts-2Yr'!Z27+'Other Contracts Grnts-2Yr'!Z27+'Investment Income-2Yr'!Z27+'All Other E&amp;G-2Yr'!Z27</f>
        <v>8811543.6199999992</v>
      </c>
      <c r="AA27" s="83">
        <f>+'Tuition-2Yr'!AA27+'State Appropriations-2Yr'!AA27+'Local Appropriations-2Yr'!AA27+'Fed Contracts Grnts-2Yr'!AA27+'Other Contracts Grnts-2Yr'!AA27+'Investment Income-2Yr'!AA27+'All Other E&amp;G-2Yr'!AA27</f>
        <v>9586289.4529999997</v>
      </c>
      <c r="AB27" s="83">
        <f>+'Tuition-2Yr'!AB27+'State Appropriations-2Yr'!AB27+'Local Appropriations-2Yr'!AB27+'Fed Contracts Grnts-2Yr'!AB27+'Other Contracts Grnts-2Yr'!AB27+'Investment Income-2Yr'!AB27+'All Other E&amp;G-2Yr'!AB27</f>
        <v>9692386.5779999979</v>
      </c>
      <c r="AC27" s="83">
        <f>+'Tuition-2Yr'!AC27+'State Appropriations-2Yr'!AC27+'Local Appropriations-2Yr'!AC27+'Fed Contracts Grnts-2Yr'!AC27+'Other Contracts Grnts-2Yr'!AC27+'Investment Income-2Yr'!AC27+'All Other E&amp;G-2Yr'!AC27</f>
        <v>10771482</v>
      </c>
      <c r="AD27" s="83">
        <f>+'Tuition-2Yr'!AD27+'State Appropriations-2Yr'!AD27+'Local Appropriations-2Yr'!AD27+'Fed Contracts Grnts-2Yr'!AD27+'Other Contracts Grnts-2Yr'!AD27+'Investment Income-2Yr'!AD27+'All Other E&amp;G-2Yr'!AD27</f>
        <v>9960911.7949999999</v>
      </c>
      <c r="AE27" s="83">
        <f>+'Tuition-2Yr'!AE27+'State Appropriations-2Yr'!AE27+'Local Appropriations-2Yr'!AE27+'Fed Contracts Grnts-2Yr'!AE27+'Other Contracts Grnts-2Yr'!AE27+'Investment Income-2Yr'!AE27+'All Other E&amp;G-2Yr'!AE27</f>
        <v>10130037.069</v>
      </c>
      <c r="AF27" s="83">
        <f>+'Tuition-2Yr'!AF27+'State Appropriations-2Yr'!AF27+'Local Appropriations-2Yr'!AF27+'Fed Contracts Grnts-2Yr'!AF27+'Other Contracts Grnts-2Yr'!AF27+'Investment Income-2Yr'!AF27+'All Other E&amp;G-2Yr'!AF27</f>
        <v>7964607.2819999997</v>
      </c>
      <c r="AG27" s="83">
        <f>+'Tuition-2Yr'!AG27+'State Appropriations-2Yr'!AG27+'Local Appropriations-2Yr'!AG27+'Fed Contracts Grnts-2Yr'!AG27+'Other Contracts Grnts-2Yr'!AG27+'Investment Income-2Yr'!AG27+'All Other E&amp;G-2Yr'!AG27</f>
        <v>8324970.4280000003</v>
      </c>
      <c r="AH27" s="83">
        <f>+'Tuition-2Yr'!AH27+'State Appropriations-2Yr'!AH27+'Local Appropriations-2Yr'!AH27+'Fed Contracts Grnts-2Yr'!AH27+'Other Contracts Grnts-2Yr'!AH27+'Investment Income-2Yr'!AH27+'All Other E&amp;G-2Yr'!AH27</f>
        <v>12539540.649999999</v>
      </c>
      <c r="AI27" s="83">
        <f>+'Tuition-2Yr'!AI27+'State Appropriations-2Yr'!AI27+'Local Appropriations-2Yr'!AI27+'Fed Contracts Grnts-2Yr'!AI27+'Other Contracts Grnts-2Yr'!AI27+'Investment Income-2Yr'!AI27+'All Other E&amp;G-2Yr'!AI27</f>
        <v>12648972.768999999</v>
      </c>
      <c r="AJ27" s="83">
        <f>+'Tuition-2Yr'!AJ27+'State Appropriations-2Yr'!AJ27+'Local Appropriations-2Yr'!AJ27+'Fed Contracts Grnts-2Yr'!AJ27+'Other Contracts Grnts-2Yr'!AJ27+'Investment Income-2Yr'!AJ27+'All Other E&amp;G-2Yr'!AJ27</f>
        <v>0</v>
      </c>
      <c r="AK27" s="83">
        <f>+'Tuition-2Yr'!AK27+'State Appropriations-2Yr'!AK27+'Local Appropriations-2Yr'!AK27+'Fed Contracts Grnts-2Yr'!AK27+'Other Contracts Grnts-2Yr'!AK27+'Investment Income-2Yr'!AK27+'All Other E&amp;G-2Yr'!AK27</f>
        <v>15978211.404000001</v>
      </c>
      <c r="AL27" s="83">
        <f>+'Tuition-2Yr'!AL27+'State Appropriations-2Yr'!AL27+'Local Appropriations-2Yr'!AL27+'Fed Contracts Grnts-2Yr'!AL27+'Other Contracts Grnts-2Yr'!AL27+'Investment Income-2Yr'!AL27+'All Other E&amp;G-2Yr'!AL27</f>
        <v>15035979.189999999</v>
      </c>
    </row>
    <row r="28" spans="1:38" ht="12.75" customHeight="1">
      <c r="A28" s="1" t="s">
        <v>42</v>
      </c>
      <c r="B28" s="83">
        <f>+'Tuition-2Yr'!B28+'State Appropriations-2Yr'!B28+'Local Appropriations-2Yr'!B28+'Fed Contracts Grnts-2Yr'!B28+'Other Contracts Grnts-2Yr'!B28+'Investment Income-2Yr'!B28+'All Other E&amp;G-2Yr'!B28</f>
        <v>0</v>
      </c>
      <c r="C28" s="83">
        <f>+'Tuition-2Yr'!C28+'State Appropriations-2Yr'!C28+'Local Appropriations-2Yr'!C28+'Fed Contracts Grnts-2Yr'!C28+'Other Contracts Grnts-2Yr'!C28+'Investment Income-2Yr'!C28+'All Other E&amp;G-2Yr'!C28</f>
        <v>0</v>
      </c>
      <c r="D28" s="83">
        <f>+'Tuition-2Yr'!D28+'State Appropriations-2Yr'!D28+'Local Appropriations-2Yr'!D28+'Fed Contracts Grnts-2Yr'!D28+'Other Contracts Grnts-2Yr'!D28+'Investment Income-2Yr'!D28+'All Other E&amp;G-2Yr'!D28</f>
        <v>0</v>
      </c>
      <c r="E28" s="83">
        <f>+'Tuition-2Yr'!E28+'State Appropriations-2Yr'!E28+'Local Appropriations-2Yr'!E28+'Fed Contracts Grnts-2Yr'!E28+'Other Contracts Grnts-2Yr'!E28+'Investment Income-2Yr'!E28+'All Other E&amp;G-2Yr'!E28</f>
        <v>0</v>
      </c>
      <c r="F28" s="83">
        <f>+'Tuition-2Yr'!F28+'State Appropriations-2Yr'!F28+'Local Appropriations-2Yr'!F28+'Fed Contracts Grnts-2Yr'!F28+'Other Contracts Grnts-2Yr'!F28+'Investment Income-2Yr'!F28+'All Other E&amp;G-2Yr'!F28</f>
        <v>0</v>
      </c>
      <c r="G28" s="83">
        <f>+'Tuition-2Yr'!G28+'State Appropriations-2Yr'!G28+'Local Appropriations-2Yr'!G28+'Fed Contracts Grnts-2Yr'!G28+'Other Contracts Grnts-2Yr'!G28+'Investment Income-2Yr'!G28+'All Other E&amp;G-2Yr'!G28</f>
        <v>0</v>
      </c>
      <c r="H28" s="83">
        <f>+'Tuition-2Yr'!H28+'State Appropriations-2Yr'!H28+'Local Appropriations-2Yr'!H28+'Fed Contracts Grnts-2Yr'!H28+'Other Contracts Grnts-2Yr'!H28+'Investment Income-2Yr'!H28+'All Other E&amp;G-2Yr'!H28</f>
        <v>0</v>
      </c>
      <c r="I28" s="83">
        <f>+'Tuition-2Yr'!I28+'State Appropriations-2Yr'!I28+'Local Appropriations-2Yr'!I28+'Fed Contracts Grnts-2Yr'!I28+'Other Contracts Grnts-2Yr'!I28+'Investment Income-2Yr'!I28+'All Other E&amp;G-2Yr'!I28</f>
        <v>0</v>
      </c>
      <c r="J28" s="83">
        <f>+'Tuition-2Yr'!J28+'State Appropriations-2Yr'!J28+'Local Appropriations-2Yr'!J28+'Fed Contracts Grnts-2Yr'!J28+'Other Contracts Grnts-2Yr'!J28+'Investment Income-2Yr'!J28+'All Other E&amp;G-2Yr'!J28</f>
        <v>215952.49800000002</v>
      </c>
      <c r="K28" s="83">
        <f>+'Tuition-2Yr'!K28+'State Appropriations-2Yr'!K28+'Local Appropriations-2Yr'!K28+'Fed Contracts Grnts-2Yr'!K28+'Other Contracts Grnts-2Yr'!K28+'Investment Income-2Yr'!K28+'All Other E&amp;G-2Yr'!K28</f>
        <v>0</v>
      </c>
      <c r="L28" s="83">
        <f>+'Tuition-2Yr'!L28+'State Appropriations-2Yr'!L28+'Local Appropriations-2Yr'!L28+'Fed Contracts Grnts-2Yr'!L28+'Other Contracts Grnts-2Yr'!L28+'Investment Income-2Yr'!L28+'All Other E&amp;G-2Yr'!L28</f>
        <v>0</v>
      </c>
      <c r="M28" s="83">
        <f>+'Tuition-2Yr'!M28+'State Appropriations-2Yr'!M28+'Local Appropriations-2Yr'!M28+'Fed Contracts Grnts-2Yr'!M28+'Other Contracts Grnts-2Yr'!M28+'Investment Income-2Yr'!M28+'All Other E&amp;G-2Yr'!M28</f>
        <v>261702.66999999995</v>
      </c>
      <c r="N28" s="83">
        <f>+'Tuition-2Yr'!N28+'State Appropriations-2Yr'!N28+'Local Appropriations-2Yr'!N28+'Fed Contracts Grnts-2Yr'!N28+'Other Contracts Grnts-2Yr'!N28+'Investment Income-2Yr'!N28+'All Other E&amp;G-2Yr'!N28</f>
        <v>0</v>
      </c>
      <c r="O28" s="83">
        <f>+'Tuition-2Yr'!O28+'State Appropriations-2Yr'!O28+'Local Appropriations-2Yr'!O28+'Fed Contracts Grnts-2Yr'!O28+'Other Contracts Grnts-2Yr'!O28+'Investment Income-2Yr'!O28+'All Other E&amp;G-2Yr'!O28</f>
        <v>300605.82400000002</v>
      </c>
      <c r="P28" s="83">
        <f>+'Tuition-2Yr'!P28+'State Appropriations-2Yr'!P28+'Local Appropriations-2Yr'!P28+'Fed Contracts Grnts-2Yr'!P28+'Other Contracts Grnts-2Yr'!P28+'Investment Income-2Yr'!P28+'All Other E&amp;G-2Yr'!P28</f>
        <v>0</v>
      </c>
      <c r="Q28" s="83">
        <f>+'Tuition-2Yr'!Q28+'State Appropriations-2Yr'!Q28+'Local Appropriations-2Yr'!Q28+'Fed Contracts Grnts-2Yr'!Q28+'Other Contracts Grnts-2Yr'!Q28+'Investment Income-2Yr'!Q28+'All Other E&amp;G-2Yr'!Q28</f>
        <v>0</v>
      </c>
      <c r="R28" s="83">
        <f>+'Tuition-2Yr'!R28+'State Appropriations-2Yr'!R28+'Local Appropriations-2Yr'!R28+'Fed Contracts Grnts-2Yr'!R28+'Other Contracts Grnts-2Yr'!R28+'Investment Income-2Yr'!R28+'All Other E&amp;G-2Yr'!R28</f>
        <v>343985.33</v>
      </c>
      <c r="S28" s="83">
        <f>+'Tuition-2Yr'!S28+'State Appropriations-2Yr'!S28+'Local Appropriations-2Yr'!S28+'Fed Contracts Grnts-2Yr'!S28+'Other Contracts Grnts-2Yr'!S28+'Investment Income-2Yr'!S28+'All Other E&amp;G-2Yr'!S28</f>
        <v>370238.375</v>
      </c>
      <c r="T28" s="83">
        <f>+'Tuition-2Yr'!T28+'State Appropriations-2Yr'!T28+'Local Appropriations-2Yr'!T28+'Fed Contracts Grnts-2Yr'!T28+'Other Contracts Grnts-2Yr'!T28+'Investment Income-2Yr'!T28+'All Other E&amp;G-2Yr'!T28</f>
        <v>403043.74300000002</v>
      </c>
      <c r="U28" s="83">
        <f>+'Tuition-2Yr'!U28+'State Appropriations-2Yr'!U28+'Local Appropriations-2Yr'!U28+'Fed Contracts Grnts-2Yr'!U28+'Other Contracts Grnts-2Yr'!U28+'Investment Income-2Yr'!U28+'All Other E&amp;G-2Yr'!U28</f>
        <v>382054.82199999999</v>
      </c>
      <c r="V28" s="83">
        <f>+'Tuition-2Yr'!V28+'State Appropriations-2Yr'!V28+'Local Appropriations-2Yr'!V28+'Fed Contracts Grnts-2Yr'!V28+'Other Contracts Grnts-2Yr'!V28+'Investment Income-2Yr'!V28+'All Other E&amp;G-2Yr'!V28</f>
        <v>383006.44500000001</v>
      </c>
      <c r="W28" s="83">
        <f>+'Tuition-2Yr'!W28+'State Appropriations-2Yr'!W28+'Local Appropriations-2Yr'!W28+'Fed Contracts Grnts-2Yr'!W28+'Other Contracts Grnts-2Yr'!W28+'Investment Income-2Yr'!W28+'All Other E&amp;G-2Yr'!W28</f>
        <v>436208.89300000004</v>
      </c>
      <c r="X28" s="83">
        <f>+'Tuition-2Yr'!X28+'State Appropriations-2Yr'!X28+'Local Appropriations-2Yr'!X28+'Fed Contracts Grnts-2Yr'!X28+'Other Contracts Grnts-2Yr'!X28+'Investment Income-2Yr'!X28+'All Other E&amp;G-2Yr'!X28</f>
        <v>413906.21100000001</v>
      </c>
      <c r="Y28" s="83">
        <f>+'Tuition-2Yr'!Y28+'State Appropriations-2Yr'!Y28+'Local Appropriations-2Yr'!Y28+'Fed Contracts Grnts-2Yr'!Y28+'Other Contracts Grnts-2Yr'!Y28+'Investment Income-2Yr'!Y28+'All Other E&amp;G-2Yr'!Y28</f>
        <v>441014.95699999999</v>
      </c>
      <c r="Z28" s="83">
        <f>+'Tuition-2Yr'!Z28+'State Appropriations-2Yr'!Z28+'Local Appropriations-2Yr'!Z28+'Fed Contracts Grnts-2Yr'!Z28+'Other Contracts Grnts-2Yr'!Z28+'Investment Income-2Yr'!Z28+'All Other E&amp;G-2Yr'!Z28</f>
        <v>477938.79</v>
      </c>
      <c r="AA28" s="83">
        <f>+'Tuition-2Yr'!AA28+'State Appropriations-2Yr'!AA28+'Local Appropriations-2Yr'!AA28+'Fed Contracts Grnts-2Yr'!AA28+'Other Contracts Grnts-2Yr'!AA28+'Investment Income-2Yr'!AA28+'All Other E&amp;G-2Yr'!AA28</f>
        <v>591166.84800000011</v>
      </c>
      <c r="AB28" s="83">
        <f>+'Tuition-2Yr'!AB28+'State Appropriations-2Yr'!AB28+'Local Appropriations-2Yr'!AB28+'Fed Contracts Grnts-2Yr'!AB28+'Other Contracts Grnts-2Yr'!AB28+'Investment Income-2Yr'!AB28+'All Other E&amp;G-2Yr'!AB28</f>
        <v>707293.35</v>
      </c>
      <c r="AC28" s="83">
        <f>+'Tuition-2Yr'!AC28+'State Appropriations-2Yr'!AC28+'Local Appropriations-2Yr'!AC28+'Fed Contracts Grnts-2Yr'!AC28+'Other Contracts Grnts-2Yr'!AC28+'Investment Income-2Yr'!AC28+'All Other E&amp;G-2Yr'!AC28</f>
        <v>781675</v>
      </c>
      <c r="AD28" s="83">
        <f>+'Tuition-2Yr'!AD28+'State Appropriations-2Yr'!AD28+'Local Appropriations-2Yr'!AD28+'Fed Contracts Grnts-2Yr'!AD28+'Other Contracts Grnts-2Yr'!AD28+'Investment Income-2Yr'!AD28+'All Other E&amp;G-2Yr'!AD28</f>
        <v>775531.51199999999</v>
      </c>
      <c r="AE28" s="83">
        <f>+'Tuition-2Yr'!AE28+'State Appropriations-2Yr'!AE28+'Local Appropriations-2Yr'!AE28+'Fed Contracts Grnts-2Yr'!AE28+'Other Contracts Grnts-2Yr'!AE28+'Investment Income-2Yr'!AE28+'All Other E&amp;G-2Yr'!AE28</f>
        <v>786854.12899999996</v>
      </c>
      <c r="AF28" s="83">
        <f>+'Tuition-2Yr'!AF28+'State Appropriations-2Yr'!AF28+'Local Appropriations-2Yr'!AF28+'Fed Contracts Grnts-2Yr'!AF28+'Other Contracts Grnts-2Yr'!AF28+'Investment Income-2Yr'!AF28+'All Other E&amp;G-2Yr'!AF28</f>
        <v>344273.96299999999</v>
      </c>
      <c r="AG28" s="83">
        <f>+'Tuition-2Yr'!AG28+'State Appropriations-2Yr'!AG28+'Local Appropriations-2Yr'!AG28+'Fed Contracts Grnts-2Yr'!AG28+'Other Contracts Grnts-2Yr'!AG28+'Investment Income-2Yr'!AG28+'All Other E&amp;G-2Yr'!AG28</f>
        <v>351694.46400000004</v>
      </c>
      <c r="AH28" s="83">
        <f>+'Tuition-2Yr'!AH28+'State Appropriations-2Yr'!AH28+'Local Appropriations-2Yr'!AH28+'Fed Contracts Grnts-2Yr'!AH28+'Other Contracts Grnts-2Yr'!AH28+'Investment Income-2Yr'!AH28+'All Other E&amp;G-2Yr'!AH28</f>
        <v>757398.85600000003</v>
      </c>
      <c r="AI28" s="83">
        <f>+'Tuition-2Yr'!AI28+'State Appropriations-2Yr'!AI28+'Local Appropriations-2Yr'!AI28+'Fed Contracts Grnts-2Yr'!AI28+'Other Contracts Grnts-2Yr'!AI28+'Investment Income-2Yr'!AI28+'All Other E&amp;G-2Yr'!AI28</f>
        <v>737651.34700000007</v>
      </c>
      <c r="AJ28" s="83">
        <f>+'Tuition-2Yr'!AJ28+'State Appropriations-2Yr'!AJ28+'Local Appropriations-2Yr'!AJ28+'Fed Contracts Grnts-2Yr'!AJ28+'Other Contracts Grnts-2Yr'!AJ28+'Investment Income-2Yr'!AJ28+'All Other E&amp;G-2Yr'!AJ28</f>
        <v>0</v>
      </c>
      <c r="AK28" s="83">
        <f>+'Tuition-2Yr'!AK28+'State Appropriations-2Yr'!AK28+'Local Appropriations-2Yr'!AK28+'Fed Contracts Grnts-2Yr'!AK28+'Other Contracts Grnts-2Yr'!AK28+'Investment Income-2Yr'!AK28+'All Other E&amp;G-2Yr'!AK28</f>
        <v>836056.53200000012</v>
      </c>
      <c r="AL28" s="83">
        <f>+'Tuition-2Yr'!AL28+'State Appropriations-2Yr'!AL28+'Local Appropriations-2Yr'!AL28+'Fed Contracts Grnts-2Yr'!AL28+'Other Contracts Grnts-2Yr'!AL28+'Investment Income-2Yr'!AL28+'All Other E&amp;G-2Yr'!AL28</f>
        <v>884388.63800000004</v>
      </c>
    </row>
    <row r="29" spans="1:38" ht="12.75" customHeight="1">
      <c r="A29" s="1" t="s">
        <v>43</v>
      </c>
      <c r="B29" s="83">
        <f>+'Tuition-2Yr'!B29+'State Appropriations-2Yr'!B29+'Local Appropriations-2Yr'!B29+'Fed Contracts Grnts-2Yr'!B29+'Other Contracts Grnts-2Yr'!B29+'Investment Income-2Yr'!B29+'All Other E&amp;G-2Yr'!B29</f>
        <v>0</v>
      </c>
      <c r="C29" s="83">
        <f>+'Tuition-2Yr'!C29+'State Appropriations-2Yr'!C29+'Local Appropriations-2Yr'!C29+'Fed Contracts Grnts-2Yr'!C29+'Other Contracts Grnts-2Yr'!C29+'Investment Income-2Yr'!C29+'All Other E&amp;G-2Yr'!C29</f>
        <v>0</v>
      </c>
      <c r="D29" s="83">
        <f>+'Tuition-2Yr'!D29+'State Appropriations-2Yr'!D29+'Local Appropriations-2Yr'!D29+'Fed Contracts Grnts-2Yr'!D29+'Other Contracts Grnts-2Yr'!D29+'Investment Income-2Yr'!D29+'All Other E&amp;G-2Yr'!D29</f>
        <v>0</v>
      </c>
      <c r="E29" s="83">
        <f>+'Tuition-2Yr'!E29+'State Appropriations-2Yr'!E29+'Local Appropriations-2Yr'!E29+'Fed Contracts Grnts-2Yr'!E29+'Other Contracts Grnts-2Yr'!E29+'Investment Income-2Yr'!E29+'All Other E&amp;G-2Yr'!E29</f>
        <v>0</v>
      </c>
      <c r="F29" s="83">
        <f>+'Tuition-2Yr'!F29+'State Appropriations-2Yr'!F29+'Local Appropriations-2Yr'!F29+'Fed Contracts Grnts-2Yr'!F29+'Other Contracts Grnts-2Yr'!F29+'Investment Income-2Yr'!F29+'All Other E&amp;G-2Yr'!F29</f>
        <v>0</v>
      </c>
      <c r="G29" s="83">
        <f>+'Tuition-2Yr'!G29+'State Appropriations-2Yr'!G29+'Local Appropriations-2Yr'!G29+'Fed Contracts Grnts-2Yr'!G29+'Other Contracts Grnts-2Yr'!G29+'Investment Income-2Yr'!G29+'All Other E&amp;G-2Yr'!G29</f>
        <v>0</v>
      </c>
      <c r="H29" s="83">
        <f>+'Tuition-2Yr'!H29+'State Appropriations-2Yr'!H29+'Local Appropriations-2Yr'!H29+'Fed Contracts Grnts-2Yr'!H29+'Other Contracts Grnts-2Yr'!H29+'Investment Income-2Yr'!H29+'All Other E&amp;G-2Yr'!H29</f>
        <v>0</v>
      </c>
      <c r="I29" s="83">
        <f>+'Tuition-2Yr'!I29+'State Appropriations-2Yr'!I29+'Local Appropriations-2Yr'!I29+'Fed Contracts Grnts-2Yr'!I29+'Other Contracts Grnts-2Yr'!I29+'Investment Income-2Yr'!I29+'All Other E&amp;G-2Yr'!I29</f>
        <v>0</v>
      </c>
      <c r="J29" s="83">
        <f>+'Tuition-2Yr'!J29+'State Appropriations-2Yr'!J29+'Local Appropriations-2Yr'!J29+'Fed Contracts Grnts-2Yr'!J29+'Other Contracts Grnts-2Yr'!J29+'Investment Income-2Yr'!J29+'All Other E&amp;G-2Yr'!J29</f>
        <v>102636.12699999999</v>
      </c>
      <c r="K29" s="83">
        <f>+'Tuition-2Yr'!K29+'State Appropriations-2Yr'!K29+'Local Appropriations-2Yr'!K29+'Fed Contracts Grnts-2Yr'!K29+'Other Contracts Grnts-2Yr'!K29+'Investment Income-2Yr'!K29+'All Other E&amp;G-2Yr'!K29</f>
        <v>0</v>
      </c>
      <c r="L29" s="83">
        <f>+'Tuition-2Yr'!L29+'State Appropriations-2Yr'!L29+'Local Appropriations-2Yr'!L29+'Fed Contracts Grnts-2Yr'!L29+'Other Contracts Grnts-2Yr'!L29+'Investment Income-2Yr'!L29+'All Other E&amp;G-2Yr'!L29</f>
        <v>0</v>
      </c>
      <c r="M29" s="83">
        <f>+'Tuition-2Yr'!M29+'State Appropriations-2Yr'!M29+'Local Appropriations-2Yr'!M29+'Fed Contracts Grnts-2Yr'!M29+'Other Contracts Grnts-2Yr'!M29+'Investment Income-2Yr'!M29+'All Other E&amp;G-2Yr'!M29</f>
        <v>114766.496</v>
      </c>
      <c r="N29" s="83">
        <f>+'Tuition-2Yr'!N29+'State Appropriations-2Yr'!N29+'Local Appropriations-2Yr'!N29+'Fed Contracts Grnts-2Yr'!N29+'Other Contracts Grnts-2Yr'!N29+'Investment Income-2Yr'!N29+'All Other E&amp;G-2Yr'!N29</f>
        <v>0</v>
      </c>
      <c r="O29" s="83">
        <f>+'Tuition-2Yr'!O29+'State Appropriations-2Yr'!O29+'Local Appropriations-2Yr'!O29+'Fed Contracts Grnts-2Yr'!O29+'Other Contracts Grnts-2Yr'!O29+'Investment Income-2Yr'!O29+'All Other E&amp;G-2Yr'!O29</f>
        <v>99176.476999999999</v>
      </c>
      <c r="P29" s="83">
        <f>+'Tuition-2Yr'!P29+'State Appropriations-2Yr'!P29+'Local Appropriations-2Yr'!P29+'Fed Contracts Grnts-2Yr'!P29+'Other Contracts Grnts-2Yr'!P29+'Investment Income-2Yr'!P29+'All Other E&amp;G-2Yr'!P29</f>
        <v>0</v>
      </c>
      <c r="Q29" s="83">
        <f>+'Tuition-2Yr'!Q29+'State Appropriations-2Yr'!Q29+'Local Appropriations-2Yr'!Q29+'Fed Contracts Grnts-2Yr'!Q29+'Other Contracts Grnts-2Yr'!Q29+'Investment Income-2Yr'!Q29+'All Other E&amp;G-2Yr'!Q29</f>
        <v>0</v>
      </c>
      <c r="R29" s="83">
        <f>+'Tuition-2Yr'!R29+'State Appropriations-2Yr'!R29+'Local Appropriations-2Yr'!R29+'Fed Contracts Grnts-2Yr'!R29+'Other Contracts Grnts-2Yr'!R29+'Investment Income-2Yr'!R29+'All Other E&amp;G-2Yr'!R29</f>
        <v>118698.29</v>
      </c>
      <c r="S29" s="83">
        <f>+'Tuition-2Yr'!S29+'State Appropriations-2Yr'!S29+'Local Appropriations-2Yr'!S29+'Fed Contracts Grnts-2Yr'!S29+'Other Contracts Grnts-2Yr'!S29+'Investment Income-2Yr'!S29+'All Other E&amp;G-2Yr'!S29</f>
        <v>122827.643</v>
      </c>
      <c r="T29" s="83">
        <f>+'Tuition-2Yr'!T29+'State Appropriations-2Yr'!T29+'Local Appropriations-2Yr'!T29+'Fed Contracts Grnts-2Yr'!T29+'Other Contracts Grnts-2Yr'!T29+'Investment Income-2Yr'!T29+'All Other E&amp;G-2Yr'!T29</f>
        <v>164797.421</v>
      </c>
      <c r="U29" s="83">
        <f>+'Tuition-2Yr'!U29+'State Appropriations-2Yr'!U29+'Local Appropriations-2Yr'!U29+'Fed Contracts Grnts-2Yr'!U29+'Other Contracts Grnts-2Yr'!U29+'Investment Income-2Yr'!U29+'All Other E&amp;G-2Yr'!U29</f>
        <v>155661.53099999999</v>
      </c>
      <c r="V29" s="83">
        <f>+'Tuition-2Yr'!V29+'State Appropriations-2Yr'!V29+'Local Appropriations-2Yr'!V29+'Fed Contracts Grnts-2Yr'!V29+'Other Contracts Grnts-2Yr'!V29+'Investment Income-2Yr'!V29+'All Other E&amp;G-2Yr'!V29</f>
        <v>141161.61299999998</v>
      </c>
      <c r="W29" s="83">
        <f>+'Tuition-2Yr'!W29+'State Appropriations-2Yr'!W29+'Local Appropriations-2Yr'!W29+'Fed Contracts Grnts-2Yr'!W29+'Other Contracts Grnts-2Yr'!W29+'Investment Income-2Yr'!W29+'All Other E&amp;G-2Yr'!W29</f>
        <v>143890.37099999998</v>
      </c>
      <c r="X29" s="83">
        <f>+'Tuition-2Yr'!X29+'State Appropriations-2Yr'!X29+'Local Appropriations-2Yr'!X29+'Fed Contracts Grnts-2Yr'!X29+'Other Contracts Grnts-2Yr'!X29+'Investment Income-2Yr'!X29+'All Other E&amp;G-2Yr'!X29</f>
        <v>154408.628</v>
      </c>
      <c r="Y29" s="83">
        <f>+'Tuition-2Yr'!Y29+'State Appropriations-2Yr'!Y29+'Local Appropriations-2Yr'!Y29+'Fed Contracts Grnts-2Yr'!Y29+'Other Contracts Grnts-2Yr'!Y29+'Investment Income-2Yr'!Y29+'All Other E&amp;G-2Yr'!Y29</f>
        <v>174516.84900000002</v>
      </c>
      <c r="Z29" s="83">
        <f>+'Tuition-2Yr'!Z29+'State Appropriations-2Yr'!Z29+'Local Appropriations-2Yr'!Z29+'Fed Contracts Grnts-2Yr'!Z29+'Other Contracts Grnts-2Yr'!Z29+'Investment Income-2Yr'!Z29+'All Other E&amp;G-2Yr'!Z29</f>
        <v>196072.86000000002</v>
      </c>
      <c r="AA29" s="83">
        <f>+'Tuition-2Yr'!AA29+'State Appropriations-2Yr'!AA29+'Local Appropriations-2Yr'!AA29+'Fed Contracts Grnts-2Yr'!AA29+'Other Contracts Grnts-2Yr'!AA29+'Investment Income-2Yr'!AA29+'All Other E&amp;G-2Yr'!AA29</f>
        <v>274161.79800000001</v>
      </c>
      <c r="AB29" s="83">
        <f>+'Tuition-2Yr'!AB29+'State Appropriations-2Yr'!AB29+'Local Appropriations-2Yr'!AB29+'Fed Contracts Grnts-2Yr'!AB29+'Other Contracts Grnts-2Yr'!AB29+'Investment Income-2Yr'!AB29+'All Other E&amp;G-2Yr'!AB29</f>
        <v>256815.40000000002</v>
      </c>
      <c r="AC29" s="83">
        <f>+'Tuition-2Yr'!AC29+'State Appropriations-2Yr'!AC29+'Local Appropriations-2Yr'!AC29+'Fed Contracts Grnts-2Yr'!AC29+'Other Contracts Grnts-2Yr'!AC29+'Investment Income-2Yr'!AC29+'All Other E&amp;G-2Yr'!AC29</f>
        <v>283682</v>
      </c>
      <c r="AD29" s="83">
        <f>+'Tuition-2Yr'!AD29+'State Appropriations-2Yr'!AD29+'Local Appropriations-2Yr'!AD29+'Fed Contracts Grnts-2Yr'!AD29+'Other Contracts Grnts-2Yr'!AD29+'Investment Income-2Yr'!AD29+'All Other E&amp;G-2Yr'!AD29</f>
        <v>294652.03499999997</v>
      </c>
      <c r="AE29" s="83">
        <f>+'Tuition-2Yr'!AE29+'State Appropriations-2Yr'!AE29+'Local Appropriations-2Yr'!AE29+'Fed Contracts Grnts-2Yr'!AE29+'Other Contracts Grnts-2Yr'!AE29+'Investment Income-2Yr'!AE29+'All Other E&amp;G-2Yr'!AE29</f>
        <v>300454.484</v>
      </c>
      <c r="AF29" s="83">
        <f>+'Tuition-2Yr'!AF29+'State Appropriations-2Yr'!AF29+'Local Appropriations-2Yr'!AF29+'Fed Contracts Grnts-2Yr'!AF29+'Other Contracts Grnts-2Yr'!AF29+'Investment Income-2Yr'!AF29+'All Other E&amp;G-2Yr'!AF29</f>
        <v>313029.69000000006</v>
      </c>
      <c r="AG29" s="83">
        <f>+'Tuition-2Yr'!AG29+'State Appropriations-2Yr'!AG29+'Local Appropriations-2Yr'!AG29+'Fed Contracts Grnts-2Yr'!AG29+'Other Contracts Grnts-2Yr'!AG29+'Investment Income-2Yr'!AG29+'All Other E&amp;G-2Yr'!AG29</f>
        <v>324309.11</v>
      </c>
      <c r="AH29" s="83">
        <f>+'Tuition-2Yr'!AH29+'State Appropriations-2Yr'!AH29+'Local Appropriations-2Yr'!AH29+'Fed Contracts Grnts-2Yr'!AH29+'Other Contracts Grnts-2Yr'!AH29+'Investment Income-2Yr'!AH29+'All Other E&amp;G-2Yr'!AH29</f>
        <v>330021.55499999993</v>
      </c>
      <c r="AI29" s="83">
        <f>+'Tuition-2Yr'!AI29+'State Appropriations-2Yr'!AI29+'Local Appropriations-2Yr'!AI29+'Fed Contracts Grnts-2Yr'!AI29+'Other Contracts Grnts-2Yr'!AI29+'Investment Income-2Yr'!AI29+'All Other E&amp;G-2Yr'!AI29</f>
        <v>337960.87300000002</v>
      </c>
      <c r="AJ29" s="83">
        <f>+'Tuition-2Yr'!AJ29+'State Appropriations-2Yr'!AJ29+'Local Appropriations-2Yr'!AJ29+'Fed Contracts Grnts-2Yr'!AJ29+'Other Contracts Grnts-2Yr'!AJ29+'Investment Income-2Yr'!AJ29+'All Other E&amp;G-2Yr'!AJ29</f>
        <v>0</v>
      </c>
      <c r="AK29" s="83">
        <f>+'Tuition-2Yr'!AK29+'State Appropriations-2Yr'!AK29+'Local Appropriations-2Yr'!AK29+'Fed Contracts Grnts-2Yr'!AK29+'Other Contracts Grnts-2Yr'!AK29+'Investment Income-2Yr'!AK29+'All Other E&amp;G-2Yr'!AK29</f>
        <v>374411.15300000005</v>
      </c>
      <c r="AL29" s="83">
        <f>+'Tuition-2Yr'!AL29+'State Appropriations-2Yr'!AL29+'Local Appropriations-2Yr'!AL29+'Fed Contracts Grnts-2Yr'!AL29+'Other Contracts Grnts-2Yr'!AL29+'Investment Income-2Yr'!AL29+'All Other E&amp;G-2Yr'!AL29</f>
        <v>359287.72799999994</v>
      </c>
    </row>
    <row r="30" spans="1:38" ht="12.75" customHeight="1">
      <c r="A30" s="1" t="s">
        <v>44</v>
      </c>
      <c r="B30" s="83">
        <f>+'Tuition-2Yr'!B30+'State Appropriations-2Yr'!B30+'Local Appropriations-2Yr'!B30+'Fed Contracts Grnts-2Yr'!B30+'Other Contracts Grnts-2Yr'!B30+'Investment Income-2Yr'!B30+'All Other E&amp;G-2Yr'!B30</f>
        <v>0</v>
      </c>
      <c r="C30" s="83">
        <f>+'Tuition-2Yr'!C30+'State Appropriations-2Yr'!C30+'Local Appropriations-2Yr'!C30+'Fed Contracts Grnts-2Yr'!C30+'Other Contracts Grnts-2Yr'!C30+'Investment Income-2Yr'!C30+'All Other E&amp;G-2Yr'!C30</f>
        <v>0</v>
      </c>
      <c r="D30" s="83">
        <f>+'Tuition-2Yr'!D30+'State Appropriations-2Yr'!D30+'Local Appropriations-2Yr'!D30+'Fed Contracts Grnts-2Yr'!D30+'Other Contracts Grnts-2Yr'!D30+'Investment Income-2Yr'!D30+'All Other E&amp;G-2Yr'!D30</f>
        <v>0</v>
      </c>
      <c r="E30" s="83">
        <f>+'Tuition-2Yr'!E30+'State Appropriations-2Yr'!E30+'Local Appropriations-2Yr'!E30+'Fed Contracts Grnts-2Yr'!E30+'Other Contracts Grnts-2Yr'!E30+'Investment Income-2Yr'!E30+'All Other E&amp;G-2Yr'!E30</f>
        <v>0</v>
      </c>
      <c r="F30" s="83">
        <f>+'Tuition-2Yr'!F30+'State Appropriations-2Yr'!F30+'Local Appropriations-2Yr'!F30+'Fed Contracts Grnts-2Yr'!F30+'Other Contracts Grnts-2Yr'!F30+'Investment Income-2Yr'!F30+'All Other E&amp;G-2Yr'!F30</f>
        <v>0</v>
      </c>
      <c r="G30" s="83">
        <f>+'Tuition-2Yr'!G30+'State Appropriations-2Yr'!G30+'Local Appropriations-2Yr'!G30+'Fed Contracts Grnts-2Yr'!G30+'Other Contracts Grnts-2Yr'!G30+'Investment Income-2Yr'!G30+'All Other E&amp;G-2Yr'!G30</f>
        <v>0</v>
      </c>
      <c r="H30" s="83">
        <f>+'Tuition-2Yr'!H30+'State Appropriations-2Yr'!H30+'Local Appropriations-2Yr'!H30+'Fed Contracts Grnts-2Yr'!H30+'Other Contracts Grnts-2Yr'!H30+'Investment Income-2Yr'!H30+'All Other E&amp;G-2Yr'!H30</f>
        <v>0</v>
      </c>
      <c r="I30" s="83">
        <f>+'Tuition-2Yr'!I30+'State Appropriations-2Yr'!I30+'Local Appropriations-2Yr'!I30+'Fed Contracts Grnts-2Yr'!I30+'Other Contracts Grnts-2Yr'!I30+'Investment Income-2Yr'!I30+'All Other E&amp;G-2Yr'!I30</f>
        <v>0</v>
      </c>
      <c r="J30" s="83">
        <f>+'Tuition-2Yr'!J30+'State Appropriations-2Yr'!J30+'Local Appropriations-2Yr'!J30+'Fed Contracts Grnts-2Yr'!J30+'Other Contracts Grnts-2Yr'!J30+'Investment Income-2Yr'!J30+'All Other E&amp;G-2Yr'!J30</f>
        <v>41106.563999999998</v>
      </c>
      <c r="K30" s="83">
        <f>+'Tuition-2Yr'!K30+'State Appropriations-2Yr'!K30+'Local Appropriations-2Yr'!K30+'Fed Contracts Grnts-2Yr'!K30+'Other Contracts Grnts-2Yr'!K30+'Investment Income-2Yr'!K30+'All Other E&amp;G-2Yr'!K30</f>
        <v>0</v>
      </c>
      <c r="L30" s="83">
        <f>+'Tuition-2Yr'!L30+'State Appropriations-2Yr'!L30+'Local Appropriations-2Yr'!L30+'Fed Contracts Grnts-2Yr'!L30+'Other Contracts Grnts-2Yr'!L30+'Investment Income-2Yr'!L30+'All Other E&amp;G-2Yr'!L30</f>
        <v>0</v>
      </c>
      <c r="M30" s="83">
        <f>+'Tuition-2Yr'!M30+'State Appropriations-2Yr'!M30+'Local Appropriations-2Yr'!M30+'Fed Contracts Grnts-2Yr'!M30+'Other Contracts Grnts-2Yr'!M30+'Investment Income-2Yr'!M30+'All Other E&amp;G-2Yr'!M30</f>
        <v>48179.661</v>
      </c>
      <c r="N30" s="83">
        <f>+'Tuition-2Yr'!N30+'State Appropriations-2Yr'!N30+'Local Appropriations-2Yr'!N30+'Fed Contracts Grnts-2Yr'!N30+'Other Contracts Grnts-2Yr'!N30+'Investment Income-2Yr'!N30+'All Other E&amp;G-2Yr'!N30</f>
        <v>0</v>
      </c>
      <c r="O30" s="83">
        <f>+'Tuition-2Yr'!O30+'State Appropriations-2Yr'!O30+'Local Appropriations-2Yr'!O30+'Fed Contracts Grnts-2Yr'!O30+'Other Contracts Grnts-2Yr'!O30+'Investment Income-2Yr'!O30+'All Other E&amp;G-2Yr'!O30</f>
        <v>65361.705999999998</v>
      </c>
      <c r="P30" s="83">
        <f>+'Tuition-2Yr'!P30+'State Appropriations-2Yr'!P30+'Local Appropriations-2Yr'!P30+'Fed Contracts Grnts-2Yr'!P30+'Other Contracts Grnts-2Yr'!P30+'Investment Income-2Yr'!P30+'All Other E&amp;G-2Yr'!P30</f>
        <v>0</v>
      </c>
      <c r="Q30" s="83">
        <f>+'Tuition-2Yr'!Q30+'State Appropriations-2Yr'!Q30+'Local Appropriations-2Yr'!Q30+'Fed Contracts Grnts-2Yr'!Q30+'Other Contracts Grnts-2Yr'!Q30+'Investment Income-2Yr'!Q30+'All Other E&amp;G-2Yr'!Q30</f>
        <v>0</v>
      </c>
      <c r="R30" s="83">
        <f>+'Tuition-2Yr'!R30+'State Appropriations-2Yr'!R30+'Local Appropriations-2Yr'!R30+'Fed Contracts Grnts-2Yr'!R30+'Other Contracts Grnts-2Yr'!R30+'Investment Income-2Yr'!R30+'All Other E&amp;G-2Yr'!R30</f>
        <v>78495.98</v>
      </c>
      <c r="S30" s="83">
        <f>+'Tuition-2Yr'!S30+'State Appropriations-2Yr'!S30+'Local Appropriations-2Yr'!S30+'Fed Contracts Grnts-2Yr'!S30+'Other Contracts Grnts-2Yr'!S30+'Investment Income-2Yr'!S30+'All Other E&amp;G-2Yr'!S30</f>
        <v>85424.061999999991</v>
      </c>
      <c r="T30" s="83">
        <f>+'Tuition-2Yr'!T30+'State Appropriations-2Yr'!T30+'Local Appropriations-2Yr'!T30+'Fed Contracts Grnts-2Yr'!T30+'Other Contracts Grnts-2Yr'!T30+'Investment Income-2Yr'!T30+'All Other E&amp;G-2Yr'!T30</f>
        <v>86331.890999999989</v>
      </c>
      <c r="U30" s="83">
        <f>+'Tuition-2Yr'!U30+'State Appropriations-2Yr'!U30+'Local Appropriations-2Yr'!U30+'Fed Contracts Grnts-2Yr'!U30+'Other Contracts Grnts-2Yr'!U30+'Investment Income-2Yr'!U30+'All Other E&amp;G-2Yr'!U30</f>
        <v>92579.236999999994</v>
      </c>
      <c r="V30" s="83">
        <f>+'Tuition-2Yr'!V30+'State Appropriations-2Yr'!V30+'Local Appropriations-2Yr'!V30+'Fed Contracts Grnts-2Yr'!V30+'Other Contracts Grnts-2Yr'!V30+'Investment Income-2Yr'!V30+'All Other E&amp;G-2Yr'!V30</f>
        <v>103944.833</v>
      </c>
      <c r="W30" s="83">
        <f>+'Tuition-2Yr'!W30+'State Appropriations-2Yr'!W30+'Local Appropriations-2Yr'!W30+'Fed Contracts Grnts-2Yr'!W30+'Other Contracts Grnts-2Yr'!W30+'Investment Income-2Yr'!W30+'All Other E&amp;G-2Yr'!W30</f>
        <v>126113.34000000001</v>
      </c>
      <c r="X30" s="83">
        <f>+'Tuition-2Yr'!X30+'State Appropriations-2Yr'!X30+'Local Appropriations-2Yr'!X30+'Fed Contracts Grnts-2Yr'!X30+'Other Contracts Grnts-2Yr'!X30+'Investment Income-2Yr'!X30+'All Other E&amp;G-2Yr'!X30</f>
        <v>109260.50600000001</v>
      </c>
      <c r="Y30" s="83">
        <f>+'Tuition-2Yr'!Y30+'State Appropriations-2Yr'!Y30+'Local Appropriations-2Yr'!Y30+'Fed Contracts Grnts-2Yr'!Y30+'Other Contracts Grnts-2Yr'!Y30+'Investment Income-2Yr'!Y30+'All Other E&amp;G-2Yr'!Y30</f>
        <v>112484.57500000001</v>
      </c>
      <c r="Z30" s="83">
        <f>+'Tuition-2Yr'!Z30+'State Appropriations-2Yr'!Z30+'Local Appropriations-2Yr'!Z30+'Fed Contracts Grnts-2Yr'!Z30+'Other Contracts Grnts-2Yr'!Z30+'Investment Income-2Yr'!Z30+'All Other E&amp;G-2Yr'!Z30</f>
        <v>121296.35800000001</v>
      </c>
      <c r="AA30" s="83">
        <f>+'Tuition-2Yr'!AA30+'State Appropriations-2Yr'!AA30+'Local Appropriations-2Yr'!AA30+'Fed Contracts Grnts-2Yr'!AA30+'Other Contracts Grnts-2Yr'!AA30+'Investment Income-2Yr'!AA30+'All Other E&amp;G-2Yr'!AA30</f>
        <v>152986.32700000002</v>
      </c>
      <c r="AB30" s="83">
        <f>+'Tuition-2Yr'!AB30+'State Appropriations-2Yr'!AB30+'Local Appropriations-2Yr'!AB30+'Fed Contracts Grnts-2Yr'!AB30+'Other Contracts Grnts-2Yr'!AB30+'Investment Income-2Yr'!AB30+'All Other E&amp;G-2Yr'!AB30</f>
        <v>201044.46799999999</v>
      </c>
      <c r="AC30" s="83">
        <f>+'Tuition-2Yr'!AC30+'State Appropriations-2Yr'!AC30+'Local Appropriations-2Yr'!AC30+'Fed Contracts Grnts-2Yr'!AC30+'Other Contracts Grnts-2Yr'!AC30+'Investment Income-2Yr'!AC30+'All Other E&amp;G-2Yr'!AC30</f>
        <v>234376</v>
      </c>
      <c r="AD30" s="83">
        <f>+'Tuition-2Yr'!AD30+'State Appropriations-2Yr'!AD30+'Local Appropriations-2Yr'!AD30+'Fed Contracts Grnts-2Yr'!AD30+'Other Contracts Grnts-2Yr'!AD30+'Investment Income-2Yr'!AD30+'All Other E&amp;G-2Yr'!AD30</f>
        <v>299534.71000000002</v>
      </c>
      <c r="AE30" s="83">
        <f>+'Tuition-2Yr'!AE30+'State Appropriations-2Yr'!AE30+'Local Appropriations-2Yr'!AE30+'Fed Contracts Grnts-2Yr'!AE30+'Other Contracts Grnts-2Yr'!AE30+'Investment Income-2Yr'!AE30+'All Other E&amp;G-2Yr'!AE30</f>
        <v>235630.87700000004</v>
      </c>
      <c r="AF30" s="83">
        <f>+'Tuition-2Yr'!AF30+'State Appropriations-2Yr'!AF30+'Local Appropriations-2Yr'!AF30+'Fed Contracts Grnts-2Yr'!AF30+'Other Contracts Grnts-2Yr'!AF30+'Investment Income-2Yr'!AF30+'All Other E&amp;G-2Yr'!AF30</f>
        <v>227440.93900000001</v>
      </c>
      <c r="AG30" s="83">
        <f>+'Tuition-2Yr'!AG30+'State Appropriations-2Yr'!AG30+'Local Appropriations-2Yr'!AG30+'Fed Contracts Grnts-2Yr'!AG30+'Other Contracts Grnts-2Yr'!AG30+'Investment Income-2Yr'!AG30+'All Other E&amp;G-2Yr'!AG30</f>
        <v>214669.55300000001</v>
      </c>
      <c r="AH30" s="83">
        <f>+'Tuition-2Yr'!AH30+'State Appropriations-2Yr'!AH30+'Local Appropriations-2Yr'!AH30+'Fed Contracts Grnts-2Yr'!AH30+'Other Contracts Grnts-2Yr'!AH30+'Investment Income-2Yr'!AH30+'All Other E&amp;G-2Yr'!AH30</f>
        <v>224454.65299999996</v>
      </c>
      <c r="AI30" s="83">
        <f>+'Tuition-2Yr'!AI30+'State Appropriations-2Yr'!AI30+'Local Appropriations-2Yr'!AI30+'Fed Contracts Grnts-2Yr'!AI30+'Other Contracts Grnts-2Yr'!AI30+'Investment Income-2Yr'!AI30+'All Other E&amp;G-2Yr'!AI30</f>
        <v>233071.11</v>
      </c>
      <c r="AJ30" s="83">
        <f>+'Tuition-2Yr'!AJ30+'State Appropriations-2Yr'!AJ30+'Local Appropriations-2Yr'!AJ30+'Fed Contracts Grnts-2Yr'!AJ30+'Other Contracts Grnts-2Yr'!AJ30+'Investment Income-2Yr'!AJ30+'All Other E&amp;G-2Yr'!AJ30</f>
        <v>0</v>
      </c>
      <c r="AK30" s="83">
        <f>+'Tuition-2Yr'!AK30+'State Appropriations-2Yr'!AK30+'Local Appropriations-2Yr'!AK30+'Fed Contracts Grnts-2Yr'!AK30+'Other Contracts Grnts-2Yr'!AK30+'Investment Income-2Yr'!AK30+'All Other E&amp;G-2Yr'!AK30</f>
        <v>277942.21600000001</v>
      </c>
      <c r="AL30" s="83">
        <f>+'Tuition-2Yr'!AL30+'State Appropriations-2Yr'!AL30+'Local Appropriations-2Yr'!AL30+'Fed Contracts Grnts-2Yr'!AL30+'Other Contracts Grnts-2Yr'!AL30+'Investment Income-2Yr'!AL30+'All Other E&amp;G-2Yr'!AL30</f>
        <v>282337.36</v>
      </c>
    </row>
    <row r="31" spans="1:38" ht="12.75" customHeight="1">
      <c r="A31" s="1" t="s">
        <v>45</v>
      </c>
      <c r="B31" s="83">
        <f>+'Tuition-2Yr'!B31+'State Appropriations-2Yr'!B31+'Local Appropriations-2Yr'!B31+'Fed Contracts Grnts-2Yr'!B31+'Other Contracts Grnts-2Yr'!B31+'Investment Income-2Yr'!B31+'All Other E&amp;G-2Yr'!B31</f>
        <v>0</v>
      </c>
      <c r="C31" s="83">
        <f>+'Tuition-2Yr'!C31+'State Appropriations-2Yr'!C31+'Local Appropriations-2Yr'!C31+'Fed Contracts Grnts-2Yr'!C31+'Other Contracts Grnts-2Yr'!C31+'Investment Income-2Yr'!C31+'All Other E&amp;G-2Yr'!C31</f>
        <v>0</v>
      </c>
      <c r="D31" s="83">
        <f>+'Tuition-2Yr'!D31+'State Appropriations-2Yr'!D31+'Local Appropriations-2Yr'!D31+'Fed Contracts Grnts-2Yr'!D31+'Other Contracts Grnts-2Yr'!D31+'Investment Income-2Yr'!D31+'All Other E&amp;G-2Yr'!D31</f>
        <v>0</v>
      </c>
      <c r="E31" s="83">
        <f>+'Tuition-2Yr'!E31+'State Appropriations-2Yr'!E31+'Local Appropriations-2Yr'!E31+'Fed Contracts Grnts-2Yr'!E31+'Other Contracts Grnts-2Yr'!E31+'Investment Income-2Yr'!E31+'All Other E&amp;G-2Yr'!E31</f>
        <v>0</v>
      </c>
      <c r="F31" s="83">
        <f>+'Tuition-2Yr'!F31+'State Appropriations-2Yr'!F31+'Local Appropriations-2Yr'!F31+'Fed Contracts Grnts-2Yr'!F31+'Other Contracts Grnts-2Yr'!F31+'Investment Income-2Yr'!F31+'All Other E&amp;G-2Yr'!F31</f>
        <v>0</v>
      </c>
      <c r="G31" s="83">
        <f>+'Tuition-2Yr'!G31+'State Appropriations-2Yr'!G31+'Local Appropriations-2Yr'!G31+'Fed Contracts Grnts-2Yr'!G31+'Other Contracts Grnts-2Yr'!G31+'Investment Income-2Yr'!G31+'All Other E&amp;G-2Yr'!G31</f>
        <v>0</v>
      </c>
      <c r="H31" s="83">
        <f>+'Tuition-2Yr'!H31+'State Appropriations-2Yr'!H31+'Local Appropriations-2Yr'!H31+'Fed Contracts Grnts-2Yr'!H31+'Other Contracts Grnts-2Yr'!H31+'Investment Income-2Yr'!H31+'All Other E&amp;G-2Yr'!H31</f>
        <v>0</v>
      </c>
      <c r="I31" s="83">
        <f>+'Tuition-2Yr'!I31+'State Appropriations-2Yr'!I31+'Local Appropriations-2Yr'!I31+'Fed Contracts Grnts-2Yr'!I31+'Other Contracts Grnts-2Yr'!I31+'Investment Income-2Yr'!I31+'All Other E&amp;G-2Yr'!I31</f>
        <v>0</v>
      </c>
      <c r="J31" s="83">
        <f>+'Tuition-2Yr'!J31+'State Appropriations-2Yr'!J31+'Local Appropriations-2Yr'!J31+'Fed Contracts Grnts-2Yr'!J31+'Other Contracts Grnts-2Yr'!J31+'Investment Income-2Yr'!J31+'All Other E&amp;G-2Yr'!J31</f>
        <v>31128.776999999998</v>
      </c>
      <c r="K31" s="83">
        <f>+'Tuition-2Yr'!K31+'State Appropriations-2Yr'!K31+'Local Appropriations-2Yr'!K31+'Fed Contracts Grnts-2Yr'!K31+'Other Contracts Grnts-2Yr'!K31+'Investment Income-2Yr'!K31+'All Other E&amp;G-2Yr'!K31</f>
        <v>0</v>
      </c>
      <c r="L31" s="83">
        <f>+'Tuition-2Yr'!L31+'State Appropriations-2Yr'!L31+'Local Appropriations-2Yr'!L31+'Fed Contracts Grnts-2Yr'!L31+'Other Contracts Grnts-2Yr'!L31+'Investment Income-2Yr'!L31+'All Other E&amp;G-2Yr'!L31</f>
        <v>0</v>
      </c>
      <c r="M31" s="83">
        <f>+'Tuition-2Yr'!M31+'State Appropriations-2Yr'!M31+'Local Appropriations-2Yr'!M31+'Fed Contracts Grnts-2Yr'!M31+'Other Contracts Grnts-2Yr'!M31+'Investment Income-2Yr'!M31+'All Other E&amp;G-2Yr'!M31</f>
        <v>42065.528999999995</v>
      </c>
      <c r="N31" s="83">
        <f>+'Tuition-2Yr'!N31+'State Appropriations-2Yr'!N31+'Local Appropriations-2Yr'!N31+'Fed Contracts Grnts-2Yr'!N31+'Other Contracts Grnts-2Yr'!N31+'Investment Income-2Yr'!N31+'All Other E&amp;G-2Yr'!N31</f>
        <v>0</v>
      </c>
      <c r="O31" s="83">
        <f>+'Tuition-2Yr'!O31+'State Appropriations-2Yr'!O31+'Local Appropriations-2Yr'!O31+'Fed Contracts Grnts-2Yr'!O31+'Other Contracts Grnts-2Yr'!O31+'Investment Income-2Yr'!O31+'All Other E&amp;G-2Yr'!O31</f>
        <v>42177.51586</v>
      </c>
      <c r="P31" s="83">
        <f>+'Tuition-2Yr'!P31+'State Appropriations-2Yr'!P31+'Local Appropriations-2Yr'!P31+'Fed Contracts Grnts-2Yr'!P31+'Other Contracts Grnts-2Yr'!P31+'Investment Income-2Yr'!P31+'All Other E&amp;G-2Yr'!P31</f>
        <v>0</v>
      </c>
      <c r="Q31" s="83">
        <f>+'Tuition-2Yr'!Q31+'State Appropriations-2Yr'!Q31+'Local Appropriations-2Yr'!Q31+'Fed Contracts Grnts-2Yr'!Q31+'Other Contracts Grnts-2Yr'!Q31+'Investment Income-2Yr'!Q31+'All Other E&amp;G-2Yr'!Q31</f>
        <v>0</v>
      </c>
      <c r="R31" s="83">
        <f>+'Tuition-2Yr'!R31+'State Appropriations-2Yr'!R31+'Local Appropriations-2Yr'!R31+'Fed Contracts Grnts-2Yr'!R31+'Other Contracts Grnts-2Yr'!R31+'Investment Income-2Yr'!R31+'All Other E&amp;G-2Yr'!R31</f>
        <v>50345.332999999999</v>
      </c>
      <c r="S31" s="83">
        <f>+'Tuition-2Yr'!S31+'State Appropriations-2Yr'!S31+'Local Appropriations-2Yr'!S31+'Fed Contracts Grnts-2Yr'!S31+'Other Contracts Grnts-2Yr'!S31+'Investment Income-2Yr'!S31+'All Other E&amp;G-2Yr'!S31</f>
        <v>55560.563000000002</v>
      </c>
      <c r="T31" s="83">
        <f>+'Tuition-2Yr'!T31+'State Appropriations-2Yr'!T31+'Local Appropriations-2Yr'!T31+'Fed Contracts Grnts-2Yr'!T31+'Other Contracts Grnts-2Yr'!T31+'Investment Income-2Yr'!T31+'All Other E&amp;G-2Yr'!T31</f>
        <v>71752.285999999993</v>
      </c>
      <c r="U31" s="83">
        <f>+'Tuition-2Yr'!U31+'State Appropriations-2Yr'!U31+'Local Appropriations-2Yr'!U31+'Fed Contracts Grnts-2Yr'!U31+'Other Contracts Grnts-2Yr'!U31+'Investment Income-2Yr'!U31+'All Other E&amp;G-2Yr'!U31</f>
        <v>70953.964999999997</v>
      </c>
      <c r="V31" s="83">
        <f>+'Tuition-2Yr'!V31+'State Appropriations-2Yr'!V31+'Local Appropriations-2Yr'!V31+'Fed Contracts Grnts-2Yr'!V31+'Other Contracts Grnts-2Yr'!V31+'Investment Income-2Yr'!V31+'All Other E&amp;G-2Yr'!V31</f>
        <v>74701.725000000006</v>
      </c>
      <c r="W31" s="83">
        <f>+'Tuition-2Yr'!W31+'State Appropriations-2Yr'!W31+'Local Appropriations-2Yr'!W31+'Fed Contracts Grnts-2Yr'!W31+'Other Contracts Grnts-2Yr'!W31+'Investment Income-2Yr'!W31+'All Other E&amp;G-2Yr'!W31</f>
        <v>87956.112999999998</v>
      </c>
      <c r="X31" s="83">
        <f>+'Tuition-2Yr'!X31+'State Appropriations-2Yr'!X31+'Local Appropriations-2Yr'!X31+'Fed Contracts Grnts-2Yr'!X31+'Other Contracts Grnts-2Yr'!X31+'Investment Income-2Yr'!X31+'All Other E&amp;G-2Yr'!X31</f>
        <v>90351.650999999983</v>
      </c>
      <c r="Y31" s="83">
        <f>+'Tuition-2Yr'!Y31+'State Appropriations-2Yr'!Y31+'Local Appropriations-2Yr'!Y31+'Fed Contracts Grnts-2Yr'!Y31+'Other Contracts Grnts-2Yr'!Y31+'Investment Income-2Yr'!Y31+'All Other E&amp;G-2Yr'!Y31</f>
        <v>88085.607000000004</v>
      </c>
      <c r="Z31" s="83">
        <f>+'Tuition-2Yr'!Z31+'State Appropriations-2Yr'!Z31+'Local Appropriations-2Yr'!Z31+'Fed Contracts Grnts-2Yr'!Z31+'Other Contracts Grnts-2Yr'!Z31+'Investment Income-2Yr'!Z31+'All Other E&amp;G-2Yr'!Z31</f>
        <v>89928.746000000014</v>
      </c>
      <c r="AA31" s="83">
        <f>+'Tuition-2Yr'!AA31+'State Appropriations-2Yr'!AA31+'Local Appropriations-2Yr'!AA31+'Fed Contracts Grnts-2Yr'!AA31+'Other Contracts Grnts-2Yr'!AA31+'Investment Income-2Yr'!AA31+'All Other E&amp;G-2Yr'!AA31</f>
        <v>102901.26000000002</v>
      </c>
      <c r="AB31" s="83">
        <f>+'Tuition-2Yr'!AB31+'State Appropriations-2Yr'!AB31+'Local Appropriations-2Yr'!AB31+'Fed Contracts Grnts-2Yr'!AB31+'Other Contracts Grnts-2Yr'!AB31+'Investment Income-2Yr'!AB31+'All Other E&amp;G-2Yr'!AB31</f>
        <v>122049.637</v>
      </c>
      <c r="AC31" s="83">
        <f>+'Tuition-2Yr'!AC31+'State Appropriations-2Yr'!AC31+'Local Appropriations-2Yr'!AC31+'Fed Contracts Grnts-2Yr'!AC31+'Other Contracts Grnts-2Yr'!AC31+'Investment Income-2Yr'!AC31+'All Other E&amp;G-2Yr'!AC31</f>
        <v>124459</v>
      </c>
      <c r="AD31" s="83">
        <f>+'Tuition-2Yr'!AD31+'State Appropriations-2Yr'!AD31+'Local Appropriations-2Yr'!AD31+'Fed Contracts Grnts-2Yr'!AD31+'Other Contracts Grnts-2Yr'!AD31+'Investment Income-2Yr'!AD31+'All Other E&amp;G-2Yr'!AD31</f>
        <v>131187.511</v>
      </c>
      <c r="AE31" s="83">
        <f>+'Tuition-2Yr'!AE31+'State Appropriations-2Yr'!AE31+'Local Appropriations-2Yr'!AE31+'Fed Contracts Grnts-2Yr'!AE31+'Other Contracts Grnts-2Yr'!AE31+'Investment Income-2Yr'!AE31+'All Other E&amp;G-2Yr'!AE31</f>
        <v>120031.95600000001</v>
      </c>
      <c r="AF31" s="83">
        <f>+'Tuition-2Yr'!AF31+'State Appropriations-2Yr'!AF31+'Local Appropriations-2Yr'!AF31+'Fed Contracts Grnts-2Yr'!AF31+'Other Contracts Grnts-2Yr'!AF31+'Investment Income-2Yr'!AF31+'All Other E&amp;G-2Yr'!AF31</f>
        <v>117898.254</v>
      </c>
      <c r="AG31" s="83">
        <f>+'Tuition-2Yr'!AG31+'State Appropriations-2Yr'!AG31+'Local Appropriations-2Yr'!AG31+'Fed Contracts Grnts-2Yr'!AG31+'Other Contracts Grnts-2Yr'!AG31+'Investment Income-2Yr'!AG31+'All Other E&amp;G-2Yr'!AG31</f>
        <v>115879.908</v>
      </c>
      <c r="AH31" s="83">
        <f>+'Tuition-2Yr'!AH31+'State Appropriations-2Yr'!AH31+'Local Appropriations-2Yr'!AH31+'Fed Contracts Grnts-2Yr'!AH31+'Other Contracts Grnts-2Yr'!AH31+'Investment Income-2Yr'!AH31+'All Other E&amp;G-2Yr'!AH31</f>
        <v>122718.712</v>
      </c>
      <c r="AI31" s="83">
        <f>+'Tuition-2Yr'!AI31+'State Appropriations-2Yr'!AI31+'Local Appropriations-2Yr'!AI31+'Fed Contracts Grnts-2Yr'!AI31+'Other Contracts Grnts-2Yr'!AI31+'Investment Income-2Yr'!AI31+'All Other E&amp;G-2Yr'!AI31</f>
        <v>120489.68900000001</v>
      </c>
      <c r="AJ31" s="83">
        <f>+'Tuition-2Yr'!AJ31+'State Appropriations-2Yr'!AJ31+'Local Appropriations-2Yr'!AJ31+'Fed Contracts Grnts-2Yr'!AJ31+'Other Contracts Grnts-2Yr'!AJ31+'Investment Income-2Yr'!AJ31+'All Other E&amp;G-2Yr'!AJ31</f>
        <v>0</v>
      </c>
      <c r="AK31" s="83">
        <f>+'Tuition-2Yr'!AK31+'State Appropriations-2Yr'!AK31+'Local Appropriations-2Yr'!AK31+'Fed Contracts Grnts-2Yr'!AK31+'Other Contracts Grnts-2Yr'!AK31+'Investment Income-2Yr'!AK31+'All Other E&amp;G-2Yr'!AK31</f>
        <v>128044.488</v>
      </c>
      <c r="AL31" s="83">
        <f>+'Tuition-2Yr'!AL31+'State Appropriations-2Yr'!AL31+'Local Appropriations-2Yr'!AL31+'Fed Contracts Grnts-2Yr'!AL31+'Other Contracts Grnts-2Yr'!AL31+'Investment Income-2Yr'!AL31+'All Other E&amp;G-2Yr'!AL31</f>
        <v>124402.82800000001</v>
      </c>
    </row>
    <row r="32" spans="1:38" ht="12.75" customHeight="1">
      <c r="A32" s="1" t="s">
        <v>46</v>
      </c>
      <c r="B32" s="83">
        <f>+'Tuition-2Yr'!B32+'State Appropriations-2Yr'!B32+'Local Appropriations-2Yr'!B32+'Fed Contracts Grnts-2Yr'!B32+'Other Contracts Grnts-2Yr'!B32+'Investment Income-2Yr'!B32+'All Other E&amp;G-2Yr'!B32</f>
        <v>0</v>
      </c>
      <c r="C32" s="83">
        <f>+'Tuition-2Yr'!C32+'State Appropriations-2Yr'!C32+'Local Appropriations-2Yr'!C32+'Fed Contracts Grnts-2Yr'!C32+'Other Contracts Grnts-2Yr'!C32+'Investment Income-2Yr'!C32+'All Other E&amp;G-2Yr'!C32</f>
        <v>0</v>
      </c>
      <c r="D32" s="83">
        <f>+'Tuition-2Yr'!D32+'State Appropriations-2Yr'!D32+'Local Appropriations-2Yr'!D32+'Fed Contracts Grnts-2Yr'!D32+'Other Contracts Grnts-2Yr'!D32+'Investment Income-2Yr'!D32+'All Other E&amp;G-2Yr'!D32</f>
        <v>0</v>
      </c>
      <c r="E32" s="83">
        <f>+'Tuition-2Yr'!E32+'State Appropriations-2Yr'!E32+'Local Appropriations-2Yr'!E32+'Fed Contracts Grnts-2Yr'!E32+'Other Contracts Grnts-2Yr'!E32+'Investment Income-2Yr'!E32+'All Other E&amp;G-2Yr'!E32</f>
        <v>0</v>
      </c>
      <c r="F32" s="83">
        <f>+'Tuition-2Yr'!F32+'State Appropriations-2Yr'!F32+'Local Appropriations-2Yr'!F32+'Fed Contracts Grnts-2Yr'!F32+'Other Contracts Grnts-2Yr'!F32+'Investment Income-2Yr'!F32+'All Other E&amp;G-2Yr'!F32</f>
        <v>0</v>
      </c>
      <c r="G32" s="83">
        <f>+'Tuition-2Yr'!G32+'State Appropriations-2Yr'!G32+'Local Appropriations-2Yr'!G32+'Fed Contracts Grnts-2Yr'!G32+'Other Contracts Grnts-2Yr'!G32+'Investment Income-2Yr'!G32+'All Other E&amp;G-2Yr'!G32</f>
        <v>0</v>
      </c>
      <c r="H32" s="83">
        <f>+'Tuition-2Yr'!H32+'State Appropriations-2Yr'!H32+'Local Appropriations-2Yr'!H32+'Fed Contracts Grnts-2Yr'!H32+'Other Contracts Grnts-2Yr'!H32+'Investment Income-2Yr'!H32+'All Other E&amp;G-2Yr'!H32</f>
        <v>0</v>
      </c>
      <c r="I32" s="83">
        <f>+'Tuition-2Yr'!I32+'State Appropriations-2Yr'!I32+'Local Appropriations-2Yr'!I32+'Fed Contracts Grnts-2Yr'!I32+'Other Contracts Grnts-2Yr'!I32+'Investment Income-2Yr'!I32+'All Other E&amp;G-2Yr'!I32</f>
        <v>0</v>
      </c>
      <c r="J32" s="83">
        <f>+'Tuition-2Yr'!J32+'State Appropriations-2Yr'!J32+'Local Appropriations-2Yr'!J32+'Fed Contracts Grnts-2Yr'!J32+'Other Contracts Grnts-2Yr'!J32+'Investment Income-2Yr'!J32+'All Other E&amp;G-2Yr'!J32</f>
        <v>63808.42</v>
      </c>
      <c r="K32" s="83">
        <f>+'Tuition-2Yr'!K32+'State Appropriations-2Yr'!K32+'Local Appropriations-2Yr'!K32+'Fed Contracts Grnts-2Yr'!K32+'Other Contracts Grnts-2Yr'!K32+'Investment Income-2Yr'!K32+'All Other E&amp;G-2Yr'!K32</f>
        <v>0</v>
      </c>
      <c r="L32" s="83">
        <f>+'Tuition-2Yr'!L32+'State Appropriations-2Yr'!L32+'Local Appropriations-2Yr'!L32+'Fed Contracts Grnts-2Yr'!L32+'Other Contracts Grnts-2Yr'!L32+'Investment Income-2Yr'!L32+'All Other E&amp;G-2Yr'!L32</f>
        <v>0</v>
      </c>
      <c r="M32" s="83">
        <f>+'Tuition-2Yr'!M32+'State Appropriations-2Yr'!M32+'Local Appropriations-2Yr'!M32+'Fed Contracts Grnts-2Yr'!M32+'Other Contracts Grnts-2Yr'!M32+'Investment Income-2Yr'!M32+'All Other E&amp;G-2Yr'!M32</f>
        <v>76538.998000000007</v>
      </c>
      <c r="N32" s="83">
        <f>+'Tuition-2Yr'!N32+'State Appropriations-2Yr'!N32+'Local Appropriations-2Yr'!N32+'Fed Contracts Grnts-2Yr'!N32+'Other Contracts Grnts-2Yr'!N32+'Investment Income-2Yr'!N32+'All Other E&amp;G-2Yr'!N32</f>
        <v>0</v>
      </c>
      <c r="O32" s="83">
        <f>+'Tuition-2Yr'!O32+'State Appropriations-2Yr'!O32+'Local Appropriations-2Yr'!O32+'Fed Contracts Grnts-2Yr'!O32+'Other Contracts Grnts-2Yr'!O32+'Investment Income-2Yr'!O32+'All Other E&amp;G-2Yr'!O32</f>
        <v>99172</v>
      </c>
      <c r="P32" s="83">
        <f>+'Tuition-2Yr'!P32+'State Appropriations-2Yr'!P32+'Local Appropriations-2Yr'!P32+'Fed Contracts Grnts-2Yr'!P32+'Other Contracts Grnts-2Yr'!P32+'Investment Income-2Yr'!P32+'All Other E&amp;G-2Yr'!P32</f>
        <v>0</v>
      </c>
      <c r="Q32" s="83">
        <f>+'Tuition-2Yr'!Q32+'State Appropriations-2Yr'!Q32+'Local Appropriations-2Yr'!Q32+'Fed Contracts Grnts-2Yr'!Q32+'Other Contracts Grnts-2Yr'!Q32+'Investment Income-2Yr'!Q32+'All Other E&amp;G-2Yr'!Q32</f>
        <v>0</v>
      </c>
      <c r="R32" s="83">
        <f>+'Tuition-2Yr'!R32+'State Appropriations-2Yr'!R32+'Local Appropriations-2Yr'!R32+'Fed Contracts Grnts-2Yr'!R32+'Other Contracts Grnts-2Yr'!R32+'Investment Income-2Yr'!R32+'All Other E&amp;G-2Yr'!R32</f>
        <v>143420</v>
      </c>
      <c r="S32" s="83">
        <f>+'Tuition-2Yr'!S32+'State Appropriations-2Yr'!S32+'Local Appropriations-2Yr'!S32+'Fed Contracts Grnts-2Yr'!S32+'Other Contracts Grnts-2Yr'!S32+'Investment Income-2Yr'!S32+'All Other E&amp;G-2Yr'!S32</f>
        <v>156015</v>
      </c>
      <c r="T32" s="83">
        <f>+'Tuition-2Yr'!T32+'State Appropriations-2Yr'!T32+'Local Appropriations-2Yr'!T32+'Fed Contracts Grnts-2Yr'!T32+'Other Contracts Grnts-2Yr'!T32+'Investment Income-2Yr'!T32+'All Other E&amp;G-2Yr'!T32</f>
        <v>173024</v>
      </c>
      <c r="U32" s="83">
        <f>+'Tuition-2Yr'!U32+'State Appropriations-2Yr'!U32+'Local Appropriations-2Yr'!U32+'Fed Contracts Grnts-2Yr'!U32+'Other Contracts Grnts-2Yr'!U32+'Investment Income-2Yr'!U32+'All Other E&amp;G-2Yr'!U32</f>
        <v>177012</v>
      </c>
      <c r="V32" s="83">
        <f>+'Tuition-2Yr'!V32+'State Appropriations-2Yr'!V32+'Local Appropriations-2Yr'!V32+'Fed Contracts Grnts-2Yr'!V32+'Other Contracts Grnts-2Yr'!V32+'Investment Income-2Yr'!V32+'All Other E&amp;G-2Yr'!V32</f>
        <v>72834</v>
      </c>
      <c r="W32" s="83">
        <f>+'Tuition-2Yr'!W32+'State Appropriations-2Yr'!W32+'Local Appropriations-2Yr'!W32+'Fed Contracts Grnts-2Yr'!W32+'Other Contracts Grnts-2Yr'!W32+'Investment Income-2Yr'!W32+'All Other E&amp;G-2Yr'!W32</f>
        <v>78727.002999999997</v>
      </c>
      <c r="X32" s="83">
        <f>+'Tuition-2Yr'!X32+'State Appropriations-2Yr'!X32+'Local Appropriations-2Yr'!X32+'Fed Contracts Grnts-2Yr'!X32+'Other Contracts Grnts-2Yr'!X32+'Investment Income-2Yr'!X32+'All Other E&amp;G-2Yr'!X32</f>
        <v>82181</v>
      </c>
      <c r="Y32" s="83">
        <f>+'Tuition-2Yr'!Y32+'State Appropriations-2Yr'!Y32+'Local Appropriations-2Yr'!Y32+'Fed Contracts Grnts-2Yr'!Y32+'Other Contracts Grnts-2Yr'!Y32+'Investment Income-2Yr'!Y32+'All Other E&amp;G-2Yr'!Y32</f>
        <v>59459</v>
      </c>
      <c r="Z32" s="83">
        <f>+'Tuition-2Yr'!Z32+'State Appropriations-2Yr'!Z32+'Local Appropriations-2Yr'!Z32+'Fed Contracts Grnts-2Yr'!Z32+'Other Contracts Grnts-2Yr'!Z32+'Investment Income-2Yr'!Z32+'All Other E&amp;G-2Yr'!Z32</f>
        <v>62139</v>
      </c>
      <c r="AA32" s="83">
        <f>+'Tuition-2Yr'!AA32+'State Appropriations-2Yr'!AA32+'Local Appropriations-2Yr'!AA32+'Fed Contracts Grnts-2Yr'!AA32+'Other Contracts Grnts-2Yr'!AA32+'Investment Income-2Yr'!AA32+'All Other E&amp;G-2Yr'!AA32</f>
        <v>289539.973</v>
      </c>
      <c r="AB32" s="83">
        <f>+'Tuition-2Yr'!AB32+'State Appropriations-2Yr'!AB32+'Local Appropriations-2Yr'!AB32+'Fed Contracts Grnts-2Yr'!AB32+'Other Contracts Grnts-2Yr'!AB32+'Investment Income-2Yr'!AB32+'All Other E&amp;G-2Yr'!AB32</f>
        <v>338314.55800000002</v>
      </c>
      <c r="AC32" s="83">
        <f>+'Tuition-2Yr'!AC32+'State Appropriations-2Yr'!AC32+'Local Appropriations-2Yr'!AC32+'Fed Contracts Grnts-2Yr'!AC32+'Other Contracts Grnts-2Yr'!AC32+'Investment Income-2Yr'!AC32+'All Other E&amp;G-2Yr'!AC32</f>
        <v>356879</v>
      </c>
      <c r="AD32" s="83">
        <f>+'Tuition-2Yr'!AD32+'State Appropriations-2Yr'!AD32+'Local Appropriations-2Yr'!AD32+'Fed Contracts Grnts-2Yr'!AD32+'Other Contracts Grnts-2Yr'!AD32+'Investment Income-2Yr'!AD32+'All Other E&amp;G-2Yr'!AD32</f>
        <v>330255.63500000001</v>
      </c>
      <c r="AE32" s="83">
        <f>+'Tuition-2Yr'!AE32+'State Appropriations-2Yr'!AE32+'Local Appropriations-2Yr'!AE32+'Fed Contracts Grnts-2Yr'!AE32+'Other Contracts Grnts-2Yr'!AE32+'Investment Income-2Yr'!AE32+'All Other E&amp;G-2Yr'!AE32</f>
        <v>340351</v>
      </c>
      <c r="AF32" s="83">
        <f>+'Tuition-2Yr'!AF32+'State Appropriations-2Yr'!AF32+'Local Appropriations-2Yr'!AF32+'Fed Contracts Grnts-2Yr'!AF32+'Other Contracts Grnts-2Yr'!AF32+'Investment Income-2Yr'!AF32+'All Other E&amp;G-2Yr'!AF32</f>
        <v>339985</v>
      </c>
      <c r="AG32" s="83">
        <f>+'Tuition-2Yr'!AG32+'State Appropriations-2Yr'!AG32+'Local Appropriations-2Yr'!AG32+'Fed Contracts Grnts-2Yr'!AG32+'Other Contracts Grnts-2Yr'!AG32+'Investment Income-2Yr'!AG32+'All Other E&amp;G-2Yr'!AG32</f>
        <v>348161</v>
      </c>
      <c r="AH32" s="83">
        <f>+'Tuition-2Yr'!AH32+'State Appropriations-2Yr'!AH32+'Local Appropriations-2Yr'!AH32+'Fed Contracts Grnts-2Yr'!AH32+'Other Contracts Grnts-2Yr'!AH32+'Investment Income-2Yr'!AH32+'All Other E&amp;G-2Yr'!AH32</f>
        <v>343724</v>
      </c>
      <c r="AI32" s="83">
        <f>+'Tuition-2Yr'!AI32+'State Appropriations-2Yr'!AI32+'Local Appropriations-2Yr'!AI32+'Fed Contracts Grnts-2Yr'!AI32+'Other Contracts Grnts-2Yr'!AI32+'Investment Income-2Yr'!AI32+'All Other E&amp;G-2Yr'!AI32</f>
        <v>349362</v>
      </c>
      <c r="AJ32" s="83">
        <f>+'Tuition-2Yr'!AJ32+'State Appropriations-2Yr'!AJ32+'Local Appropriations-2Yr'!AJ32+'Fed Contracts Grnts-2Yr'!AJ32+'Other Contracts Grnts-2Yr'!AJ32+'Investment Income-2Yr'!AJ32+'All Other E&amp;G-2Yr'!AJ32</f>
        <v>0</v>
      </c>
      <c r="AK32" s="83">
        <f>+'Tuition-2Yr'!AK32+'State Appropriations-2Yr'!AK32+'Local Appropriations-2Yr'!AK32+'Fed Contracts Grnts-2Yr'!AK32+'Other Contracts Grnts-2Yr'!AK32+'Investment Income-2Yr'!AK32+'All Other E&amp;G-2Yr'!AK32</f>
        <v>428317</v>
      </c>
      <c r="AL32" s="83">
        <f>+'Tuition-2Yr'!AL32+'State Appropriations-2Yr'!AL32+'Local Appropriations-2Yr'!AL32+'Fed Contracts Grnts-2Yr'!AL32+'Other Contracts Grnts-2Yr'!AL32+'Investment Income-2Yr'!AL32+'All Other E&amp;G-2Yr'!AL32</f>
        <v>403493</v>
      </c>
    </row>
    <row r="33" spans="1:38" ht="12.75" customHeight="1">
      <c r="A33" s="1" t="s">
        <v>47</v>
      </c>
      <c r="B33" s="83">
        <f>+'Tuition-2Yr'!B33+'State Appropriations-2Yr'!B33+'Local Appropriations-2Yr'!B33+'Fed Contracts Grnts-2Yr'!B33+'Other Contracts Grnts-2Yr'!B33+'Investment Income-2Yr'!B33+'All Other E&amp;G-2Yr'!B33</f>
        <v>0</v>
      </c>
      <c r="C33" s="83">
        <f>+'Tuition-2Yr'!C33+'State Appropriations-2Yr'!C33+'Local Appropriations-2Yr'!C33+'Fed Contracts Grnts-2Yr'!C33+'Other Contracts Grnts-2Yr'!C33+'Investment Income-2Yr'!C33+'All Other E&amp;G-2Yr'!C33</f>
        <v>0</v>
      </c>
      <c r="D33" s="83">
        <f>+'Tuition-2Yr'!D33+'State Appropriations-2Yr'!D33+'Local Appropriations-2Yr'!D33+'Fed Contracts Grnts-2Yr'!D33+'Other Contracts Grnts-2Yr'!D33+'Investment Income-2Yr'!D33+'All Other E&amp;G-2Yr'!D33</f>
        <v>0</v>
      </c>
      <c r="E33" s="83">
        <f>+'Tuition-2Yr'!E33+'State Appropriations-2Yr'!E33+'Local Appropriations-2Yr'!E33+'Fed Contracts Grnts-2Yr'!E33+'Other Contracts Grnts-2Yr'!E33+'Investment Income-2Yr'!E33+'All Other E&amp;G-2Yr'!E33</f>
        <v>0</v>
      </c>
      <c r="F33" s="83">
        <f>+'Tuition-2Yr'!F33+'State Appropriations-2Yr'!F33+'Local Appropriations-2Yr'!F33+'Fed Contracts Grnts-2Yr'!F33+'Other Contracts Grnts-2Yr'!F33+'Investment Income-2Yr'!F33+'All Other E&amp;G-2Yr'!F33</f>
        <v>0</v>
      </c>
      <c r="G33" s="83">
        <f>+'Tuition-2Yr'!G33+'State Appropriations-2Yr'!G33+'Local Appropriations-2Yr'!G33+'Fed Contracts Grnts-2Yr'!G33+'Other Contracts Grnts-2Yr'!G33+'Investment Income-2Yr'!G33+'All Other E&amp;G-2Yr'!G33</f>
        <v>0</v>
      </c>
      <c r="H33" s="83">
        <f>+'Tuition-2Yr'!H33+'State Appropriations-2Yr'!H33+'Local Appropriations-2Yr'!H33+'Fed Contracts Grnts-2Yr'!H33+'Other Contracts Grnts-2Yr'!H33+'Investment Income-2Yr'!H33+'All Other E&amp;G-2Yr'!H33</f>
        <v>0</v>
      </c>
      <c r="I33" s="83">
        <f>+'Tuition-2Yr'!I33+'State Appropriations-2Yr'!I33+'Local Appropriations-2Yr'!I33+'Fed Contracts Grnts-2Yr'!I33+'Other Contracts Grnts-2Yr'!I33+'Investment Income-2Yr'!I33+'All Other E&amp;G-2Yr'!I33</f>
        <v>0</v>
      </c>
      <c r="J33" s="83">
        <f>+'Tuition-2Yr'!J33+'State Appropriations-2Yr'!J33+'Local Appropriations-2Yr'!J33+'Fed Contracts Grnts-2Yr'!J33+'Other Contracts Grnts-2Yr'!J33+'Investment Income-2Yr'!J33+'All Other E&amp;G-2Yr'!J33</f>
        <v>150758.049</v>
      </c>
      <c r="K33" s="83">
        <f>+'Tuition-2Yr'!K33+'State Appropriations-2Yr'!K33+'Local Appropriations-2Yr'!K33+'Fed Contracts Grnts-2Yr'!K33+'Other Contracts Grnts-2Yr'!K33+'Investment Income-2Yr'!K33+'All Other E&amp;G-2Yr'!K33</f>
        <v>0</v>
      </c>
      <c r="L33" s="83">
        <f>+'Tuition-2Yr'!L33+'State Appropriations-2Yr'!L33+'Local Appropriations-2Yr'!L33+'Fed Contracts Grnts-2Yr'!L33+'Other Contracts Grnts-2Yr'!L33+'Investment Income-2Yr'!L33+'All Other E&amp;G-2Yr'!L33</f>
        <v>0</v>
      </c>
      <c r="M33" s="83">
        <f>+'Tuition-2Yr'!M33+'State Appropriations-2Yr'!M33+'Local Appropriations-2Yr'!M33+'Fed Contracts Grnts-2Yr'!M33+'Other Contracts Grnts-2Yr'!M33+'Investment Income-2Yr'!M33+'All Other E&amp;G-2Yr'!M33</f>
        <v>198372.55400000003</v>
      </c>
      <c r="N33" s="83">
        <f>+'Tuition-2Yr'!N33+'State Appropriations-2Yr'!N33+'Local Appropriations-2Yr'!N33+'Fed Contracts Grnts-2Yr'!N33+'Other Contracts Grnts-2Yr'!N33+'Investment Income-2Yr'!N33+'All Other E&amp;G-2Yr'!N33</f>
        <v>0</v>
      </c>
      <c r="O33" s="83">
        <f>+'Tuition-2Yr'!O33+'State Appropriations-2Yr'!O33+'Local Appropriations-2Yr'!O33+'Fed Contracts Grnts-2Yr'!O33+'Other Contracts Grnts-2Yr'!O33+'Investment Income-2Yr'!O33+'All Other E&amp;G-2Yr'!O33</f>
        <v>245283.80685000002</v>
      </c>
      <c r="P33" s="83">
        <f>+'Tuition-2Yr'!P33+'State Appropriations-2Yr'!P33+'Local Appropriations-2Yr'!P33+'Fed Contracts Grnts-2Yr'!P33+'Other Contracts Grnts-2Yr'!P33+'Investment Income-2Yr'!P33+'All Other E&amp;G-2Yr'!P33</f>
        <v>0</v>
      </c>
      <c r="Q33" s="83">
        <f>+'Tuition-2Yr'!Q33+'State Appropriations-2Yr'!Q33+'Local Appropriations-2Yr'!Q33+'Fed Contracts Grnts-2Yr'!Q33+'Other Contracts Grnts-2Yr'!Q33+'Investment Income-2Yr'!Q33+'All Other E&amp;G-2Yr'!Q33</f>
        <v>0</v>
      </c>
      <c r="R33" s="83">
        <f>+'Tuition-2Yr'!R33+'State Appropriations-2Yr'!R33+'Local Appropriations-2Yr'!R33+'Fed Contracts Grnts-2Yr'!R33+'Other Contracts Grnts-2Yr'!R33+'Investment Income-2Yr'!R33+'All Other E&amp;G-2Yr'!R33</f>
        <v>304446.34200000006</v>
      </c>
      <c r="S33" s="83">
        <f>+'Tuition-2Yr'!S33+'State Appropriations-2Yr'!S33+'Local Appropriations-2Yr'!S33+'Fed Contracts Grnts-2Yr'!S33+'Other Contracts Grnts-2Yr'!S33+'Investment Income-2Yr'!S33+'All Other E&amp;G-2Yr'!S33</f>
        <v>321544.33100000001</v>
      </c>
      <c r="T33" s="83">
        <f>+'Tuition-2Yr'!T33+'State Appropriations-2Yr'!T33+'Local Appropriations-2Yr'!T33+'Fed Contracts Grnts-2Yr'!T33+'Other Contracts Grnts-2Yr'!T33+'Investment Income-2Yr'!T33+'All Other E&amp;G-2Yr'!T33</f>
        <v>357863.83199999999</v>
      </c>
      <c r="U33" s="83">
        <f>+'Tuition-2Yr'!U33+'State Appropriations-2Yr'!U33+'Local Appropriations-2Yr'!U33+'Fed Contracts Grnts-2Yr'!U33+'Other Contracts Grnts-2Yr'!U33+'Investment Income-2Yr'!U33+'All Other E&amp;G-2Yr'!U33</f>
        <v>381540.174</v>
      </c>
      <c r="V33" s="83">
        <f>+'Tuition-2Yr'!V33+'State Appropriations-2Yr'!V33+'Local Appropriations-2Yr'!V33+'Fed Contracts Grnts-2Yr'!V33+'Other Contracts Grnts-2Yr'!V33+'Investment Income-2Yr'!V33+'All Other E&amp;G-2Yr'!V33</f>
        <v>411897.35599999997</v>
      </c>
      <c r="W33" s="83">
        <f>+'Tuition-2Yr'!W33+'State Appropriations-2Yr'!W33+'Local Appropriations-2Yr'!W33+'Fed Contracts Grnts-2Yr'!W33+'Other Contracts Grnts-2Yr'!W33+'Investment Income-2Yr'!W33+'All Other E&amp;G-2Yr'!W33</f>
        <v>453305.74900000001</v>
      </c>
      <c r="X33" s="83">
        <f>+'Tuition-2Yr'!X33+'State Appropriations-2Yr'!X33+'Local Appropriations-2Yr'!X33+'Fed Contracts Grnts-2Yr'!X33+'Other Contracts Grnts-2Yr'!X33+'Investment Income-2Yr'!X33+'All Other E&amp;G-2Yr'!X33</f>
        <v>465719.96799999999</v>
      </c>
      <c r="Y33" s="83">
        <f>+'Tuition-2Yr'!Y33+'State Appropriations-2Yr'!Y33+'Local Appropriations-2Yr'!Y33+'Fed Contracts Grnts-2Yr'!Y33+'Other Contracts Grnts-2Yr'!Y33+'Investment Income-2Yr'!Y33+'All Other E&amp;G-2Yr'!Y33</f>
        <v>498926.04499999998</v>
      </c>
      <c r="Z33" s="83">
        <f>+'Tuition-2Yr'!Z33+'State Appropriations-2Yr'!Z33+'Local Appropriations-2Yr'!Z33+'Fed Contracts Grnts-2Yr'!Z33+'Other Contracts Grnts-2Yr'!Z33+'Investment Income-2Yr'!Z33+'All Other E&amp;G-2Yr'!Z33</f>
        <v>515605.66000000003</v>
      </c>
      <c r="AA33" s="83">
        <f>+'Tuition-2Yr'!AA33+'State Appropriations-2Yr'!AA33+'Local Appropriations-2Yr'!AA33+'Fed Contracts Grnts-2Yr'!AA33+'Other Contracts Grnts-2Yr'!AA33+'Investment Income-2Yr'!AA33+'All Other E&amp;G-2Yr'!AA33</f>
        <v>596151.80900000001</v>
      </c>
      <c r="AB33" s="83">
        <f>+'Tuition-2Yr'!AB33+'State Appropriations-2Yr'!AB33+'Local Appropriations-2Yr'!AB33+'Fed Contracts Grnts-2Yr'!AB33+'Other Contracts Grnts-2Yr'!AB33+'Investment Income-2Yr'!AB33+'All Other E&amp;G-2Yr'!AB33</f>
        <v>649289.26700000011</v>
      </c>
      <c r="AC33" s="83">
        <f>+'Tuition-2Yr'!AC33+'State Appropriations-2Yr'!AC33+'Local Appropriations-2Yr'!AC33+'Fed Contracts Grnts-2Yr'!AC33+'Other Contracts Grnts-2Yr'!AC33+'Investment Income-2Yr'!AC33+'All Other E&amp;G-2Yr'!AC33</f>
        <v>707057</v>
      </c>
      <c r="AD33" s="83">
        <f>+'Tuition-2Yr'!AD33+'State Appropriations-2Yr'!AD33+'Local Appropriations-2Yr'!AD33+'Fed Contracts Grnts-2Yr'!AD33+'Other Contracts Grnts-2Yr'!AD33+'Investment Income-2Yr'!AD33+'All Other E&amp;G-2Yr'!AD33</f>
        <v>679714.27899999998</v>
      </c>
      <c r="AE33" s="83">
        <f>+'Tuition-2Yr'!AE33+'State Appropriations-2Yr'!AE33+'Local Appropriations-2Yr'!AE33+'Fed Contracts Grnts-2Yr'!AE33+'Other Contracts Grnts-2Yr'!AE33+'Investment Income-2Yr'!AE33+'All Other E&amp;G-2Yr'!AE33</f>
        <v>746593.56400000001</v>
      </c>
      <c r="AF33" s="83">
        <f>+'Tuition-2Yr'!AF33+'State Appropriations-2Yr'!AF33+'Local Appropriations-2Yr'!AF33+'Fed Contracts Grnts-2Yr'!AF33+'Other Contracts Grnts-2Yr'!AF33+'Investment Income-2Yr'!AF33+'All Other E&amp;G-2Yr'!AF33</f>
        <v>474833.55300000001</v>
      </c>
      <c r="AG33" s="83">
        <f>+'Tuition-2Yr'!AG33+'State Appropriations-2Yr'!AG33+'Local Appropriations-2Yr'!AG33+'Fed Contracts Grnts-2Yr'!AG33+'Other Contracts Grnts-2Yr'!AG33+'Investment Income-2Yr'!AG33+'All Other E&amp;G-2Yr'!AG33</f>
        <v>445785.24</v>
      </c>
      <c r="AH33" s="83">
        <f>+'Tuition-2Yr'!AH33+'State Appropriations-2Yr'!AH33+'Local Appropriations-2Yr'!AH33+'Fed Contracts Grnts-2Yr'!AH33+'Other Contracts Grnts-2Yr'!AH33+'Investment Income-2Yr'!AH33+'All Other E&amp;G-2Yr'!AH33</f>
        <v>673306.66499999992</v>
      </c>
      <c r="AI33" s="83">
        <f>+'Tuition-2Yr'!AI33+'State Appropriations-2Yr'!AI33+'Local Appropriations-2Yr'!AI33+'Fed Contracts Grnts-2Yr'!AI33+'Other Contracts Grnts-2Yr'!AI33+'Investment Income-2Yr'!AI33+'All Other E&amp;G-2Yr'!AI33</f>
        <v>665187.89200000011</v>
      </c>
      <c r="AJ33" s="83">
        <f>+'Tuition-2Yr'!AJ33+'State Appropriations-2Yr'!AJ33+'Local Appropriations-2Yr'!AJ33+'Fed Contracts Grnts-2Yr'!AJ33+'Other Contracts Grnts-2Yr'!AJ33+'Investment Income-2Yr'!AJ33+'All Other E&amp;G-2Yr'!AJ33</f>
        <v>0</v>
      </c>
      <c r="AK33" s="83">
        <f>+'Tuition-2Yr'!AK33+'State Appropriations-2Yr'!AK33+'Local Appropriations-2Yr'!AK33+'Fed Contracts Grnts-2Yr'!AK33+'Other Contracts Grnts-2Yr'!AK33+'Investment Income-2Yr'!AK33+'All Other E&amp;G-2Yr'!AK33</f>
        <v>779021.91800000006</v>
      </c>
      <c r="AL33" s="83">
        <f>+'Tuition-2Yr'!AL33+'State Appropriations-2Yr'!AL33+'Local Appropriations-2Yr'!AL33+'Fed Contracts Grnts-2Yr'!AL33+'Other Contracts Grnts-2Yr'!AL33+'Investment Income-2Yr'!AL33+'All Other E&amp;G-2Yr'!AL33</f>
        <v>809966.875</v>
      </c>
    </row>
    <row r="34" spans="1:38" ht="12.75" customHeight="1">
      <c r="A34" s="1" t="s">
        <v>48</v>
      </c>
      <c r="B34" s="83">
        <f>+'Tuition-2Yr'!B34+'State Appropriations-2Yr'!B34+'Local Appropriations-2Yr'!B34+'Fed Contracts Grnts-2Yr'!B34+'Other Contracts Grnts-2Yr'!B34+'Investment Income-2Yr'!B34+'All Other E&amp;G-2Yr'!B34</f>
        <v>0</v>
      </c>
      <c r="C34" s="83">
        <f>+'Tuition-2Yr'!C34+'State Appropriations-2Yr'!C34+'Local Appropriations-2Yr'!C34+'Fed Contracts Grnts-2Yr'!C34+'Other Contracts Grnts-2Yr'!C34+'Investment Income-2Yr'!C34+'All Other E&amp;G-2Yr'!C34</f>
        <v>0</v>
      </c>
      <c r="D34" s="83">
        <f>+'Tuition-2Yr'!D34+'State Appropriations-2Yr'!D34+'Local Appropriations-2Yr'!D34+'Fed Contracts Grnts-2Yr'!D34+'Other Contracts Grnts-2Yr'!D34+'Investment Income-2Yr'!D34+'All Other E&amp;G-2Yr'!D34</f>
        <v>0</v>
      </c>
      <c r="E34" s="83">
        <f>+'Tuition-2Yr'!E34+'State Appropriations-2Yr'!E34+'Local Appropriations-2Yr'!E34+'Fed Contracts Grnts-2Yr'!E34+'Other Contracts Grnts-2Yr'!E34+'Investment Income-2Yr'!E34+'All Other E&amp;G-2Yr'!E34</f>
        <v>0</v>
      </c>
      <c r="F34" s="83">
        <f>+'Tuition-2Yr'!F34+'State Appropriations-2Yr'!F34+'Local Appropriations-2Yr'!F34+'Fed Contracts Grnts-2Yr'!F34+'Other Contracts Grnts-2Yr'!F34+'Investment Income-2Yr'!F34+'All Other E&amp;G-2Yr'!F34</f>
        <v>0</v>
      </c>
      <c r="G34" s="83">
        <f>+'Tuition-2Yr'!G34+'State Appropriations-2Yr'!G34+'Local Appropriations-2Yr'!G34+'Fed Contracts Grnts-2Yr'!G34+'Other Contracts Grnts-2Yr'!G34+'Investment Income-2Yr'!G34+'All Other E&amp;G-2Yr'!G34</f>
        <v>0</v>
      </c>
      <c r="H34" s="83">
        <f>+'Tuition-2Yr'!H34+'State Appropriations-2Yr'!H34+'Local Appropriations-2Yr'!H34+'Fed Contracts Grnts-2Yr'!H34+'Other Contracts Grnts-2Yr'!H34+'Investment Income-2Yr'!H34+'All Other E&amp;G-2Yr'!H34</f>
        <v>0</v>
      </c>
      <c r="I34" s="83">
        <f>+'Tuition-2Yr'!I34+'State Appropriations-2Yr'!I34+'Local Appropriations-2Yr'!I34+'Fed Contracts Grnts-2Yr'!I34+'Other Contracts Grnts-2Yr'!I34+'Investment Income-2Yr'!I34+'All Other E&amp;G-2Yr'!I34</f>
        <v>0</v>
      </c>
      <c r="J34" s="83">
        <f>+'Tuition-2Yr'!J34+'State Appropriations-2Yr'!J34+'Local Appropriations-2Yr'!J34+'Fed Contracts Grnts-2Yr'!J34+'Other Contracts Grnts-2Yr'!J34+'Investment Income-2Yr'!J34+'All Other E&amp;G-2Yr'!J34</f>
        <v>362807.06400000001</v>
      </c>
      <c r="K34" s="83">
        <f>+'Tuition-2Yr'!K34+'State Appropriations-2Yr'!K34+'Local Appropriations-2Yr'!K34+'Fed Contracts Grnts-2Yr'!K34+'Other Contracts Grnts-2Yr'!K34+'Investment Income-2Yr'!K34+'All Other E&amp;G-2Yr'!K34</f>
        <v>0</v>
      </c>
      <c r="L34" s="83">
        <f>+'Tuition-2Yr'!L34+'State Appropriations-2Yr'!L34+'Local Appropriations-2Yr'!L34+'Fed Contracts Grnts-2Yr'!L34+'Other Contracts Grnts-2Yr'!L34+'Investment Income-2Yr'!L34+'All Other E&amp;G-2Yr'!L34</f>
        <v>0</v>
      </c>
      <c r="M34" s="83">
        <f>+'Tuition-2Yr'!M34+'State Appropriations-2Yr'!M34+'Local Appropriations-2Yr'!M34+'Fed Contracts Grnts-2Yr'!M34+'Other Contracts Grnts-2Yr'!M34+'Investment Income-2Yr'!M34+'All Other E&amp;G-2Yr'!M34</f>
        <v>423060.53200000001</v>
      </c>
      <c r="N34" s="83">
        <f>+'Tuition-2Yr'!N34+'State Appropriations-2Yr'!N34+'Local Appropriations-2Yr'!N34+'Fed Contracts Grnts-2Yr'!N34+'Other Contracts Grnts-2Yr'!N34+'Investment Income-2Yr'!N34+'All Other E&amp;G-2Yr'!N34</f>
        <v>0</v>
      </c>
      <c r="O34" s="83">
        <f>+'Tuition-2Yr'!O34+'State Appropriations-2Yr'!O34+'Local Appropriations-2Yr'!O34+'Fed Contracts Grnts-2Yr'!O34+'Other Contracts Grnts-2Yr'!O34+'Investment Income-2Yr'!O34+'All Other E&amp;G-2Yr'!O34</f>
        <v>471229.27700000006</v>
      </c>
      <c r="P34" s="83">
        <f>+'Tuition-2Yr'!P34+'State Appropriations-2Yr'!P34+'Local Appropriations-2Yr'!P34+'Fed Contracts Grnts-2Yr'!P34+'Other Contracts Grnts-2Yr'!P34+'Investment Income-2Yr'!P34+'All Other E&amp;G-2Yr'!P34</f>
        <v>0</v>
      </c>
      <c r="Q34" s="83">
        <f>+'Tuition-2Yr'!Q34+'State Appropriations-2Yr'!Q34+'Local Appropriations-2Yr'!Q34+'Fed Contracts Grnts-2Yr'!Q34+'Other Contracts Grnts-2Yr'!Q34+'Investment Income-2Yr'!Q34+'All Other E&amp;G-2Yr'!Q34</f>
        <v>0</v>
      </c>
      <c r="R34" s="83">
        <f>+'Tuition-2Yr'!R34+'State Appropriations-2Yr'!R34+'Local Appropriations-2Yr'!R34+'Fed Contracts Grnts-2Yr'!R34+'Other Contracts Grnts-2Yr'!R34+'Investment Income-2Yr'!R34+'All Other E&amp;G-2Yr'!R34</f>
        <v>569459.26800000004</v>
      </c>
      <c r="S34" s="83">
        <f>+'Tuition-2Yr'!S34+'State Appropriations-2Yr'!S34+'Local Appropriations-2Yr'!S34+'Fed Contracts Grnts-2Yr'!S34+'Other Contracts Grnts-2Yr'!S34+'Investment Income-2Yr'!S34+'All Other E&amp;G-2Yr'!S34</f>
        <v>607505.02500000002</v>
      </c>
      <c r="T34" s="83">
        <f>+'Tuition-2Yr'!T34+'State Appropriations-2Yr'!T34+'Local Appropriations-2Yr'!T34+'Fed Contracts Grnts-2Yr'!T34+'Other Contracts Grnts-2Yr'!T34+'Investment Income-2Yr'!T34+'All Other E&amp;G-2Yr'!T34</f>
        <v>672452.89399999997</v>
      </c>
      <c r="U34" s="83">
        <f>+'Tuition-2Yr'!U34+'State Appropriations-2Yr'!U34+'Local Appropriations-2Yr'!U34+'Fed Contracts Grnts-2Yr'!U34+'Other Contracts Grnts-2Yr'!U34+'Investment Income-2Yr'!U34+'All Other E&amp;G-2Yr'!U34</f>
        <v>637129.69699999993</v>
      </c>
      <c r="V34" s="83">
        <f>+'Tuition-2Yr'!V34+'State Appropriations-2Yr'!V34+'Local Appropriations-2Yr'!V34+'Fed Contracts Grnts-2Yr'!V34+'Other Contracts Grnts-2Yr'!V34+'Investment Income-2Yr'!V34+'All Other E&amp;G-2Yr'!V34</f>
        <v>775248.05299999996</v>
      </c>
      <c r="W34" s="83">
        <f>+'Tuition-2Yr'!W34+'State Appropriations-2Yr'!W34+'Local Appropriations-2Yr'!W34+'Fed Contracts Grnts-2Yr'!W34+'Other Contracts Grnts-2Yr'!W34+'Investment Income-2Yr'!W34+'All Other E&amp;G-2Yr'!W34</f>
        <v>768728.54700000002</v>
      </c>
      <c r="X34" s="83">
        <f>+'Tuition-2Yr'!X34+'State Appropriations-2Yr'!X34+'Local Appropriations-2Yr'!X34+'Fed Contracts Grnts-2Yr'!X34+'Other Contracts Grnts-2Yr'!X34+'Investment Income-2Yr'!X34+'All Other E&amp;G-2Yr'!X34</f>
        <v>865465.76799999992</v>
      </c>
      <c r="Y34" s="83">
        <f>+'Tuition-2Yr'!Y34+'State Appropriations-2Yr'!Y34+'Local Appropriations-2Yr'!Y34+'Fed Contracts Grnts-2Yr'!Y34+'Other Contracts Grnts-2Yr'!Y34+'Investment Income-2Yr'!Y34+'All Other E&amp;G-2Yr'!Y34</f>
        <v>787586.01699999999</v>
      </c>
      <c r="Z34" s="83">
        <f>+'Tuition-2Yr'!Z34+'State Appropriations-2Yr'!Z34+'Local Appropriations-2Yr'!Z34+'Fed Contracts Grnts-2Yr'!Z34+'Other Contracts Grnts-2Yr'!Z34+'Investment Income-2Yr'!Z34+'All Other E&amp;G-2Yr'!Z34</f>
        <v>926682.87199999997</v>
      </c>
      <c r="AA34" s="83">
        <f>+'Tuition-2Yr'!AA34+'State Appropriations-2Yr'!AA34+'Local Appropriations-2Yr'!AA34+'Fed Contracts Grnts-2Yr'!AA34+'Other Contracts Grnts-2Yr'!AA34+'Investment Income-2Yr'!AA34+'All Other E&amp;G-2Yr'!AA34</f>
        <v>948811.19799999986</v>
      </c>
      <c r="AB34" s="83">
        <f>+'Tuition-2Yr'!AB34+'State Appropriations-2Yr'!AB34+'Local Appropriations-2Yr'!AB34+'Fed Contracts Grnts-2Yr'!AB34+'Other Contracts Grnts-2Yr'!AB34+'Investment Income-2Yr'!AB34+'All Other E&amp;G-2Yr'!AB34</f>
        <v>1302075.3960000002</v>
      </c>
      <c r="AC34" s="83">
        <f>+'Tuition-2Yr'!AC34+'State Appropriations-2Yr'!AC34+'Local Appropriations-2Yr'!AC34+'Fed Contracts Grnts-2Yr'!AC34+'Other Contracts Grnts-2Yr'!AC34+'Investment Income-2Yr'!AC34+'All Other E&amp;G-2Yr'!AC34</f>
        <v>1317977</v>
      </c>
      <c r="AD34" s="83">
        <f>+'Tuition-2Yr'!AD34+'State Appropriations-2Yr'!AD34+'Local Appropriations-2Yr'!AD34+'Fed Contracts Grnts-2Yr'!AD34+'Other Contracts Grnts-2Yr'!AD34+'Investment Income-2Yr'!AD34+'All Other E&amp;G-2Yr'!AD34</f>
        <v>1304299.2139999997</v>
      </c>
      <c r="AE34" s="83">
        <f>+'Tuition-2Yr'!AE34+'State Appropriations-2Yr'!AE34+'Local Appropriations-2Yr'!AE34+'Fed Contracts Grnts-2Yr'!AE34+'Other Contracts Grnts-2Yr'!AE34+'Investment Income-2Yr'!AE34+'All Other E&amp;G-2Yr'!AE34</f>
        <v>1211766.889</v>
      </c>
      <c r="AF34" s="83">
        <f>+'Tuition-2Yr'!AF34+'State Appropriations-2Yr'!AF34+'Local Appropriations-2Yr'!AF34+'Fed Contracts Grnts-2Yr'!AF34+'Other Contracts Grnts-2Yr'!AF34+'Investment Income-2Yr'!AF34+'All Other E&amp;G-2Yr'!AF34</f>
        <v>1304594.9089999998</v>
      </c>
      <c r="AG34" s="83">
        <f>+'Tuition-2Yr'!AG34+'State Appropriations-2Yr'!AG34+'Local Appropriations-2Yr'!AG34+'Fed Contracts Grnts-2Yr'!AG34+'Other Contracts Grnts-2Yr'!AG34+'Investment Income-2Yr'!AG34+'All Other E&amp;G-2Yr'!AG34</f>
        <v>1110977.9979999999</v>
      </c>
      <c r="AH34" s="83">
        <f>+'Tuition-2Yr'!AH34+'State Appropriations-2Yr'!AH34+'Local Appropriations-2Yr'!AH34+'Fed Contracts Grnts-2Yr'!AH34+'Other Contracts Grnts-2Yr'!AH34+'Investment Income-2Yr'!AH34+'All Other E&amp;G-2Yr'!AH34</f>
        <v>1208120.58</v>
      </c>
      <c r="AI34" s="83">
        <f>+'Tuition-2Yr'!AI34+'State Appropriations-2Yr'!AI34+'Local Appropriations-2Yr'!AI34+'Fed Contracts Grnts-2Yr'!AI34+'Other Contracts Grnts-2Yr'!AI34+'Investment Income-2Yr'!AI34+'All Other E&amp;G-2Yr'!AI34</f>
        <v>1152252.3689999999</v>
      </c>
      <c r="AJ34" s="83">
        <f>+'Tuition-2Yr'!AJ34+'State Appropriations-2Yr'!AJ34+'Local Appropriations-2Yr'!AJ34+'Fed Contracts Grnts-2Yr'!AJ34+'Other Contracts Grnts-2Yr'!AJ34+'Investment Income-2Yr'!AJ34+'All Other E&amp;G-2Yr'!AJ34</f>
        <v>0</v>
      </c>
      <c r="AK34" s="83">
        <f>+'Tuition-2Yr'!AK34+'State Appropriations-2Yr'!AK34+'Local Appropriations-2Yr'!AK34+'Fed Contracts Grnts-2Yr'!AK34+'Other Contracts Grnts-2Yr'!AK34+'Investment Income-2Yr'!AK34+'All Other E&amp;G-2Yr'!AK34</f>
        <v>1280258.6609999998</v>
      </c>
      <c r="AL34" s="83">
        <f>+'Tuition-2Yr'!AL34+'State Appropriations-2Yr'!AL34+'Local Appropriations-2Yr'!AL34+'Fed Contracts Grnts-2Yr'!AL34+'Other Contracts Grnts-2Yr'!AL34+'Investment Income-2Yr'!AL34+'All Other E&amp;G-2Yr'!AL34</f>
        <v>1359181.3770000001</v>
      </c>
    </row>
    <row r="35" spans="1:38" ht="12.75" customHeight="1">
      <c r="A35" s="1" t="s">
        <v>49</v>
      </c>
      <c r="B35" s="83">
        <f>+'Tuition-2Yr'!B35+'State Appropriations-2Yr'!B35+'Local Appropriations-2Yr'!B35+'Fed Contracts Grnts-2Yr'!B35+'Other Contracts Grnts-2Yr'!B35+'Investment Income-2Yr'!B35+'All Other E&amp;G-2Yr'!B35</f>
        <v>0</v>
      </c>
      <c r="C35" s="83">
        <f>+'Tuition-2Yr'!C35+'State Appropriations-2Yr'!C35+'Local Appropriations-2Yr'!C35+'Fed Contracts Grnts-2Yr'!C35+'Other Contracts Grnts-2Yr'!C35+'Investment Income-2Yr'!C35+'All Other E&amp;G-2Yr'!C35</f>
        <v>0</v>
      </c>
      <c r="D35" s="83">
        <f>+'Tuition-2Yr'!D35+'State Appropriations-2Yr'!D35+'Local Appropriations-2Yr'!D35+'Fed Contracts Grnts-2Yr'!D35+'Other Contracts Grnts-2Yr'!D35+'Investment Income-2Yr'!D35+'All Other E&amp;G-2Yr'!D35</f>
        <v>0</v>
      </c>
      <c r="E35" s="83">
        <f>+'Tuition-2Yr'!E35+'State Appropriations-2Yr'!E35+'Local Appropriations-2Yr'!E35+'Fed Contracts Grnts-2Yr'!E35+'Other Contracts Grnts-2Yr'!E35+'Investment Income-2Yr'!E35+'All Other E&amp;G-2Yr'!E35</f>
        <v>0</v>
      </c>
      <c r="F35" s="83">
        <f>+'Tuition-2Yr'!F35+'State Appropriations-2Yr'!F35+'Local Appropriations-2Yr'!F35+'Fed Contracts Grnts-2Yr'!F35+'Other Contracts Grnts-2Yr'!F35+'Investment Income-2Yr'!F35+'All Other E&amp;G-2Yr'!F35</f>
        <v>0</v>
      </c>
      <c r="G35" s="83">
        <f>+'Tuition-2Yr'!G35+'State Appropriations-2Yr'!G35+'Local Appropriations-2Yr'!G35+'Fed Contracts Grnts-2Yr'!G35+'Other Contracts Grnts-2Yr'!G35+'Investment Income-2Yr'!G35+'All Other E&amp;G-2Yr'!G35</f>
        <v>0</v>
      </c>
      <c r="H35" s="83">
        <f>+'Tuition-2Yr'!H35+'State Appropriations-2Yr'!H35+'Local Appropriations-2Yr'!H35+'Fed Contracts Grnts-2Yr'!H35+'Other Contracts Grnts-2Yr'!H35+'Investment Income-2Yr'!H35+'All Other E&amp;G-2Yr'!H35</f>
        <v>0</v>
      </c>
      <c r="I35" s="83">
        <f>+'Tuition-2Yr'!I35+'State Appropriations-2Yr'!I35+'Local Appropriations-2Yr'!I35+'Fed Contracts Grnts-2Yr'!I35+'Other Contracts Grnts-2Yr'!I35+'Investment Income-2Yr'!I35+'All Other E&amp;G-2Yr'!I35</f>
        <v>0</v>
      </c>
      <c r="J35" s="83">
        <f>+'Tuition-2Yr'!J35+'State Appropriations-2Yr'!J35+'Local Appropriations-2Yr'!J35+'Fed Contracts Grnts-2Yr'!J35+'Other Contracts Grnts-2Yr'!J35+'Investment Income-2Yr'!J35+'All Other E&amp;G-2Yr'!J35</f>
        <v>132847.09299999999</v>
      </c>
      <c r="K35" s="83">
        <f>+'Tuition-2Yr'!K35+'State Appropriations-2Yr'!K35+'Local Appropriations-2Yr'!K35+'Fed Contracts Grnts-2Yr'!K35+'Other Contracts Grnts-2Yr'!K35+'Investment Income-2Yr'!K35+'All Other E&amp;G-2Yr'!K35</f>
        <v>0</v>
      </c>
      <c r="L35" s="83">
        <f>+'Tuition-2Yr'!L35+'State Appropriations-2Yr'!L35+'Local Appropriations-2Yr'!L35+'Fed Contracts Grnts-2Yr'!L35+'Other Contracts Grnts-2Yr'!L35+'Investment Income-2Yr'!L35+'All Other E&amp;G-2Yr'!L35</f>
        <v>0</v>
      </c>
      <c r="M35" s="83">
        <f>+'Tuition-2Yr'!M35+'State Appropriations-2Yr'!M35+'Local Appropriations-2Yr'!M35+'Fed Contracts Grnts-2Yr'!M35+'Other Contracts Grnts-2Yr'!M35+'Investment Income-2Yr'!M35+'All Other E&amp;G-2Yr'!M35</f>
        <v>126058.86599999999</v>
      </c>
      <c r="N35" s="83">
        <f>+'Tuition-2Yr'!N35+'State Appropriations-2Yr'!N35+'Local Appropriations-2Yr'!N35+'Fed Contracts Grnts-2Yr'!N35+'Other Contracts Grnts-2Yr'!N35+'Investment Income-2Yr'!N35+'All Other E&amp;G-2Yr'!N35</f>
        <v>0</v>
      </c>
      <c r="O35" s="83">
        <f>+'Tuition-2Yr'!O35+'State Appropriations-2Yr'!O35+'Local Appropriations-2Yr'!O35+'Fed Contracts Grnts-2Yr'!O35+'Other Contracts Grnts-2Yr'!O35+'Investment Income-2Yr'!O35+'All Other E&amp;G-2Yr'!O35</f>
        <v>143860.63700000002</v>
      </c>
      <c r="P35" s="83">
        <f>+'Tuition-2Yr'!P35+'State Appropriations-2Yr'!P35+'Local Appropriations-2Yr'!P35+'Fed Contracts Grnts-2Yr'!P35+'Other Contracts Grnts-2Yr'!P35+'Investment Income-2Yr'!P35+'All Other E&amp;G-2Yr'!P35</f>
        <v>0</v>
      </c>
      <c r="Q35" s="83">
        <f>+'Tuition-2Yr'!Q35+'State Appropriations-2Yr'!Q35+'Local Appropriations-2Yr'!Q35+'Fed Contracts Grnts-2Yr'!Q35+'Other Contracts Grnts-2Yr'!Q35+'Investment Income-2Yr'!Q35+'All Other E&amp;G-2Yr'!Q35</f>
        <v>0</v>
      </c>
      <c r="R35" s="83">
        <f>+'Tuition-2Yr'!R35+'State Appropriations-2Yr'!R35+'Local Appropriations-2Yr'!R35+'Fed Contracts Grnts-2Yr'!R35+'Other Contracts Grnts-2Yr'!R35+'Investment Income-2Yr'!R35+'All Other E&amp;G-2Yr'!R35</f>
        <v>141236.23199999999</v>
      </c>
      <c r="S35" s="83">
        <f>+'Tuition-2Yr'!S35+'State Appropriations-2Yr'!S35+'Local Appropriations-2Yr'!S35+'Fed Contracts Grnts-2Yr'!S35+'Other Contracts Grnts-2Yr'!S35+'Investment Income-2Yr'!S35+'All Other E&amp;G-2Yr'!S35</f>
        <v>162455.89099999997</v>
      </c>
      <c r="T35" s="83">
        <f>+'Tuition-2Yr'!T35+'State Appropriations-2Yr'!T35+'Local Appropriations-2Yr'!T35+'Fed Contracts Grnts-2Yr'!T35+'Other Contracts Grnts-2Yr'!T35+'Investment Income-2Yr'!T35+'All Other E&amp;G-2Yr'!T35</f>
        <v>168231.99099999998</v>
      </c>
      <c r="U35" s="83">
        <f>+'Tuition-2Yr'!U35+'State Appropriations-2Yr'!U35+'Local Appropriations-2Yr'!U35+'Fed Contracts Grnts-2Yr'!U35+'Other Contracts Grnts-2Yr'!U35+'Investment Income-2Yr'!U35+'All Other E&amp;G-2Yr'!U35</f>
        <v>173683.62100000001</v>
      </c>
      <c r="V35" s="83">
        <f>+'Tuition-2Yr'!V35+'State Appropriations-2Yr'!V35+'Local Appropriations-2Yr'!V35+'Fed Contracts Grnts-2Yr'!V35+'Other Contracts Grnts-2Yr'!V35+'Investment Income-2Yr'!V35+'All Other E&amp;G-2Yr'!V35</f>
        <v>206136.08200000002</v>
      </c>
      <c r="W35" s="83">
        <f>+'Tuition-2Yr'!W35+'State Appropriations-2Yr'!W35+'Local Appropriations-2Yr'!W35+'Fed Contracts Grnts-2Yr'!W35+'Other Contracts Grnts-2Yr'!W35+'Investment Income-2Yr'!W35+'All Other E&amp;G-2Yr'!W35</f>
        <v>229270.36400000003</v>
      </c>
      <c r="X35" s="83">
        <f>+'Tuition-2Yr'!X35+'State Appropriations-2Yr'!X35+'Local Appropriations-2Yr'!X35+'Fed Contracts Grnts-2Yr'!X35+'Other Contracts Grnts-2Yr'!X35+'Investment Income-2Yr'!X35+'All Other E&amp;G-2Yr'!X35</f>
        <v>223959.50399999999</v>
      </c>
      <c r="Y35" s="83">
        <f>+'Tuition-2Yr'!Y35+'State Appropriations-2Yr'!Y35+'Local Appropriations-2Yr'!Y35+'Fed Contracts Grnts-2Yr'!Y35+'Other Contracts Grnts-2Yr'!Y35+'Investment Income-2Yr'!Y35+'All Other E&amp;G-2Yr'!Y35</f>
        <v>248209.78599999999</v>
      </c>
      <c r="Z35" s="83">
        <f>+'Tuition-2Yr'!Z35+'State Appropriations-2Yr'!Z35+'Local Appropriations-2Yr'!Z35+'Fed Contracts Grnts-2Yr'!Z35+'Other Contracts Grnts-2Yr'!Z35+'Investment Income-2Yr'!Z35+'All Other E&amp;G-2Yr'!Z35</f>
        <v>262601.59499999997</v>
      </c>
      <c r="AA35" s="83">
        <f>+'Tuition-2Yr'!AA35+'State Appropriations-2Yr'!AA35+'Local Appropriations-2Yr'!AA35+'Fed Contracts Grnts-2Yr'!AA35+'Other Contracts Grnts-2Yr'!AA35+'Investment Income-2Yr'!AA35+'All Other E&amp;G-2Yr'!AA35</f>
        <v>255489.49300000002</v>
      </c>
      <c r="AB35" s="83">
        <f>+'Tuition-2Yr'!AB35+'State Appropriations-2Yr'!AB35+'Local Appropriations-2Yr'!AB35+'Fed Contracts Grnts-2Yr'!AB35+'Other Contracts Grnts-2Yr'!AB35+'Investment Income-2Yr'!AB35+'All Other E&amp;G-2Yr'!AB35</f>
        <v>349190.80499999999</v>
      </c>
      <c r="AC35" s="83">
        <f>+'Tuition-2Yr'!AC35+'State Appropriations-2Yr'!AC35+'Local Appropriations-2Yr'!AC35+'Fed Contracts Grnts-2Yr'!AC35+'Other Contracts Grnts-2Yr'!AC35+'Investment Income-2Yr'!AC35+'All Other E&amp;G-2Yr'!AC35</f>
        <v>309328</v>
      </c>
      <c r="AD35" s="83">
        <f>+'Tuition-2Yr'!AD35+'State Appropriations-2Yr'!AD35+'Local Appropriations-2Yr'!AD35+'Fed Contracts Grnts-2Yr'!AD35+'Other Contracts Grnts-2Yr'!AD35+'Investment Income-2Yr'!AD35+'All Other E&amp;G-2Yr'!AD35</f>
        <v>245190.55799999999</v>
      </c>
      <c r="AE35" s="83">
        <f>+'Tuition-2Yr'!AE35+'State Appropriations-2Yr'!AE35+'Local Appropriations-2Yr'!AE35+'Fed Contracts Grnts-2Yr'!AE35+'Other Contracts Grnts-2Yr'!AE35+'Investment Income-2Yr'!AE35+'All Other E&amp;G-2Yr'!AE35</f>
        <v>348592.74300000002</v>
      </c>
      <c r="AF35" s="83">
        <f>+'Tuition-2Yr'!AF35+'State Appropriations-2Yr'!AF35+'Local Appropriations-2Yr'!AF35+'Fed Contracts Grnts-2Yr'!AF35+'Other Contracts Grnts-2Yr'!AF35+'Investment Income-2Yr'!AF35+'All Other E&amp;G-2Yr'!AF35</f>
        <v>345171.96499999997</v>
      </c>
      <c r="AG35" s="83">
        <f>+'Tuition-2Yr'!AG35+'State Appropriations-2Yr'!AG35+'Local Appropriations-2Yr'!AG35+'Fed Contracts Grnts-2Yr'!AG35+'Other Contracts Grnts-2Yr'!AG35+'Investment Income-2Yr'!AG35+'All Other E&amp;G-2Yr'!AG35</f>
        <v>364488.05599999998</v>
      </c>
      <c r="AH35" s="83">
        <f>+'Tuition-2Yr'!AH35+'State Appropriations-2Yr'!AH35+'Local Appropriations-2Yr'!AH35+'Fed Contracts Grnts-2Yr'!AH35+'Other Contracts Grnts-2Yr'!AH35+'Investment Income-2Yr'!AH35+'All Other E&amp;G-2Yr'!AH35</f>
        <v>270353.25499999995</v>
      </c>
      <c r="AI35" s="83">
        <f>+'Tuition-2Yr'!AI35+'State Appropriations-2Yr'!AI35+'Local Appropriations-2Yr'!AI35+'Fed Contracts Grnts-2Yr'!AI35+'Other Contracts Grnts-2Yr'!AI35+'Investment Income-2Yr'!AI35+'All Other E&amp;G-2Yr'!AI35</f>
        <v>272598.98100000003</v>
      </c>
      <c r="AJ35" s="83">
        <f>+'Tuition-2Yr'!AJ35+'State Appropriations-2Yr'!AJ35+'Local Appropriations-2Yr'!AJ35+'Fed Contracts Grnts-2Yr'!AJ35+'Other Contracts Grnts-2Yr'!AJ35+'Investment Income-2Yr'!AJ35+'All Other E&amp;G-2Yr'!AJ35</f>
        <v>0</v>
      </c>
      <c r="AK35" s="83">
        <f>+'Tuition-2Yr'!AK35+'State Appropriations-2Yr'!AK35+'Local Appropriations-2Yr'!AK35+'Fed Contracts Grnts-2Yr'!AK35+'Other Contracts Grnts-2Yr'!AK35+'Investment Income-2Yr'!AK35+'All Other E&amp;G-2Yr'!AK35</f>
        <v>307560.886</v>
      </c>
      <c r="AL35" s="83">
        <f>+'Tuition-2Yr'!AL35+'State Appropriations-2Yr'!AL35+'Local Appropriations-2Yr'!AL35+'Fed Contracts Grnts-2Yr'!AL35+'Other Contracts Grnts-2Yr'!AL35+'Investment Income-2Yr'!AL35+'All Other E&amp;G-2Yr'!AL35</f>
        <v>304757.00000000006</v>
      </c>
    </row>
    <row r="36" spans="1:38" ht="12.75" customHeight="1">
      <c r="A36" s="1" t="s">
        <v>50</v>
      </c>
      <c r="B36" s="83">
        <f>+'Tuition-2Yr'!B36+'State Appropriations-2Yr'!B36+'Local Appropriations-2Yr'!B36+'Fed Contracts Grnts-2Yr'!B36+'Other Contracts Grnts-2Yr'!B36+'Investment Income-2Yr'!B36+'All Other E&amp;G-2Yr'!B36</f>
        <v>0</v>
      </c>
      <c r="C36" s="83">
        <f>+'Tuition-2Yr'!C36+'State Appropriations-2Yr'!C36+'Local Appropriations-2Yr'!C36+'Fed Contracts Grnts-2Yr'!C36+'Other Contracts Grnts-2Yr'!C36+'Investment Income-2Yr'!C36+'All Other E&amp;G-2Yr'!C36</f>
        <v>0</v>
      </c>
      <c r="D36" s="83">
        <f>+'Tuition-2Yr'!D36+'State Appropriations-2Yr'!D36+'Local Appropriations-2Yr'!D36+'Fed Contracts Grnts-2Yr'!D36+'Other Contracts Grnts-2Yr'!D36+'Investment Income-2Yr'!D36+'All Other E&amp;G-2Yr'!D36</f>
        <v>0</v>
      </c>
      <c r="E36" s="83">
        <f>+'Tuition-2Yr'!E36+'State Appropriations-2Yr'!E36+'Local Appropriations-2Yr'!E36+'Fed Contracts Grnts-2Yr'!E36+'Other Contracts Grnts-2Yr'!E36+'Investment Income-2Yr'!E36+'All Other E&amp;G-2Yr'!E36</f>
        <v>0</v>
      </c>
      <c r="F36" s="83">
        <f>+'Tuition-2Yr'!F36+'State Appropriations-2Yr'!F36+'Local Appropriations-2Yr'!F36+'Fed Contracts Grnts-2Yr'!F36+'Other Contracts Grnts-2Yr'!F36+'Investment Income-2Yr'!F36+'All Other E&amp;G-2Yr'!F36</f>
        <v>0</v>
      </c>
      <c r="G36" s="83">
        <f>+'Tuition-2Yr'!G36+'State Appropriations-2Yr'!G36+'Local Appropriations-2Yr'!G36+'Fed Contracts Grnts-2Yr'!G36+'Other Contracts Grnts-2Yr'!G36+'Investment Income-2Yr'!G36+'All Other E&amp;G-2Yr'!G36</f>
        <v>0</v>
      </c>
      <c r="H36" s="83">
        <f>+'Tuition-2Yr'!H36+'State Appropriations-2Yr'!H36+'Local Appropriations-2Yr'!H36+'Fed Contracts Grnts-2Yr'!H36+'Other Contracts Grnts-2Yr'!H36+'Investment Income-2Yr'!H36+'All Other E&amp;G-2Yr'!H36</f>
        <v>0</v>
      </c>
      <c r="I36" s="83">
        <f>+'Tuition-2Yr'!I36+'State Appropriations-2Yr'!I36+'Local Appropriations-2Yr'!I36+'Fed Contracts Grnts-2Yr'!I36+'Other Contracts Grnts-2Yr'!I36+'Investment Income-2Yr'!I36+'All Other E&amp;G-2Yr'!I36</f>
        <v>0</v>
      </c>
      <c r="J36" s="83">
        <f>+'Tuition-2Yr'!J36+'State Appropriations-2Yr'!J36+'Local Appropriations-2Yr'!J36+'Fed Contracts Grnts-2Yr'!J36+'Other Contracts Grnts-2Yr'!J36+'Investment Income-2Yr'!J36+'All Other E&amp;G-2Yr'!J36</f>
        <v>542550.07300000009</v>
      </c>
      <c r="K36" s="83">
        <f>+'Tuition-2Yr'!K36+'State Appropriations-2Yr'!K36+'Local Appropriations-2Yr'!K36+'Fed Contracts Grnts-2Yr'!K36+'Other Contracts Grnts-2Yr'!K36+'Investment Income-2Yr'!K36+'All Other E&amp;G-2Yr'!K36</f>
        <v>0</v>
      </c>
      <c r="L36" s="83">
        <f>+'Tuition-2Yr'!L36+'State Appropriations-2Yr'!L36+'Local Appropriations-2Yr'!L36+'Fed Contracts Grnts-2Yr'!L36+'Other Contracts Grnts-2Yr'!L36+'Investment Income-2Yr'!L36+'All Other E&amp;G-2Yr'!L36</f>
        <v>0</v>
      </c>
      <c r="M36" s="83">
        <f>+'Tuition-2Yr'!M36+'State Appropriations-2Yr'!M36+'Local Appropriations-2Yr'!M36+'Fed Contracts Grnts-2Yr'!M36+'Other Contracts Grnts-2Yr'!M36+'Investment Income-2Yr'!M36+'All Other E&amp;G-2Yr'!M36</f>
        <v>707260.005</v>
      </c>
      <c r="N36" s="83">
        <f>+'Tuition-2Yr'!N36+'State Appropriations-2Yr'!N36+'Local Appropriations-2Yr'!N36+'Fed Contracts Grnts-2Yr'!N36+'Other Contracts Grnts-2Yr'!N36+'Investment Income-2Yr'!N36+'All Other E&amp;G-2Yr'!N36</f>
        <v>0</v>
      </c>
      <c r="O36" s="83">
        <f>+'Tuition-2Yr'!O36+'State Appropriations-2Yr'!O36+'Local Appropriations-2Yr'!O36+'Fed Contracts Grnts-2Yr'!O36+'Other Contracts Grnts-2Yr'!O36+'Investment Income-2Yr'!O36+'All Other E&amp;G-2Yr'!O36</f>
        <v>824214.97023999982</v>
      </c>
      <c r="P36" s="83">
        <f>+'Tuition-2Yr'!P36+'State Appropriations-2Yr'!P36+'Local Appropriations-2Yr'!P36+'Fed Contracts Grnts-2Yr'!P36+'Other Contracts Grnts-2Yr'!P36+'Investment Income-2Yr'!P36+'All Other E&amp;G-2Yr'!P36</f>
        <v>0</v>
      </c>
      <c r="Q36" s="83">
        <f>+'Tuition-2Yr'!Q36+'State Appropriations-2Yr'!Q36+'Local Appropriations-2Yr'!Q36+'Fed Contracts Grnts-2Yr'!Q36+'Other Contracts Grnts-2Yr'!Q36+'Investment Income-2Yr'!Q36+'All Other E&amp;G-2Yr'!Q36</f>
        <v>0</v>
      </c>
      <c r="R36" s="83">
        <f>+'Tuition-2Yr'!R36+'State Appropriations-2Yr'!R36+'Local Appropriations-2Yr'!R36+'Fed Contracts Grnts-2Yr'!R36+'Other Contracts Grnts-2Yr'!R36+'Investment Income-2Yr'!R36+'All Other E&amp;G-2Yr'!R36</f>
        <v>987799.22399999993</v>
      </c>
      <c r="S36" s="83">
        <f>+'Tuition-2Yr'!S36+'State Appropriations-2Yr'!S36+'Local Appropriations-2Yr'!S36+'Fed Contracts Grnts-2Yr'!S36+'Other Contracts Grnts-2Yr'!S36+'Investment Income-2Yr'!S36+'All Other E&amp;G-2Yr'!S36</f>
        <v>1121257.5159999998</v>
      </c>
      <c r="T36" s="83">
        <f>+'Tuition-2Yr'!T36+'State Appropriations-2Yr'!T36+'Local Appropriations-2Yr'!T36+'Fed Contracts Grnts-2Yr'!T36+'Other Contracts Grnts-2Yr'!T36+'Investment Income-2Yr'!T36+'All Other E&amp;G-2Yr'!T36</f>
        <v>1145827.155</v>
      </c>
      <c r="U36" s="83">
        <f>+'Tuition-2Yr'!U36+'State Appropriations-2Yr'!U36+'Local Appropriations-2Yr'!U36+'Fed Contracts Grnts-2Yr'!U36+'Other Contracts Grnts-2Yr'!U36+'Investment Income-2Yr'!U36+'All Other E&amp;G-2Yr'!U36</f>
        <v>1256688.27</v>
      </c>
      <c r="V36" s="83">
        <f>+'Tuition-2Yr'!V36+'State Appropriations-2Yr'!V36+'Local Appropriations-2Yr'!V36+'Fed Contracts Grnts-2Yr'!V36+'Other Contracts Grnts-2Yr'!V36+'Investment Income-2Yr'!V36+'All Other E&amp;G-2Yr'!V36</f>
        <v>1283065.7959999999</v>
      </c>
      <c r="W36" s="83">
        <f>+'Tuition-2Yr'!W36+'State Appropriations-2Yr'!W36+'Local Appropriations-2Yr'!W36+'Fed Contracts Grnts-2Yr'!W36+'Other Contracts Grnts-2Yr'!W36+'Investment Income-2Yr'!W36+'All Other E&amp;G-2Yr'!W36</f>
        <v>1361059.4509999999</v>
      </c>
      <c r="X36" s="83">
        <f>+'Tuition-2Yr'!X36+'State Appropriations-2Yr'!X36+'Local Appropriations-2Yr'!X36+'Fed Contracts Grnts-2Yr'!X36+'Other Contracts Grnts-2Yr'!X36+'Investment Income-2Yr'!X36+'All Other E&amp;G-2Yr'!X36</f>
        <v>1345857.2660000001</v>
      </c>
      <c r="Y36" s="83">
        <f>+'Tuition-2Yr'!Y36+'State Appropriations-2Yr'!Y36+'Local Appropriations-2Yr'!Y36+'Fed Contracts Grnts-2Yr'!Y36+'Other Contracts Grnts-2Yr'!Y36+'Investment Income-2Yr'!Y36+'All Other E&amp;G-2Yr'!Y36</f>
        <v>1186323.727</v>
      </c>
      <c r="Z36" s="83">
        <f>+'Tuition-2Yr'!Z36+'State Appropriations-2Yr'!Z36+'Local Appropriations-2Yr'!Z36+'Fed Contracts Grnts-2Yr'!Z36+'Other Contracts Grnts-2Yr'!Z36+'Investment Income-2Yr'!Z36+'All Other E&amp;G-2Yr'!Z36</f>
        <v>1313285.503</v>
      </c>
      <c r="AA36" s="83">
        <f>+'Tuition-2Yr'!AA36+'State Appropriations-2Yr'!AA36+'Local Appropriations-2Yr'!AA36+'Fed Contracts Grnts-2Yr'!AA36+'Other Contracts Grnts-2Yr'!AA36+'Investment Income-2Yr'!AA36+'All Other E&amp;G-2Yr'!AA36</f>
        <v>1749809.8649999998</v>
      </c>
      <c r="AB36" s="83">
        <f>+'Tuition-2Yr'!AB36+'State Appropriations-2Yr'!AB36+'Local Appropriations-2Yr'!AB36+'Fed Contracts Grnts-2Yr'!AB36+'Other Contracts Grnts-2Yr'!AB36+'Investment Income-2Yr'!AB36+'All Other E&amp;G-2Yr'!AB36</f>
        <v>1922199.1719999998</v>
      </c>
      <c r="AC36" s="83">
        <f>+'Tuition-2Yr'!AC36+'State Appropriations-2Yr'!AC36+'Local Appropriations-2Yr'!AC36+'Fed Contracts Grnts-2Yr'!AC36+'Other Contracts Grnts-2Yr'!AC36+'Investment Income-2Yr'!AC36+'All Other E&amp;G-2Yr'!AC36</f>
        <v>2024008</v>
      </c>
      <c r="AD36" s="83">
        <f>+'Tuition-2Yr'!AD36+'State Appropriations-2Yr'!AD36+'Local Appropriations-2Yr'!AD36+'Fed Contracts Grnts-2Yr'!AD36+'Other Contracts Grnts-2Yr'!AD36+'Investment Income-2Yr'!AD36+'All Other E&amp;G-2Yr'!AD36</f>
        <v>2019406.6910000001</v>
      </c>
      <c r="AE36" s="83">
        <f>+'Tuition-2Yr'!AE36+'State Appropriations-2Yr'!AE36+'Local Appropriations-2Yr'!AE36+'Fed Contracts Grnts-2Yr'!AE36+'Other Contracts Grnts-2Yr'!AE36+'Investment Income-2Yr'!AE36+'All Other E&amp;G-2Yr'!AE36</f>
        <v>2060809.5460000001</v>
      </c>
      <c r="AF36" s="83">
        <f>+'Tuition-2Yr'!AF36+'State Appropriations-2Yr'!AF36+'Local Appropriations-2Yr'!AF36+'Fed Contracts Grnts-2Yr'!AF36+'Other Contracts Grnts-2Yr'!AF36+'Investment Income-2Yr'!AF36+'All Other E&amp;G-2Yr'!AF36</f>
        <v>1596234.1469999999</v>
      </c>
      <c r="AG36" s="83">
        <f>+'Tuition-2Yr'!AG36+'State Appropriations-2Yr'!AG36+'Local Appropriations-2Yr'!AG36+'Fed Contracts Grnts-2Yr'!AG36+'Other Contracts Grnts-2Yr'!AG36+'Investment Income-2Yr'!AG36+'All Other E&amp;G-2Yr'!AG36</f>
        <v>1567664.9430000002</v>
      </c>
      <c r="AH36" s="83">
        <f>+'Tuition-2Yr'!AH36+'State Appropriations-2Yr'!AH36+'Local Appropriations-2Yr'!AH36+'Fed Contracts Grnts-2Yr'!AH36+'Other Contracts Grnts-2Yr'!AH36+'Investment Income-2Yr'!AH36+'All Other E&amp;G-2Yr'!AH36</f>
        <v>2021153.6949999998</v>
      </c>
      <c r="AI36" s="83">
        <f>+'Tuition-2Yr'!AI36+'State Appropriations-2Yr'!AI36+'Local Appropriations-2Yr'!AI36+'Fed Contracts Grnts-2Yr'!AI36+'Other Contracts Grnts-2Yr'!AI36+'Investment Income-2Yr'!AI36+'All Other E&amp;G-2Yr'!AI36</f>
        <v>2155102.7029999997</v>
      </c>
      <c r="AJ36" s="83">
        <f>+'Tuition-2Yr'!AJ36+'State Appropriations-2Yr'!AJ36+'Local Appropriations-2Yr'!AJ36+'Fed Contracts Grnts-2Yr'!AJ36+'Other Contracts Grnts-2Yr'!AJ36+'Investment Income-2Yr'!AJ36+'All Other E&amp;G-2Yr'!AJ36</f>
        <v>0</v>
      </c>
      <c r="AK36" s="83">
        <f>+'Tuition-2Yr'!AK36+'State Appropriations-2Yr'!AK36+'Local Appropriations-2Yr'!AK36+'Fed Contracts Grnts-2Yr'!AK36+'Other Contracts Grnts-2Yr'!AK36+'Investment Income-2Yr'!AK36+'All Other E&amp;G-2Yr'!AK36</f>
        <v>2514054.2110000001</v>
      </c>
      <c r="AL36" s="83">
        <f>+'Tuition-2Yr'!AL36+'State Appropriations-2Yr'!AL36+'Local Appropriations-2Yr'!AL36+'Fed Contracts Grnts-2Yr'!AL36+'Other Contracts Grnts-2Yr'!AL36+'Investment Income-2Yr'!AL36+'All Other E&amp;G-2Yr'!AL36</f>
        <v>2402895.79</v>
      </c>
    </row>
    <row r="37" spans="1:38" ht="12.75" customHeight="1">
      <c r="A37" s="27" t="s">
        <v>51</v>
      </c>
      <c r="B37" s="84">
        <f>+'Tuition-2Yr'!B37+'State Appropriations-2Yr'!B37+'Local Appropriations-2Yr'!B37+'Fed Contracts Grnts-2Yr'!B37+'Other Contracts Grnts-2Yr'!B37+'Investment Income-2Yr'!B37+'All Other E&amp;G-2Yr'!B37</f>
        <v>0</v>
      </c>
      <c r="C37" s="84">
        <f>+'Tuition-2Yr'!C37+'State Appropriations-2Yr'!C37+'Local Appropriations-2Yr'!C37+'Fed Contracts Grnts-2Yr'!C37+'Other Contracts Grnts-2Yr'!C37+'Investment Income-2Yr'!C37+'All Other E&amp;G-2Yr'!C37</f>
        <v>0</v>
      </c>
      <c r="D37" s="84">
        <f>+'Tuition-2Yr'!D37+'State Appropriations-2Yr'!D37+'Local Appropriations-2Yr'!D37+'Fed Contracts Grnts-2Yr'!D37+'Other Contracts Grnts-2Yr'!D37+'Investment Income-2Yr'!D37+'All Other E&amp;G-2Yr'!D37</f>
        <v>0</v>
      </c>
      <c r="E37" s="84">
        <f>+'Tuition-2Yr'!E37+'State Appropriations-2Yr'!E37+'Local Appropriations-2Yr'!E37+'Fed Contracts Grnts-2Yr'!E37+'Other Contracts Grnts-2Yr'!E37+'Investment Income-2Yr'!E37+'All Other E&amp;G-2Yr'!E37</f>
        <v>0</v>
      </c>
      <c r="F37" s="84">
        <f>+'Tuition-2Yr'!F37+'State Appropriations-2Yr'!F37+'Local Appropriations-2Yr'!F37+'Fed Contracts Grnts-2Yr'!F37+'Other Contracts Grnts-2Yr'!F37+'Investment Income-2Yr'!F37+'All Other E&amp;G-2Yr'!F37</f>
        <v>0</v>
      </c>
      <c r="G37" s="84">
        <f>+'Tuition-2Yr'!G37+'State Appropriations-2Yr'!G37+'Local Appropriations-2Yr'!G37+'Fed Contracts Grnts-2Yr'!G37+'Other Contracts Grnts-2Yr'!G37+'Investment Income-2Yr'!G37+'All Other E&amp;G-2Yr'!G37</f>
        <v>0</v>
      </c>
      <c r="H37" s="84">
        <f>+'Tuition-2Yr'!H37+'State Appropriations-2Yr'!H37+'Local Appropriations-2Yr'!H37+'Fed Contracts Grnts-2Yr'!H37+'Other Contracts Grnts-2Yr'!H37+'Investment Income-2Yr'!H37+'All Other E&amp;G-2Yr'!H37</f>
        <v>0</v>
      </c>
      <c r="I37" s="84">
        <f>+'Tuition-2Yr'!I37+'State Appropriations-2Yr'!I37+'Local Appropriations-2Yr'!I37+'Fed Contracts Grnts-2Yr'!I37+'Other Contracts Grnts-2Yr'!I37+'Investment Income-2Yr'!I37+'All Other E&amp;G-2Yr'!I37</f>
        <v>0</v>
      </c>
      <c r="J37" s="84">
        <f>+'Tuition-2Yr'!J37+'State Appropriations-2Yr'!J37+'Local Appropriations-2Yr'!J37+'Fed Contracts Grnts-2Yr'!J37+'Other Contracts Grnts-2Yr'!J37+'Investment Income-2Yr'!J37+'All Other E&amp;G-2Yr'!J37</f>
        <v>83485.356</v>
      </c>
      <c r="K37" s="84">
        <f>+'Tuition-2Yr'!K37+'State Appropriations-2Yr'!K37+'Local Appropriations-2Yr'!K37+'Fed Contracts Grnts-2Yr'!K37+'Other Contracts Grnts-2Yr'!K37+'Investment Income-2Yr'!K37+'All Other E&amp;G-2Yr'!K37</f>
        <v>0</v>
      </c>
      <c r="L37" s="84">
        <f>+'Tuition-2Yr'!L37+'State Appropriations-2Yr'!L37+'Local Appropriations-2Yr'!L37+'Fed Contracts Grnts-2Yr'!L37+'Other Contracts Grnts-2Yr'!L37+'Investment Income-2Yr'!L37+'All Other E&amp;G-2Yr'!L37</f>
        <v>0</v>
      </c>
      <c r="M37" s="84">
        <f>+'Tuition-2Yr'!M37+'State Appropriations-2Yr'!M37+'Local Appropriations-2Yr'!M37+'Fed Contracts Grnts-2Yr'!M37+'Other Contracts Grnts-2Yr'!M37+'Investment Income-2Yr'!M37+'All Other E&amp;G-2Yr'!M37</f>
        <v>85663.256999999998</v>
      </c>
      <c r="N37" s="84">
        <f>+'Tuition-2Yr'!N37+'State Appropriations-2Yr'!N37+'Local Appropriations-2Yr'!N37+'Fed Contracts Grnts-2Yr'!N37+'Other Contracts Grnts-2Yr'!N37+'Investment Income-2Yr'!N37+'All Other E&amp;G-2Yr'!N37</f>
        <v>0</v>
      </c>
      <c r="O37" s="84">
        <f>+'Tuition-2Yr'!O37+'State Appropriations-2Yr'!O37+'Local Appropriations-2Yr'!O37+'Fed Contracts Grnts-2Yr'!O37+'Other Contracts Grnts-2Yr'!O37+'Investment Income-2Yr'!O37+'All Other E&amp;G-2Yr'!O37</f>
        <v>88976.863999999987</v>
      </c>
      <c r="P37" s="84">
        <f>+'Tuition-2Yr'!P37+'State Appropriations-2Yr'!P37+'Local Appropriations-2Yr'!P37+'Fed Contracts Grnts-2Yr'!P37+'Other Contracts Grnts-2Yr'!P37+'Investment Income-2Yr'!P37+'All Other E&amp;G-2Yr'!P37</f>
        <v>0</v>
      </c>
      <c r="Q37" s="84">
        <f>+'Tuition-2Yr'!Q37+'State Appropriations-2Yr'!Q37+'Local Appropriations-2Yr'!Q37+'Fed Contracts Grnts-2Yr'!Q37+'Other Contracts Grnts-2Yr'!Q37+'Investment Income-2Yr'!Q37+'All Other E&amp;G-2Yr'!Q37</f>
        <v>0</v>
      </c>
      <c r="R37" s="84">
        <f>+'Tuition-2Yr'!R37+'State Appropriations-2Yr'!R37+'Local Appropriations-2Yr'!R37+'Fed Contracts Grnts-2Yr'!R37+'Other Contracts Grnts-2Yr'!R37+'Investment Income-2Yr'!R37+'All Other E&amp;G-2Yr'!R37</f>
        <v>100526.51499999998</v>
      </c>
      <c r="S37" s="84">
        <f>+'Tuition-2Yr'!S37+'State Appropriations-2Yr'!S37+'Local Appropriations-2Yr'!S37+'Fed Contracts Grnts-2Yr'!S37+'Other Contracts Grnts-2Yr'!S37+'Investment Income-2Yr'!S37+'All Other E&amp;G-2Yr'!S37</f>
        <v>110580.03600000002</v>
      </c>
      <c r="T37" s="84">
        <f>+'Tuition-2Yr'!T37+'State Appropriations-2Yr'!T37+'Local Appropriations-2Yr'!T37+'Fed Contracts Grnts-2Yr'!T37+'Other Contracts Grnts-2Yr'!T37+'Investment Income-2Yr'!T37+'All Other E&amp;G-2Yr'!T37</f>
        <v>126114.292</v>
      </c>
      <c r="U37" s="84">
        <f>+'Tuition-2Yr'!U37+'State Appropriations-2Yr'!U37+'Local Appropriations-2Yr'!U37+'Fed Contracts Grnts-2Yr'!U37+'Other Contracts Grnts-2Yr'!U37+'Investment Income-2Yr'!U37+'All Other E&amp;G-2Yr'!U37</f>
        <v>135092.93</v>
      </c>
      <c r="V37" s="84">
        <f>+'Tuition-2Yr'!V37+'State Appropriations-2Yr'!V37+'Local Appropriations-2Yr'!V37+'Fed Contracts Grnts-2Yr'!V37+'Other Contracts Grnts-2Yr'!V37+'Investment Income-2Yr'!V37+'All Other E&amp;G-2Yr'!V37</f>
        <v>136413.98699999999</v>
      </c>
      <c r="W37" s="84">
        <f>+'Tuition-2Yr'!W37+'State Appropriations-2Yr'!W37+'Local Appropriations-2Yr'!W37+'Fed Contracts Grnts-2Yr'!W37+'Other Contracts Grnts-2Yr'!W37+'Investment Income-2Yr'!W37+'All Other E&amp;G-2Yr'!W37</f>
        <v>164598.41200000001</v>
      </c>
      <c r="X37" s="84">
        <f>+'Tuition-2Yr'!X37+'State Appropriations-2Yr'!X37+'Local Appropriations-2Yr'!X37+'Fed Contracts Grnts-2Yr'!X37+'Other Contracts Grnts-2Yr'!X37+'Investment Income-2Yr'!X37+'All Other E&amp;G-2Yr'!X37</f>
        <v>168283.74100000001</v>
      </c>
      <c r="Y37" s="84">
        <f>+'Tuition-2Yr'!Y37+'State Appropriations-2Yr'!Y37+'Local Appropriations-2Yr'!Y37+'Fed Contracts Grnts-2Yr'!Y37+'Other Contracts Grnts-2Yr'!Y37+'Investment Income-2Yr'!Y37+'All Other E&amp;G-2Yr'!Y37</f>
        <v>193662.872</v>
      </c>
      <c r="Z37" s="84">
        <f>+'Tuition-2Yr'!Z37+'State Appropriations-2Yr'!Z37+'Local Appropriations-2Yr'!Z37+'Fed Contracts Grnts-2Yr'!Z37+'Other Contracts Grnts-2Yr'!Z37+'Investment Income-2Yr'!Z37+'All Other E&amp;G-2Yr'!Z37</f>
        <v>218363.28399999999</v>
      </c>
      <c r="AA37" s="84">
        <f>+'Tuition-2Yr'!AA37+'State Appropriations-2Yr'!AA37+'Local Appropriations-2Yr'!AA37+'Fed Contracts Grnts-2Yr'!AA37+'Other Contracts Grnts-2Yr'!AA37+'Investment Income-2Yr'!AA37+'All Other E&amp;G-2Yr'!AA37</f>
        <v>225569.72400000002</v>
      </c>
      <c r="AB37" s="84">
        <f>+'Tuition-2Yr'!AB37+'State Appropriations-2Yr'!AB37+'Local Appropriations-2Yr'!AB37+'Fed Contracts Grnts-2Yr'!AB37+'Other Contracts Grnts-2Yr'!AB37+'Investment Income-2Yr'!AB37+'All Other E&amp;G-2Yr'!AB37</f>
        <v>247118.20300000001</v>
      </c>
      <c r="AC37" s="84">
        <f>+'Tuition-2Yr'!AC37+'State Appropriations-2Yr'!AC37+'Local Appropriations-2Yr'!AC37+'Fed Contracts Grnts-2Yr'!AC37+'Other Contracts Grnts-2Yr'!AC37+'Investment Income-2Yr'!AC37+'All Other E&amp;G-2Yr'!AC37</f>
        <v>284820</v>
      </c>
      <c r="AD37" s="84">
        <f>+'Tuition-2Yr'!AD37+'State Appropriations-2Yr'!AD37+'Local Appropriations-2Yr'!AD37+'Fed Contracts Grnts-2Yr'!AD37+'Other Contracts Grnts-2Yr'!AD37+'Investment Income-2Yr'!AD37+'All Other E&amp;G-2Yr'!AD37</f>
        <v>281802.40299999993</v>
      </c>
      <c r="AE37" s="84">
        <f>+'Tuition-2Yr'!AE37+'State Appropriations-2Yr'!AE37+'Local Appropriations-2Yr'!AE37+'Fed Contracts Grnts-2Yr'!AE37+'Other Contracts Grnts-2Yr'!AE37+'Investment Income-2Yr'!AE37+'All Other E&amp;G-2Yr'!AE37</f>
        <v>301974.47000000003</v>
      </c>
      <c r="AF37" s="84">
        <f>+'Tuition-2Yr'!AF37+'State Appropriations-2Yr'!AF37+'Local Appropriations-2Yr'!AF37+'Fed Contracts Grnts-2Yr'!AF37+'Other Contracts Grnts-2Yr'!AF37+'Investment Income-2Yr'!AF37+'All Other E&amp;G-2Yr'!AF37</f>
        <v>288643.33400000003</v>
      </c>
      <c r="AG37" s="84">
        <f>+'Tuition-2Yr'!AG37+'State Appropriations-2Yr'!AG37+'Local Appropriations-2Yr'!AG37+'Fed Contracts Grnts-2Yr'!AG37+'Other Contracts Grnts-2Yr'!AG37+'Investment Income-2Yr'!AG37+'All Other E&amp;G-2Yr'!AG37</f>
        <v>305184.58600000001</v>
      </c>
      <c r="AH37" s="84">
        <f>+'Tuition-2Yr'!AH37+'State Appropriations-2Yr'!AH37+'Local Appropriations-2Yr'!AH37+'Fed Contracts Grnts-2Yr'!AH37+'Other Contracts Grnts-2Yr'!AH37+'Investment Income-2Yr'!AH37+'All Other E&amp;G-2Yr'!AH37</f>
        <v>295441.30700000003</v>
      </c>
      <c r="AI37" s="84">
        <f>+'Tuition-2Yr'!AI37+'State Appropriations-2Yr'!AI37+'Local Appropriations-2Yr'!AI37+'Fed Contracts Grnts-2Yr'!AI37+'Other Contracts Grnts-2Yr'!AI37+'Investment Income-2Yr'!AI37+'All Other E&amp;G-2Yr'!AI37</f>
        <v>289422.71000000002</v>
      </c>
      <c r="AJ37" s="84">
        <f>+'Tuition-2Yr'!AJ37+'State Appropriations-2Yr'!AJ37+'Local Appropriations-2Yr'!AJ37+'Fed Contracts Grnts-2Yr'!AJ37+'Other Contracts Grnts-2Yr'!AJ37+'Investment Income-2Yr'!AJ37+'All Other E&amp;G-2Yr'!AJ37</f>
        <v>0</v>
      </c>
      <c r="AK37" s="84">
        <f>+'Tuition-2Yr'!AK37+'State Appropriations-2Yr'!AK37+'Local Appropriations-2Yr'!AK37+'Fed Contracts Grnts-2Yr'!AK37+'Other Contracts Grnts-2Yr'!AK37+'Investment Income-2Yr'!AK37+'All Other E&amp;G-2Yr'!AK37</f>
        <v>307525.38399999996</v>
      </c>
      <c r="AL37" s="84">
        <f>+'Tuition-2Yr'!AL37+'State Appropriations-2Yr'!AL37+'Local Appropriations-2Yr'!AL37+'Fed Contracts Grnts-2Yr'!AL37+'Other Contracts Grnts-2Yr'!AL37+'Investment Income-2Yr'!AL37+'All Other E&amp;G-2Yr'!AL37</f>
        <v>290260.14199999999</v>
      </c>
    </row>
    <row r="38" spans="1:38" ht="12.75" customHeight="1">
      <c r="A38" s="6" t="s">
        <v>52</v>
      </c>
      <c r="B38" s="83">
        <f>+'Tuition-2Yr'!B38+'State Appropriations-2Yr'!B38+'Local Appropriations-2Yr'!B38+'Fed Contracts Grnts-2Yr'!B38+'Other Contracts Grnts-2Yr'!B38+'Investment Income-2Yr'!B38+'All Other E&amp;G-2Yr'!B38</f>
        <v>0</v>
      </c>
      <c r="C38" s="83">
        <f>+'Tuition-2Yr'!C38+'State Appropriations-2Yr'!C38+'Local Appropriations-2Yr'!C38+'Fed Contracts Grnts-2Yr'!C38+'Other Contracts Grnts-2Yr'!C38+'Investment Income-2Yr'!C38+'All Other E&amp;G-2Yr'!C38</f>
        <v>0</v>
      </c>
      <c r="D38" s="83">
        <f>+'Tuition-2Yr'!D38+'State Appropriations-2Yr'!D38+'Local Appropriations-2Yr'!D38+'Fed Contracts Grnts-2Yr'!D38+'Other Contracts Grnts-2Yr'!D38+'Investment Income-2Yr'!D38+'All Other E&amp;G-2Yr'!D38</f>
        <v>0</v>
      </c>
      <c r="E38" s="83">
        <f>+'Tuition-2Yr'!E38+'State Appropriations-2Yr'!E38+'Local Appropriations-2Yr'!E38+'Fed Contracts Grnts-2Yr'!E38+'Other Contracts Grnts-2Yr'!E38+'Investment Income-2Yr'!E38+'All Other E&amp;G-2Yr'!E38</f>
        <v>0</v>
      </c>
      <c r="F38" s="83">
        <f>+'Tuition-2Yr'!F38+'State Appropriations-2Yr'!F38+'Local Appropriations-2Yr'!F38+'Fed Contracts Grnts-2Yr'!F38+'Other Contracts Grnts-2Yr'!F38+'Investment Income-2Yr'!F38+'All Other E&amp;G-2Yr'!F38</f>
        <v>0</v>
      </c>
      <c r="G38" s="83">
        <f>+'Tuition-2Yr'!G38+'State Appropriations-2Yr'!G38+'Local Appropriations-2Yr'!G38+'Fed Contracts Grnts-2Yr'!G38+'Other Contracts Grnts-2Yr'!G38+'Investment Income-2Yr'!G38+'All Other E&amp;G-2Yr'!G38</f>
        <v>0</v>
      </c>
      <c r="H38" s="83">
        <f>+'Tuition-2Yr'!H38+'State Appropriations-2Yr'!H38+'Local Appropriations-2Yr'!H38+'Fed Contracts Grnts-2Yr'!H38+'Other Contracts Grnts-2Yr'!H38+'Investment Income-2Yr'!H38+'All Other E&amp;G-2Yr'!H38</f>
        <v>0</v>
      </c>
      <c r="I38" s="83">
        <f>+'Tuition-2Yr'!I38+'State Appropriations-2Yr'!I38+'Local Appropriations-2Yr'!I38+'Fed Contracts Grnts-2Yr'!I38+'Other Contracts Grnts-2Yr'!I38+'Investment Income-2Yr'!I38+'All Other E&amp;G-2Yr'!I38</f>
        <v>0</v>
      </c>
      <c r="J38" s="83">
        <f>+'Tuition-2Yr'!J38+'State Appropriations-2Yr'!J38+'Local Appropriations-2Yr'!J38+'Fed Contracts Grnts-2Yr'!J38+'Other Contracts Grnts-2Yr'!J38+'Investment Income-2Yr'!J38+'All Other E&amp;G-2Yr'!J38</f>
        <v>4277897.7719999999</v>
      </c>
      <c r="K38" s="83">
        <f>+'Tuition-2Yr'!K38+'State Appropriations-2Yr'!K38+'Local Appropriations-2Yr'!K38+'Fed Contracts Grnts-2Yr'!K38+'Other Contracts Grnts-2Yr'!K38+'Investment Income-2Yr'!K38+'All Other E&amp;G-2Yr'!K38</f>
        <v>0</v>
      </c>
      <c r="L38" s="83">
        <f>+'Tuition-2Yr'!L38+'State Appropriations-2Yr'!L38+'Local Appropriations-2Yr'!L38+'Fed Contracts Grnts-2Yr'!L38+'Other Contracts Grnts-2Yr'!L38+'Investment Income-2Yr'!L38+'All Other E&amp;G-2Yr'!L38</f>
        <v>0</v>
      </c>
      <c r="M38" s="83">
        <f>+'Tuition-2Yr'!M38+'State Appropriations-2Yr'!M38+'Local Appropriations-2Yr'!M38+'Fed Contracts Grnts-2Yr'!M38+'Other Contracts Grnts-2Yr'!M38+'Investment Income-2Yr'!M38+'All Other E&amp;G-2Yr'!M38</f>
        <v>4945098.8990000002</v>
      </c>
      <c r="N38" s="83">
        <f>+'Tuition-2Yr'!N38+'State Appropriations-2Yr'!N38+'Local Appropriations-2Yr'!N38+'Fed Contracts Grnts-2Yr'!N38+'Other Contracts Grnts-2Yr'!N38+'Investment Income-2Yr'!N38+'All Other E&amp;G-2Yr'!N38</f>
        <v>0</v>
      </c>
      <c r="O38" s="83">
        <f>+'Tuition-2Yr'!O38+'State Appropriations-2Yr'!O38+'Local Appropriations-2Yr'!O38+'Fed Contracts Grnts-2Yr'!O38+'Other Contracts Grnts-2Yr'!O38+'Investment Income-2Yr'!O38+'All Other E&amp;G-2Yr'!O38</f>
        <v>5698221.0831000004</v>
      </c>
      <c r="P38" s="83">
        <f>+'Tuition-2Yr'!P38+'State Appropriations-2Yr'!P38+'Local Appropriations-2Yr'!P38+'Fed Contracts Grnts-2Yr'!P38+'Other Contracts Grnts-2Yr'!P38+'Investment Income-2Yr'!P38+'All Other E&amp;G-2Yr'!P38</f>
        <v>0</v>
      </c>
      <c r="Q38" s="83">
        <f>+'Tuition-2Yr'!Q38+'State Appropriations-2Yr'!Q38+'Local Appropriations-2Yr'!Q38+'Fed Contracts Grnts-2Yr'!Q38+'Other Contracts Grnts-2Yr'!Q38+'Investment Income-2Yr'!Q38+'All Other E&amp;G-2Yr'!Q38</f>
        <v>0</v>
      </c>
      <c r="R38" s="83">
        <f>+'Tuition-2Yr'!R38+'State Appropriations-2Yr'!R38+'Local Appropriations-2Yr'!R38+'Fed Contracts Grnts-2Yr'!R38+'Other Contracts Grnts-2Yr'!R38+'Investment Income-2Yr'!R38+'All Other E&amp;G-2Yr'!R38</f>
        <v>6490958.0759999994</v>
      </c>
      <c r="S38" s="83">
        <f>+'Tuition-2Yr'!S38+'State Appropriations-2Yr'!S38+'Local Appropriations-2Yr'!S38+'Fed Contracts Grnts-2Yr'!S38+'Other Contracts Grnts-2Yr'!S38+'Investment Income-2Yr'!S38+'All Other E&amp;G-2Yr'!S38</f>
        <v>7081338.2239999995</v>
      </c>
      <c r="T38" s="83">
        <f>+'Tuition-2Yr'!T38+'State Appropriations-2Yr'!T38+'Local Appropriations-2Yr'!T38+'Fed Contracts Grnts-2Yr'!T38+'Other Contracts Grnts-2Yr'!T38+'Investment Income-2Yr'!T38+'All Other E&amp;G-2Yr'!T38</f>
        <v>7468478.432</v>
      </c>
      <c r="U38" s="83">
        <f>+'Tuition-2Yr'!U38+'State Appropriations-2Yr'!U38+'Local Appropriations-2Yr'!U38+'Fed Contracts Grnts-2Yr'!U38+'Other Contracts Grnts-2Yr'!U38+'Investment Income-2Yr'!U38+'All Other E&amp;G-2Yr'!U38</f>
        <v>7649127.7549999999</v>
      </c>
      <c r="V38" s="83">
        <f>+'Tuition-2Yr'!V38+'State Appropriations-2Yr'!V38+'Local Appropriations-2Yr'!V38+'Fed Contracts Grnts-2Yr'!V38+'Other Contracts Grnts-2Yr'!V38+'Investment Income-2Yr'!V38+'All Other E&amp;G-2Yr'!V38</f>
        <v>8110951.216</v>
      </c>
      <c r="W38" s="83">
        <f>+'Tuition-2Yr'!W38+'State Appropriations-2Yr'!W38+'Local Appropriations-2Yr'!W38+'Fed Contracts Grnts-2Yr'!W38+'Other Contracts Grnts-2Yr'!W38+'Investment Income-2Yr'!W38+'All Other E&amp;G-2Yr'!W38</f>
        <v>8830509.7199999988</v>
      </c>
      <c r="X38" s="83">
        <f>+'Tuition-2Yr'!X38+'State Appropriations-2Yr'!X38+'Local Appropriations-2Yr'!X38+'Fed Contracts Grnts-2Yr'!X38+'Other Contracts Grnts-2Yr'!X38+'Investment Income-2Yr'!X38+'All Other E&amp;G-2Yr'!X38</f>
        <v>8681843.8529999983</v>
      </c>
      <c r="Y38" s="83">
        <f>+'Tuition-2Yr'!Y38+'State Appropriations-2Yr'!Y38+'Local Appropriations-2Yr'!Y38+'Fed Contracts Grnts-2Yr'!Y38+'Other Contracts Grnts-2Yr'!Y38+'Investment Income-2Yr'!Y38+'All Other E&amp;G-2Yr'!Y38</f>
        <v>9021578.6030000001</v>
      </c>
      <c r="Z38" s="83">
        <f>+'Tuition-2Yr'!Z38+'State Appropriations-2Yr'!Z38+'Local Appropriations-2Yr'!Z38+'Fed Contracts Grnts-2Yr'!Z38+'Other Contracts Grnts-2Yr'!Z38+'Investment Income-2Yr'!Z38+'All Other E&amp;G-2Yr'!Z38</f>
        <v>9662040.2459999993</v>
      </c>
      <c r="AA38" s="83">
        <f>+'Tuition-2Yr'!AA38+'State Appropriations-2Yr'!AA38+'Local Appropriations-2Yr'!AA38+'Fed Contracts Grnts-2Yr'!AA38+'Other Contracts Grnts-2Yr'!AA38+'Investment Income-2Yr'!AA38+'All Other E&amp;G-2Yr'!AA38</f>
        <v>11388555.367000002</v>
      </c>
      <c r="AB38" s="83">
        <f>+'Tuition-2Yr'!AB38+'State Appropriations-2Yr'!AB38+'Local Appropriations-2Yr'!AB38+'Fed Contracts Grnts-2Yr'!AB38+'Other Contracts Grnts-2Yr'!AB38+'Investment Income-2Yr'!AB38+'All Other E&amp;G-2Yr'!AB38</f>
        <v>13046469.184999999</v>
      </c>
      <c r="AC38" s="83">
        <f>+'Tuition-2Yr'!AC38+'State Appropriations-2Yr'!AC38+'Local Appropriations-2Yr'!AC38+'Fed Contracts Grnts-2Yr'!AC38+'Other Contracts Grnts-2Yr'!AC38+'Investment Income-2Yr'!AC38+'All Other E&amp;G-2Yr'!AC38</f>
        <v>14190615</v>
      </c>
      <c r="AD38" s="83">
        <f>+'Tuition-2Yr'!AD38+'State Appropriations-2Yr'!AD38+'Local Appropriations-2Yr'!AD38+'Fed Contracts Grnts-2Yr'!AD38+'Other Contracts Grnts-2Yr'!AD38+'Investment Income-2Yr'!AD38+'All Other E&amp;G-2Yr'!AD38</f>
        <v>14031970.949999999</v>
      </c>
      <c r="AE38" s="83">
        <f>+'Tuition-2Yr'!AE38+'State Appropriations-2Yr'!AE38+'Local Appropriations-2Yr'!AE38+'Fed Contracts Grnts-2Yr'!AE38+'Other Contracts Grnts-2Yr'!AE38+'Investment Income-2Yr'!AE38+'All Other E&amp;G-2Yr'!AE38</f>
        <v>14189175.115</v>
      </c>
      <c r="AF38" s="83">
        <f>+'Tuition-2Yr'!AF38+'State Appropriations-2Yr'!AF38+'Local Appropriations-2Yr'!AF38+'Fed Contracts Grnts-2Yr'!AF38+'Other Contracts Grnts-2Yr'!AF38+'Investment Income-2Yr'!AF38+'All Other E&amp;G-2Yr'!AF38</f>
        <v>10899282.459000001</v>
      </c>
      <c r="AG38" s="83">
        <f>+'Tuition-2Yr'!AG38+'State Appropriations-2Yr'!AG38+'Local Appropriations-2Yr'!AG38+'Fed Contracts Grnts-2Yr'!AG38+'Other Contracts Grnts-2Yr'!AG38+'Investment Income-2Yr'!AG38+'All Other E&amp;G-2Yr'!AG38</f>
        <v>10926796.585999999</v>
      </c>
      <c r="AH38" s="83">
        <f>+'Tuition-2Yr'!AH38+'State Appropriations-2Yr'!AH38+'Local Appropriations-2Yr'!AH38+'Fed Contracts Grnts-2Yr'!AH38+'Other Contracts Grnts-2Yr'!AH38+'Investment Income-2Yr'!AH38+'All Other E&amp;G-2Yr'!AH38</f>
        <v>13928070.080999998</v>
      </c>
      <c r="AI38" s="83">
        <f>+'Tuition-2Yr'!AI38+'State Appropriations-2Yr'!AI38+'Local Appropriations-2Yr'!AI38+'Fed Contracts Grnts-2Yr'!AI38+'Other Contracts Grnts-2Yr'!AI38+'Investment Income-2Yr'!AI38+'All Other E&amp;G-2Yr'!AI38</f>
        <v>14122418.279000001</v>
      </c>
      <c r="AJ38" s="83">
        <f>+'Tuition-2Yr'!AJ38+'State Appropriations-2Yr'!AJ38+'Local Appropriations-2Yr'!AJ38+'Fed Contracts Grnts-2Yr'!AJ38+'Other Contracts Grnts-2Yr'!AJ38+'Investment Income-2Yr'!AJ38+'All Other E&amp;G-2Yr'!AJ38</f>
        <v>0</v>
      </c>
      <c r="AK38" s="83">
        <f>+'Tuition-2Yr'!AK38+'State Appropriations-2Yr'!AK38+'Local Appropriations-2Yr'!AK38+'Fed Contracts Grnts-2Yr'!AK38+'Other Contracts Grnts-2Yr'!AK38+'Investment Income-2Yr'!AK38+'All Other E&amp;G-2Yr'!AK38</f>
        <v>15523971.231000001</v>
      </c>
      <c r="AL38" s="83">
        <f>+'Tuition-2Yr'!AL38+'State Appropriations-2Yr'!AL38+'Local Appropriations-2Yr'!AL38+'Fed Contracts Grnts-2Yr'!AL38+'Other Contracts Grnts-2Yr'!AL38+'Investment Income-2Yr'!AL38+'All Other E&amp;G-2Yr'!AL38</f>
        <v>13915771.519999998</v>
      </c>
    </row>
    <row r="39" spans="1:38" ht="12.75" customHeight="1">
      <c r="A39" s="6" t="s">
        <v>94</v>
      </c>
      <c r="B39" s="83">
        <f>+'Tuition-2Yr'!B39+'State Appropriations-2Yr'!B39+'Local Appropriations-2Yr'!B39+'Fed Contracts Grnts-2Yr'!B39+'Other Contracts Grnts-2Yr'!B39+'Investment Income-2Yr'!B39+'All Other E&amp;G-2Yr'!B39</f>
        <v>0</v>
      </c>
      <c r="C39" s="83">
        <f>+'Tuition-2Yr'!C39+'State Appropriations-2Yr'!C39+'Local Appropriations-2Yr'!C39+'Fed Contracts Grnts-2Yr'!C39+'Other Contracts Grnts-2Yr'!C39+'Investment Income-2Yr'!C39+'All Other E&amp;G-2Yr'!C39</f>
        <v>0</v>
      </c>
      <c r="D39" s="83">
        <f>+'Tuition-2Yr'!D39+'State Appropriations-2Yr'!D39+'Local Appropriations-2Yr'!D39+'Fed Contracts Grnts-2Yr'!D39+'Other Contracts Grnts-2Yr'!D39+'Investment Income-2Yr'!D39+'All Other E&amp;G-2Yr'!D39</f>
        <v>0</v>
      </c>
      <c r="E39" s="83">
        <f>+'Tuition-2Yr'!E39+'State Appropriations-2Yr'!E39+'Local Appropriations-2Yr'!E39+'Fed Contracts Grnts-2Yr'!E39+'Other Contracts Grnts-2Yr'!E39+'Investment Income-2Yr'!E39+'All Other E&amp;G-2Yr'!E39</f>
        <v>0</v>
      </c>
      <c r="F39" s="83">
        <f>+'Tuition-2Yr'!F39+'State Appropriations-2Yr'!F39+'Local Appropriations-2Yr'!F39+'Fed Contracts Grnts-2Yr'!F39+'Other Contracts Grnts-2Yr'!F39+'Investment Income-2Yr'!F39+'All Other E&amp;G-2Yr'!F39</f>
        <v>0</v>
      </c>
      <c r="G39" s="83">
        <f>+'Tuition-2Yr'!G39+'State Appropriations-2Yr'!G39+'Local Appropriations-2Yr'!G39+'Fed Contracts Grnts-2Yr'!G39+'Other Contracts Grnts-2Yr'!G39+'Investment Income-2Yr'!G39+'All Other E&amp;G-2Yr'!G39</f>
        <v>0</v>
      </c>
      <c r="H39" s="83">
        <f>+'Tuition-2Yr'!H39+'State Appropriations-2Yr'!H39+'Local Appropriations-2Yr'!H39+'Fed Contracts Grnts-2Yr'!H39+'Other Contracts Grnts-2Yr'!H39+'Investment Income-2Yr'!H39+'All Other E&amp;G-2Yr'!H39</f>
        <v>0</v>
      </c>
      <c r="I39" s="83">
        <f>+'Tuition-2Yr'!I39+'State Appropriations-2Yr'!I39+'Local Appropriations-2Yr'!I39+'Fed Contracts Grnts-2Yr'!I39+'Other Contracts Grnts-2Yr'!I39+'Investment Income-2Yr'!I39+'All Other E&amp;G-2Yr'!I39</f>
        <v>0</v>
      </c>
      <c r="J39" s="83">
        <f>+'Tuition-2Yr'!J39+'State Appropriations-2Yr'!J39+'Local Appropriations-2Yr'!J39+'Fed Contracts Grnts-2Yr'!J39+'Other Contracts Grnts-2Yr'!J39+'Investment Income-2Yr'!J39+'All Other E&amp;G-2Yr'!J39</f>
        <v>0</v>
      </c>
      <c r="K39" s="83">
        <f>+'Tuition-2Yr'!K39+'State Appropriations-2Yr'!K39+'Local Appropriations-2Yr'!K39+'Fed Contracts Grnts-2Yr'!K39+'Other Contracts Grnts-2Yr'!K39+'Investment Income-2Yr'!K39+'All Other E&amp;G-2Yr'!K39</f>
        <v>0</v>
      </c>
      <c r="L39" s="83">
        <f>+'Tuition-2Yr'!L39+'State Appropriations-2Yr'!L39+'Local Appropriations-2Yr'!L39+'Fed Contracts Grnts-2Yr'!L39+'Other Contracts Grnts-2Yr'!L39+'Investment Income-2Yr'!L39+'All Other E&amp;G-2Yr'!L39</f>
        <v>0</v>
      </c>
      <c r="M39" s="83">
        <f>+'Tuition-2Yr'!M39+'State Appropriations-2Yr'!M39+'Local Appropriations-2Yr'!M39+'Fed Contracts Grnts-2Yr'!M39+'Other Contracts Grnts-2Yr'!M39+'Investment Income-2Yr'!M39+'All Other E&amp;G-2Yr'!M39</f>
        <v>0</v>
      </c>
      <c r="N39" s="83">
        <f>+'Tuition-2Yr'!N39+'State Appropriations-2Yr'!N39+'Local Appropriations-2Yr'!N39+'Fed Contracts Grnts-2Yr'!N39+'Other Contracts Grnts-2Yr'!N39+'Investment Income-2Yr'!N39+'All Other E&amp;G-2Yr'!N39</f>
        <v>0</v>
      </c>
      <c r="O39" s="83">
        <f>+'Tuition-2Yr'!O39+'State Appropriations-2Yr'!O39+'Local Appropriations-2Yr'!O39+'Fed Contracts Grnts-2Yr'!O39+'Other Contracts Grnts-2Yr'!O39+'Investment Income-2Yr'!O39+'All Other E&amp;G-2Yr'!O39</f>
        <v>0</v>
      </c>
      <c r="P39" s="83">
        <f>+'Tuition-2Yr'!P39+'State Appropriations-2Yr'!P39+'Local Appropriations-2Yr'!P39+'Fed Contracts Grnts-2Yr'!P39+'Other Contracts Grnts-2Yr'!P39+'Investment Income-2Yr'!P39+'All Other E&amp;G-2Yr'!P39</f>
        <v>0</v>
      </c>
      <c r="Q39" s="83">
        <f>+'Tuition-2Yr'!Q39+'State Appropriations-2Yr'!Q39+'Local Appropriations-2Yr'!Q39+'Fed Contracts Grnts-2Yr'!Q39+'Other Contracts Grnts-2Yr'!Q39+'Investment Income-2Yr'!Q39+'All Other E&amp;G-2Yr'!Q39</f>
        <v>0</v>
      </c>
      <c r="R39" s="83">
        <f>+'Tuition-2Yr'!R39+'State Appropriations-2Yr'!R39+'Local Appropriations-2Yr'!R39+'Fed Contracts Grnts-2Yr'!R39+'Other Contracts Grnts-2Yr'!R39+'Investment Income-2Yr'!R39+'All Other E&amp;G-2Yr'!R39</f>
        <v>0</v>
      </c>
      <c r="S39" s="83">
        <f>+'Tuition-2Yr'!S39+'State Appropriations-2Yr'!S39+'Local Appropriations-2Yr'!S39+'Fed Contracts Grnts-2Yr'!S39+'Other Contracts Grnts-2Yr'!S39+'Investment Income-2Yr'!S39+'All Other E&amp;G-2Yr'!S39</f>
        <v>0</v>
      </c>
      <c r="T39" s="83">
        <f>+'Tuition-2Yr'!T39+'State Appropriations-2Yr'!T39+'Local Appropriations-2Yr'!T39+'Fed Contracts Grnts-2Yr'!T39+'Other Contracts Grnts-2Yr'!T39+'Investment Income-2Yr'!T39+'All Other E&amp;G-2Yr'!T39</f>
        <v>0</v>
      </c>
      <c r="U39" s="83">
        <f>+'Tuition-2Yr'!U39+'State Appropriations-2Yr'!U39+'Local Appropriations-2Yr'!U39+'Fed Contracts Grnts-2Yr'!U39+'Other Contracts Grnts-2Yr'!U39+'Investment Income-2Yr'!U39+'All Other E&amp;G-2Yr'!U39</f>
        <v>0</v>
      </c>
      <c r="V39" s="83">
        <f>+'Tuition-2Yr'!V39+'State Appropriations-2Yr'!V39+'Local Appropriations-2Yr'!V39+'Fed Contracts Grnts-2Yr'!V39+'Other Contracts Grnts-2Yr'!V39+'Investment Income-2Yr'!V39+'All Other E&amp;G-2Yr'!V39</f>
        <v>0</v>
      </c>
      <c r="W39" s="83">
        <f>+'Tuition-2Yr'!W39+'State Appropriations-2Yr'!W39+'Local Appropriations-2Yr'!W39+'Fed Contracts Grnts-2Yr'!W39+'Other Contracts Grnts-2Yr'!W39+'Investment Income-2Yr'!W39+'All Other E&amp;G-2Yr'!W39</f>
        <v>0</v>
      </c>
      <c r="X39" s="83">
        <f>+'Tuition-2Yr'!X39+'State Appropriations-2Yr'!X39+'Local Appropriations-2Yr'!X39+'Fed Contracts Grnts-2Yr'!X39+'Other Contracts Grnts-2Yr'!X39+'Investment Income-2Yr'!X39+'All Other E&amp;G-2Yr'!X39</f>
        <v>0</v>
      </c>
      <c r="Y39" s="83">
        <f>+'Tuition-2Yr'!Y39+'State Appropriations-2Yr'!Y39+'Local Appropriations-2Yr'!Y39+'Fed Contracts Grnts-2Yr'!Y39+'Other Contracts Grnts-2Yr'!Y39+'Investment Income-2Yr'!Y39+'All Other E&amp;G-2Yr'!Y39</f>
        <v>0</v>
      </c>
      <c r="Z39" s="83">
        <f>+'Tuition-2Yr'!Z39+'State Appropriations-2Yr'!Z39+'Local Appropriations-2Yr'!Z39+'Fed Contracts Grnts-2Yr'!Z39+'Other Contracts Grnts-2Yr'!Z39+'Investment Income-2Yr'!Z39+'All Other E&amp;G-2Yr'!Z39</f>
        <v>0</v>
      </c>
      <c r="AA39" s="83">
        <f>+'Tuition-2Yr'!AA39+'State Appropriations-2Yr'!AA39+'Local Appropriations-2Yr'!AA39+'Fed Contracts Grnts-2Yr'!AA39+'Other Contracts Grnts-2Yr'!AA39+'Investment Income-2Yr'!AA39+'All Other E&amp;G-2Yr'!AA39</f>
        <v>0</v>
      </c>
      <c r="AB39" s="83">
        <f>+'Tuition-2Yr'!AB39+'State Appropriations-2Yr'!AB39+'Local Appropriations-2Yr'!AB39+'Fed Contracts Grnts-2Yr'!AB39+'Other Contracts Grnts-2Yr'!AB39+'Investment Income-2Yr'!AB39+'All Other E&amp;G-2Yr'!AB39</f>
        <v>0</v>
      </c>
      <c r="AC39" s="83">
        <f>+'Tuition-2Yr'!AC39+'State Appropriations-2Yr'!AC39+'Local Appropriations-2Yr'!AC39+'Fed Contracts Grnts-2Yr'!AC39+'Other Contracts Grnts-2Yr'!AC39+'Investment Income-2Yr'!AC39+'All Other E&amp;G-2Yr'!AC39</f>
        <v>0</v>
      </c>
      <c r="AD39" s="83">
        <f>+'Tuition-2Yr'!AD39+'State Appropriations-2Yr'!AD39+'Local Appropriations-2Yr'!AD39+'Fed Contracts Grnts-2Yr'!AD39+'Other Contracts Grnts-2Yr'!AD39+'Investment Income-2Yr'!AD39+'All Other E&amp;G-2Yr'!AD39</f>
        <v>0</v>
      </c>
      <c r="AE39" s="83">
        <f>+'Tuition-2Yr'!AE39+'State Appropriations-2Yr'!AE39+'Local Appropriations-2Yr'!AE39+'Fed Contracts Grnts-2Yr'!AE39+'Other Contracts Grnts-2Yr'!AE39+'Investment Income-2Yr'!AE39+'All Other E&amp;G-2Yr'!AE39</f>
        <v>0</v>
      </c>
      <c r="AF39" s="83">
        <f>+'Tuition-2Yr'!AF39+'State Appropriations-2Yr'!AF39+'Local Appropriations-2Yr'!AF39+'Fed Contracts Grnts-2Yr'!AF39+'Other Contracts Grnts-2Yr'!AF39+'Investment Income-2Yr'!AF39+'All Other E&amp;G-2Yr'!AF39</f>
        <v>0</v>
      </c>
      <c r="AG39" s="83">
        <f>+'Tuition-2Yr'!AG39+'State Appropriations-2Yr'!AG39+'Local Appropriations-2Yr'!AG39+'Fed Contracts Grnts-2Yr'!AG39+'Other Contracts Grnts-2Yr'!AG39+'Investment Income-2Yr'!AG39+'All Other E&amp;G-2Yr'!AG39</f>
        <v>0</v>
      </c>
      <c r="AH39" s="83">
        <f>+'Tuition-2Yr'!AH39+'State Appropriations-2Yr'!AH39+'Local Appropriations-2Yr'!AH39+'Fed Contracts Grnts-2Yr'!AH39+'Other Contracts Grnts-2Yr'!AH39+'Investment Income-2Yr'!AH39+'All Other E&amp;G-2Yr'!AH39</f>
        <v>0</v>
      </c>
      <c r="AI39" s="83">
        <f>+'Tuition-2Yr'!AI39+'State Appropriations-2Yr'!AI39+'Local Appropriations-2Yr'!AI39+'Fed Contracts Grnts-2Yr'!AI39+'Other Contracts Grnts-2Yr'!AI39+'Investment Income-2Yr'!AI39+'All Other E&amp;G-2Yr'!AI39</f>
        <v>0</v>
      </c>
      <c r="AJ39" s="83">
        <f>+'Tuition-2Yr'!AJ39+'State Appropriations-2Yr'!AJ39+'Local Appropriations-2Yr'!AJ39+'Fed Contracts Grnts-2Yr'!AJ39+'Other Contracts Grnts-2Yr'!AJ39+'Investment Income-2Yr'!AJ39+'All Other E&amp;G-2Yr'!AJ39</f>
        <v>0</v>
      </c>
      <c r="AK39" s="83">
        <f>+'Tuition-2Yr'!AK39+'State Appropriations-2Yr'!AK39+'Local Appropriations-2Yr'!AK39+'Fed Contracts Grnts-2Yr'!AK39+'Other Contracts Grnts-2Yr'!AK39+'Investment Income-2Yr'!AK39+'All Other E&amp;G-2Yr'!AK39</f>
        <v>0</v>
      </c>
      <c r="AL39" s="83">
        <f>+'Tuition-2Yr'!AL39+'State Appropriations-2Yr'!AL39+'Local Appropriations-2Yr'!AL39+'Fed Contracts Grnts-2Yr'!AL39+'Other Contracts Grnts-2Yr'!AL39+'Investment Income-2Yr'!AL39+'All Other E&amp;G-2Yr'!AL39</f>
        <v>0</v>
      </c>
    </row>
    <row r="40" spans="1:38" ht="12.75" customHeight="1">
      <c r="A40" s="1" t="s">
        <v>53</v>
      </c>
      <c r="B40" s="83">
        <f>+'Tuition-2Yr'!B40+'State Appropriations-2Yr'!B40+'Local Appropriations-2Yr'!B40+'Fed Contracts Grnts-2Yr'!B40+'Other Contracts Grnts-2Yr'!B40+'Investment Income-2Yr'!B40+'All Other E&amp;G-2Yr'!B40</f>
        <v>0</v>
      </c>
      <c r="C40" s="83">
        <f>+'Tuition-2Yr'!C40+'State Appropriations-2Yr'!C40+'Local Appropriations-2Yr'!C40+'Fed Contracts Grnts-2Yr'!C40+'Other Contracts Grnts-2Yr'!C40+'Investment Income-2Yr'!C40+'All Other E&amp;G-2Yr'!C40</f>
        <v>0</v>
      </c>
      <c r="D40" s="83">
        <f>+'Tuition-2Yr'!D40+'State Appropriations-2Yr'!D40+'Local Appropriations-2Yr'!D40+'Fed Contracts Grnts-2Yr'!D40+'Other Contracts Grnts-2Yr'!D40+'Investment Income-2Yr'!D40+'All Other E&amp;G-2Yr'!D40</f>
        <v>0</v>
      </c>
      <c r="E40" s="83">
        <f>+'Tuition-2Yr'!E40+'State Appropriations-2Yr'!E40+'Local Appropriations-2Yr'!E40+'Fed Contracts Grnts-2Yr'!E40+'Other Contracts Grnts-2Yr'!E40+'Investment Income-2Yr'!E40+'All Other E&amp;G-2Yr'!E40</f>
        <v>0</v>
      </c>
      <c r="F40" s="83">
        <f>+'Tuition-2Yr'!F40+'State Appropriations-2Yr'!F40+'Local Appropriations-2Yr'!F40+'Fed Contracts Grnts-2Yr'!F40+'Other Contracts Grnts-2Yr'!F40+'Investment Income-2Yr'!F40+'All Other E&amp;G-2Yr'!F40</f>
        <v>0</v>
      </c>
      <c r="G40" s="83">
        <f>+'Tuition-2Yr'!G40+'State Appropriations-2Yr'!G40+'Local Appropriations-2Yr'!G40+'Fed Contracts Grnts-2Yr'!G40+'Other Contracts Grnts-2Yr'!G40+'Investment Income-2Yr'!G40+'All Other E&amp;G-2Yr'!G40</f>
        <v>0</v>
      </c>
      <c r="H40" s="83">
        <f>+'Tuition-2Yr'!H40+'State Appropriations-2Yr'!H40+'Local Appropriations-2Yr'!H40+'Fed Contracts Grnts-2Yr'!H40+'Other Contracts Grnts-2Yr'!H40+'Investment Income-2Yr'!H40+'All Other E&amp;G-2Yr'!H40</f>
        <v>0</v>
      </c>
      <c r="I40" s="83">
        <f>+'Tuition-2Yr'!I40+'State Appropriations-2Yr'!I40+'Local Appropriations-2Yr'!I40+'Fed Contracts Grnts-2Yr'!I40+'Other Contracts Grnts-2Yr'!I40+'Investment Income-2Yr'!I40+'All Other E&amp;G-2Yr'!I40</f>
        <v>0</v>
      </c>
      <c r="J40" s="83">
        <f>+'Tuition-2Yr'!J40+'State Appropriations-2Yr'!J40+'Local Appropriations-2Yr'!J40+'Fed Contracts Grnts-2Yr'!J40+'Other Contracts Grnts-2Yr'!J40+'Investment Income-2Yr'!J40+'All Other E&amp;G-2Yr'!J40</f>
        <v>953707.83900000004</v>
      </c>
      <c r="K40" s="83">
        <f>+'Tuition-2Yr'!K40+'State Appropriations-2Yr'!K40+'Local Appropriations-2Yr'!K40+'Fed Contracts Grnts-2Yr'!K40+'Other Contracts Grnts-2Yr'!K40+'Investment Income-2Yr'!K40+'All Other E&amp;G-2Yr'!K40</f>
        <v>0</v>
      </c>
      <c r="L40" s="83">
        <f>+'Tuition-2Yr'!L40+'State Appropriations-2Yr'!L40+'Local Appropriations-2Yr'!L40+'Fed Contracts Grnts-2Yr'!L40+'Other Contracts Grnts-2Yr'!L40+'Investment Income-2Yr'!L40+'All Other E&amp;G-2Yr'!L40</f>
        <v>0</v>
      </c>
      <c r="M40" s="83">
        <f>+'Tuition-2Yr'!M40+'State Appropriations-2Yr'!M40+'Local Appropriations-2Yr'!M40+'Fed Contracts Grnts-2Yr'!M40+'Other Contracts Grnts-2Yr'!M40+'Investment Income-2Yr'!M40+'All Other E&amp;G-2Yr'!M40</f>
        <v>1186249.307</v>
      </c>
      <c r="N40" s="83">
        <f>+'Tuition-2Yr'!N40+'State Appropriations-2Yr'!N40+'Local Appropriations-2Yr'!N40+'Fed Contracts Grnts-2Yr'!N40+'Other Contracts Grnts-2Yr'!N40+'Investment Income-2Yr'!N40+'All Other E&amp;G-2Yr'!N40</f>
        <v>0</v>
      </c>
      <c r="O40" s="83">
        <f>+'Tuition-2Yr'!O40+'State Appropriations-2Yr'!O40+'Local Appropriations-2Yr'!O40+'Fed Contracts Grnts-2Yr'!O40+'Other Contracts Grnts-2Yr'!O40+'Investment Income-2Yr'!O40+'All Other E&amp;G-2Yr'!O40</f>
        <v>1310992.59598</v>
      </c>
      <c r="P40" s="83">
        <f>+'Tuition-2Yr'!P40+'State Appropriations-2Yr'!P40+'Local Appropriations-2Yr'!P40+'Fed Contracts Grnts-2Yr'!P40+'Other Contracts Grnts-2Yr'!P40+'Investment Income-2Yr'!P40+'All Other E&amp;G-2Yr'!P40</f>
        <v>0</v>
      </c>
      <c r="Q40" s="83">
        <f>+'Tuition-2Yr'!Q40+'State Appropriations-2Yr'!Q40+'Local Appropriations-2Yr'!Q40+'Fed Contracts Grnts-2Yr'!Q40+'Other Contracts Grnts-2Yr'!Q40+'Investment Income-2Yr'!Q40+'All Other E&amp;G-2Yr'!Q40</f>
        <v>0</v>
      </c>
      <c r="R40" s="83">
        <f>+'Tuition-2Yr'!R40+'State Appropriations-2Yr'!R40+'Local Appropriations-2Yr'!R40+'Fed Contracts Grnts-2Yr'!R40+'Other Contracts Grnts-2Yr'!R40+'Investment Income-2Yr'!R40+'All Other E&amp;G-2Yr'!R40</f>
        <v>1533775.6979999999</v>
      </c>
      <c r="S40" s="83">
        <f>+'Tuition-2Yr'!S40+'State Appropriations-2Yr'!S40+'Local Appropriations-2Yr'!S40+'Fed Contracts Grnts-2Yr'!S40+'Other Contracts Grnts-2Yr'!S40+'Investment Income-2Yr'!S40+'All Other E&amp;G-2Yr'!S40</f>
        <v>1641668.4729999998</v>
      </c>
      <c r="T40" s="83">
        <f>+'Tuition-2Yr'!T40+'State Appropriations-2Yr'!T40+'Local Appropriations-2Yr'!T40+'Fed Contracts Grnts-2Yr'!T40+'Other Contracts Grnts-2Yr'!T40+'Investment Income-2Yr'!T40+'All Other E&amp;G-2Yr'!T40</f>
        <v>1846327.7270000002</v>
      </c>
      <c r="U40" s="83">
        <f>+'Tuition-2Yr'!U40+'State Appropriations-2Yr'!U40+'Local Appropriations-2Yr'!U40+'Fed Contracts Grnts-2Yr'!U40+'Other Contracts Grnts-2Yr'!U40+'Investment Income-2Yr'!U40+'All Other E&amp;G-2Yr'!U40</f>
        <v>1714239.0739999996</v>
      </c>
      <c r="V40" s="83">
        <f>+'Tuition-2Yr'!V40+'State Appropriations-2Yr'!V40+'Local Appropriations-2Yr'!V40+'Fed Contracts Grnts-2Yr'!V40+'Other Contracts Grnts-2Yr'!V40+'Investment Income-2Yr'!V40+'All Other E&amp;G-2Yr'!V40</f>
        <v>2064307.1099999999</v>
      </c>
      <c r="W40" s="83">
        <f>+'Tuition-2Yr'!W40+'State Appropriations-2Yr'!W40+'Local Appropriations-2Yr'!W40+'Fed Contracts Grnts-2Yr'!W40+'Other Contracts Grnts-2Yr'!W40+'Investment Income-2Yr'!W40+'All Other E&amp;G-2Yr'!W40</f>
        <v>1989833.625</v>
      </c>
      <c r="X40" s="83">
        <f>+'Tuition-2Yr'!X40+'State Appropriations-2Yr'!X40+'Local Appropriations-2Yr'!X40+'Fed Contracts Grnts-2Yr'!X40+'Other Contracts Grnts-2Yr'!X40+'Investment Income-2Yr'!X40+'All Other E&amp;G-2Yr'!X40</f>
        <v>1994150.4740000002</v>
      </c>
      <c r="Y40" s="83">
        <f>+'Tuition-2Yr'!Y40+'State Appropriations-2Yr'!Y40+'Local Appropriations-2Yr'!Y40+'Fed Contracts Grnts-2Yr'!Y40+'Other Contracts Grnts-2Yr'!Y40+'Investment Income-2Yr'!Y40+'All Other E&amp;G-2Yr'!Y40</f>
        <v>2091069.2289999998</v>
      </c>
      <c r="Z40" s="83">
        <f>+'Tuition-2Yr'!Z40+'State Appropriations-2Yr'!Z40+'Local Appropriations-2Yr'!Z40+'Fed Contracts Grnts-2Yr'!Z40+'Other Contracts Grnts-2Yr'!Z40+'Investment Income-2Yr'!Z40+'All Other E&amp;G-2Yr'!Z40</f>
        <v>2246360.3160000001</v>
      </c>
      <c r="AA40" s="83">
        <f>+'Tuition-2Yr'!AA40+'State Appropriations-2Yr'!AA40+'Local Appropriations-2Yr'!AA40+'Fed Contracts Grnts-2Yr'!AA40+'Other Contracts Grnts-2Yr'!AA40+'Investment Income-2Yr'!AA40+'All Other E&amp;G-2Yr'!AA40</f>
        <v>2523399.7760000001</v>
      </c>
      <c r="AB40" s="83">
        <f>+'Tuition-2Yr'!AB40+'State Appropriations-2Yr'!AB40+'Local Appropriations-2Yr'!AB40+'Fed Contracts Grnts-2Yr'!AB40+'Other Contracts Grnts-2Yr'!AB40+'Investment Income-2Yr'!AB40+'All Other E&amp;G-2Yr'!AB40</f>
        <v>2893693.3820000002</v>
      </c>
      <c r="AC40" s="83">
        <f>+'Tuition-2Yr'!AC40+'State Appropriations-2Yr'!AC40+'Local Appropriations-2Yr'!AC40+'Fed Contracts Grnts-2Yr'!AC40+'Other Contracts Grnts-2Yr'!AC40+'Investment Income-2Yr'!AC40+'All Other E&amp;G-2Yr'!AC40</f>
        <v>3159041</v>
      </c>
      <c r="AD40" s="83">
        <f>+'Tuition-2Yr'!AD40+'State Appropriations-2Yr'!AD40+'Local Appropriations-2Yr'!AD40+'Fed Contracts Grnts-2Yr'!AD40+'Other Contracts Grnts-2Yr'!AD40+'Investment Income-2Yr'!AD40+'All Other E&amp;G-2Yr'!AD40</f>
        <v>3188527.3360000001</v>
      </c>
      <c r="AE40" s="83">
        <f>+'Tuition-2Yr'!AE40+'State Appropriations-2Yr'!AE40+'Local Appropriations-2Yr'!AE40+'Fed Contracts Grnts-2Yr'!AE40+'Other Contracts Grnts-2Yr'!AE40+'Investment Income-2Yr'!AE40+'All Other E&amp;G-2Yr'!AE40</f>
        <v>3267319.6569999997</v>
      </c>
      <c r="AF40" s="83">
        <f>+'Tuition-2Yr'!AF40+'State Appropriations-2Yr'!AF40+'Local Appropriations-2Yr'!AF40+'Fed Contracts Grnts-2Yr'!AF40+'Other Contracts Grnts-2Yr'!AF40+'Investment Income-2Yr'!AF40+'All Other E&amp;G-2Yr'!AF40</f>
        <v>1952303.64</v>
      </c>
      <c r="AG40" s="83">
        <f>+'Tuition-2Yr'!AG40+'State Appropriations-2Yr'!AG40+'Local Appropriations-2Yr'!AG40+'Fed Contracts Grnts-2Yr'!AG40+'Other Contracts Grnts-2Yr'!AG40+'Investment Income-2Yr'!AG40+'All Other E&amp;G-2Yr'!AG40</f>
        <v>1985352.0430000001</v>
      </c>
      <c r="AH40" s="83">
        <f>+'Tuition-2Yr'!AH40+'State Appropriations-2Yr'!AH40+'Local Appropriations-2Yr'!AH40+'Fed Contracts Grnts-2Yr'!AH40+'Other Contracts Grnts-2Yr'!AH40+'Investment Income-2Yr'!AH40+'All Other E&amp;G-2Yr'!AH40</f>
        <v>3227278.54</v>
      </c>
      <c r="AI40" s="83">
        <f>+'Tuition-2Yr'!AI40+'State Appropriations-2Yr'!AI40+'Local Appropriations-2Yr'!AI40+'Fed Contracts Grnts-2Yr'!AI40+'Other Contracts Grnts-2Yr'!AI40+'Investment Income-2Yr'!AI40+'All Other E&amp;G-2Yr'!AI40</f>
        <v>3511064.5479999995</v>
      </c>
      <c r="AJ40" s="83">
        <f>+'Tuition-2Yr'!AJ40+'State Appropriations-2Yr'!AJ40+'Local Appropriations-2Yr'!AJ40+'Fed Contracts Grnts-2Yr'!AJ40+'Other Contracts Grnts-2Yr'!AJ40+'Investment Income-2Yr'!AJ40+'All Other E&amp;G-2Yr'!AJ40</f>
        <v>0</v>
      </c>
      <c r="AK40" s="83">
        <f>+'Tuition-2Yr'!AK40+'State Appropriations-2Yr'!AK40+'Local Appropriations-2Yr'!AK40+'Fed Contracts Grnts-2Yr'!AK40+'Other Contracts Grnts-2Yr'!AK40+'Investment Income-2Yr'!AK40+'All Other E&amp;G-2Yr'!AK40</f>
        <v>3903875.9120000005</v>
      </c>
      <c r="AL40" s="83">
        <f>+'Tuition-2Yr'!AL40+'State Appropriations-2Yr'!AL40+'Local Appropriations-2Yr'!AL40+'Fed Contracts Grnts-2Yr'!AL40+'Other Contracts Grnts-2Yr'!AL40+'Investment Income-2Yr'!AL40+'All Other E&amp;G-2Yr'!AL40</f>
        <v>3765571.0550000002</v>
      </c>
    </row>
    <row r="41" spans="1:38" ht="12.75" customHeight="1">
      <c r="A41" s="1" t="s">
        <v>54</v>
      </c>
      <c r="B41" s="83">
        <f>+'Tuition-2Yr'!B41+'State Appropriations-2Yr'!B41+'Local Appropriations-2Yr'!B41+'Fed Contracts Grnts-2Yr'!B41+'Other Contracts Grnts-2Yr'!B41+'Investment Income-2Yr'!B41+'All Other E&amp;G-2Yr'!B41</f>
        <v>0</v>
      </c>
      <c r="C41" s="83">
        <f>+'Tuition-2Yr'!C41+'State Appropriations-2Yr'!C41+'Local Appropriations-2Yr'!C41+'Fed Contracts Grnts-2Yr'!C41+'Other Contracts Grnts-2Yr'!C41+'Investment Income-2Yr'!C41+'All Other E&amp;G-2Yr'!C41</f>
        <v>0</v>
      </c>
      <c r="D41" s="83">
        <f>+'Tuition-2Yr'!D41+'State Appropriations-2Yr'!D41+'Local Appropriations-2Yr'!D41+'Fed Contracts Grnts-2Yr'!D41+'Other Contracts Grnts-2Yr'!D41+'Investment Income-2Yr'!D41+'All Other E&amp;G-2Yr'!D41</f>
        <v>0</v>
      </c>
      <c r="E41" s="83">
        <f>+'Tuition-2Yr'!E41+'State Appropriations-2Yr'!E41+'Local Appropriations-2Yr'!E41+'Fed Contracts Grnts-2Yr'!E41+'Other Contracts Grnts-2Yr'!E41+'Investment Income-2Yr'!E41+'All Other E&amp;G-2Yr'!E41</f>
        <v>0</v>
      </c>
      <c r="F41" s="83">
        <f>+'Tuition-2Yr'!F41+'State Appropriations-2Yr'!F41+'Local Appropriations-2Yr'!F41+'Fed Contracts Grnts-2Yr'!F41+'Other Contracts Grnts-2Yr'!F41+'Investment Income-2Yr'!F41+'All Other E&amp;G-2Yr'!F41</f>
        <v>0</v>
      </c>
      <c r="G41" s="83">
        <f>+'Tuition-2Yr'!G41+'State Appropriations-2Yr'!G41+'Local Appropriations-2Yr'!G41+'Fed Contracts Grnts-2Yr'!G41+'Other Contracts Grnts-2Yr'!G41+'Investment Income-2Yr'!G41+'All Other E&amp;G-2Yr'!G41</f>
        <v>0</v>
      </c>
      <c r="H41" s="83">
        <f>+'Tuition-2Yr'!H41+'State Appropriations-2Yr'!H41+'Local Appropriations-2Yr'!H41+'Fed Contracts Grnts-2Yr'!H41+'Other Contracts Grnts-2Yr'!H41+'Investment Income-2Yr'!H41+'All Other E&amp;G-2Yr'!H41</f>
        <v>0</v>
      </c>
      <c r="I41" s="83">
        <f>+'Tuition-2Yr'!I41+'State Appropriations-2Yr'!I41+'Local Appropriations-2Yr'!I41+'Fed Contracts Grnts-2Yr'!I41+'Other Contracts Grnts-2Yr'!I41+'Investment Income-2Yr'!I41+'All Other E&amp;G-2Yr'!I41</f>
        <v>0</v>
      </c>
      <c r="J41" s="83">
        <f>+'Tuition-2Yr'!J41+'State Appropriations-2Yr'!J41+'Local Appropriations-2Yr'!J41+'Fed Contracts Grnts-2Yr'!J41+'Other Contracts Grnts-2Yr'!J41+'Investment Income-2Yr'!J41+'All Other E&amp;G-2Yr'!J41</f>
        <v>176343.34099999996</v>
      </c>
      <c r="K41" s="83">
        <f>+'Tuition-2Yr'!K41+'State Appropriations-2Yr'!K41+'Local Appropriations-2Yr'!K41+'Fed Contracts Grnts-2Yr'!K41+'Other Contracts Grnts-2Yr'!K41+'Investment Income-2Yr'!K41+'All Other E&amp;G-2Yr'!K41</f>
        <v>0</v>
      </c>
      <c r="L41" s="83">
        <f>+'Tuition-2Yr'!L41+'State Appropriations-2Yr'!L41+'Local Appropriations-2Yr'!L41+'Fed Contracts Grnts-2Yr'!L41+'Other Contracts Grnts-2Yr'!L41+'Investment Income-2Yr'!L41+'All Other E&amp;G-2Yr'!L41</f>
        <v>0</v>
      </c>
      <c r="M41" s="83">
        <f>+'Tuition-2Yr'!M41+'State Appropriations-2Yr'!M41+'Local Appropriations-2Yr'!M41+'Fed Contracts Grnts-2Yr'!M41+'Other Contracts Grnts-2Yr'!M41+'Investment Income-2Yr'!M41+'All Other E&amp;G-2Yr'!M41</f>
        <v>190819.01299999998</v>
      </c>
      <c r="N41" s="83">
        <f>+'Tuition-2Yr'!N41+'State Appropriations-2Yr'!N41+'Local Appropriations-2Yr'!N41+'Fed Contracts Grnts-2Yr'!N41+'Other Contracts Grnts-2Yr'!N41+'Investment Income-2Yr'!N41+'All Other E&amp;G-2Yr'!N41</f>
        <v>0</v>
      </c>
      <c r="O41" s="83">
        <f>+'Tuition-2Yr'!O41+'State Appropriations-2Yr'!O41+'Local Appropriations-2Yr'!O41+'Fed Contracts Grnts-2Yr'!O41+'Other Contracts Grnts-2Yr'!O41+'Investment Income-2Yr'!O41+'All Other E&amp;G-2Yr'!O41</f>
        <v>243541.34400000001</v>
      </c>
      <c r="P41" s="83">
        <f>+'Tuition-2Yr'!P41+'State Appropriations-2Yr'!P41+'Local Appropriations-2Yr'!P41+'Fed Contracts Grnts-2Yr'!P41+'Other Contracts Grnts-2Yr'!P41+'Investment Income-2Yr'!P41+'All Other E&amp;G-2Yr'!P41</f>
        <v>0</v>
      </c>
      <c r="Q41" s="83">
        <f>+'Tuition-2Yr'!Q41+'State Appropriations-2Yr'!Q41+'Local Appropriations-2Yr'!Q41+'Fed Contracts Grnts-2Yr'!Q41+'Other Contracts Grnts-2Yr'!Q41+'Investment Income-2Yr'!Q41+'All Other E&amp;G-2Yr'!Q41</f>
        <v>0</v>
      </c>
      <c r="R41" s="83">
        <f>+'Tuition-2Yr'!R41+'State Appropriations-2Yr'!R41+'Local Appropriations-2Yr'!R41+'Fed Contracts Grnts-2Yr'!R41+'Other Contracts Grnts-2Yr'!R41+'Investment Income-2Yr'!R41+'All Other E&amp;G-2Yr'!R41</f>
        <v>264426.94900000002</v>
      </c>
      <c r="S41" s="83">
        <f>+'Tuition-2Yr'!S41+'State Appropriations-2Yr'!S41+'Local Appropriations-2Yr'!S41+'Fed Contracts Grnts-2Yr'!S41+'Other Contracts Grnts-2Yr'!S41+'Investment Income-2Yr'!S41+'All Other E&amp;G-2Yr'!S41</f>
        <v>284212.53600000008</v>
      </c>
      <c r="T41" s="83">
        <f>+'Tuition-2Yr'!T41+'State Appropriations-2Yr'!T41+'Local Appropriations-2Yr'!T41+'Fed Contracts Grnts-2Yr'!T41+'Other Contracts Grnts-2Yr'!T41+'Investment Income-2Yr'!T41+'All Other E&amp;G-2Yr'!T41</f>
        <v>329797.636</v>
      </c>
      <c r="U41" s="83">
        <f>+'Tuition-2Yr'!U41+'State Appropriations-2Yr'!U41+'Local Appropriations-2Yr'!U41+'Fed Contracts Grnts-2Yr'!U41+'Other Contracts Grnts-2Yr'!U41+'Investment Income-2Yr'!U41+'All Other E&amp;G-2Yr'!U41</f>
        <v>347775.12700000004</v>
      </c>
      <c r="V41" s="83">
        <f>+'Tuition-2Yr'!V41+'State Appropriations-2Yr'!V41+'Local Appropriations-2Yr'!V41+'Fed Contracts Grnts-2Yr'!V41+'Other Contracts Grnts-2Yr'!V41+'Investment Income-2Yr'!V41+'All Other E&amp;G-2Yr'!V41</f>
        <v>283129.54199999996</v>
      </c>
      <c r="W41" s="83">
        <f>+'Tuition-2Yr'!W41+'State Appropriations-2Yr'!W41+'Local Appropriations-2Yr'!W41+'Fed Contracts Grnts-2Yr'!W41+'Other Contracts Grnts-2Yr'!W41+'Investment Income-2Yr'!W41+'All Other E&amp;G-2Yr'!W41</f>
        <v>341910.52199999994</v>
      </c>
      <c r="X41" s="83">
        <f>+'Tuition-2Yr'!X41+'State Appropriations-2Yr'!X41+'Local Appropriations-2Yr'!X41+'Fed Contracts Grnts-2Yr'!X41+'Other Contracts Grnts-2Yr'!X41+'Investment Income-2Yr'!X41+'All Other E&amp;G-2Yr'!X41</f>
        <v>327698.93399999995</v>
      </c>
      <c r="Y41" s="83">
        <f>+'Tuition-2Yr'!Y41+'State Appropriations-2Yr'!Y41+'Local Appropriations-2Yr'!Y41+'Fed Contracts Grnts-2Yr'!Y41+'Other Contracts Grnts-2Yr'!Y41+'Investment Income-2Yr'!Y41+'All Other E&amp;G-2Yr'!Y41</f>
        <v>347627.54399999999</v>
      </c>
      <c r="Z41" s="83">
        <f>+'Tuition-2Yr'!Z41+'State Appropriations-2Yr'!Z41+'Local Appropriations-2Yr'!Z41+'Fed Contracts Grnts-2Yr'!Z41+'Other Contracts Grnts-2Yr'!Z41+'Investment Income-2Yr'!Z41+'All Other E&amp;G-2Yr'!Z41</f>
        <v>389556.78099999996</v>
      </c>
      <c r="AA41" s="83">
        <f>+'Tuition-2Yr'!AA41+'State Appropriations-2Yr'!AA41+'Local Appropriations-2Yr'!AA41+'Fed Contracts Grnts-2Yr'!AA41+'Other Contracts Grnts-2Yr'!AA41+'Investment Income-2Yr'!AA41+'All Other E&amp;G-2Yr'!AA41</f>
        <v>451261.77899999998</v>
      </c>
      <c r="AB41" s="83">
        <f>+'Tuition-2Yr'!AB41+'State Appropriations-2Yr'!AB41+'Local Appropriations-2Yr'!AB41+'Fed Contracts Grnts-2Yr'!AB41+'Other Contracts Grnts-2Yr'!AB41+'Investment Income-2Yr'!AB41+'All Other E&amp;G-2Yr'!AB41</f>
        <v>606434.05199999991</v>
      </c>
      <c r="AC41" s="83">
        <f>+'Tuition-2Yr'!AC41+'State Appropriations-2Yr'!AC41+'Local Appropriations-2Yr'!AC41+'Fed Contracts Grnts-2Yr'!AC41+'Other Contracts Grnts-2Yr'!AC41+'Investment Income-2Yr'!AC41+'All Other E&amp;G-2Yr'!AC41</f>
        <v>679613</v>
      </c>
      <c r="AD41" s="83">
        <f>+'Tuition-2Yr'!AD41+'State Appropriations-2Yr'!AD41+'Local Appropriations-2Yr'!AD41+'Fed Contracts Grnts-2Yr'!AD41+'Other Contracts Grnts-2Yr'!AD41+'Investment Income-2Yr'!AD41+'All Other E&amp;G-2Yr'!AD41</f>
        <v>804842.31599999988</v>
      </c>
      <c r="AE41" s="83">
        <f>+'Tuition-2Yr'!AE41+'State Appropriations-2Yr'!AE41+'Local Appropriations-2Yr'!AE41+'Fed Contracts Grnts-2Yr'!AE41+'Other Contracts Grnts-2Yr'!AE41+'Investment Income-2Yr'!AE41+'All Other E&amp;G-2Yr'!AE41</f>
        <v>892429.78100000008</v>
      </c>
      <c r="AF41" s="83">
        <f>+'Tuition-2Yr'!AF41+'State Appropriations-2Yr'!AF41+'Local Appropriations-2Yr'!AF41+'Fed Contracts Grnts-2Yr'!AF41+'Other Contracts Grnts-2Yr'!AF41+'Investment Income-2Yr'!AF41+'All Other E&amp;G-2Yr'!AF41</f>
        <v>878959.18700000003</v>
      </c>
      <c r="AG41" s="83">
        <f>+'Tuition-2Yr'!AG41+'State Appropriations-2Yr'!AG41+'Local Appropriations-2Yr'!AG41+'Fed Contracts Grnts-2Yr'!AG41+'Other Contracts Grnts-2Yr'!AG41+'Investment Income-2Yr'!AG41+'All Other E&amp;G-2Yr'!AG41</f>
        <v>849269.50400000007</v>
      </c>
      <c r="AH41" s="83">
        <f>+'Tuition-2Yr'!AH41+'State Appropriations-2Yr'!AH41+'Local Appropriations-2Yr'!AH41+'Fed Contracts Grnts-2Yr'!AH41+'Other Contracts Grnts-2Yr'!AH41+'Investment Income-2Yr'!AH41+'All Other E&amp;G-2Yr'!AH41</f>
        <v>674600.81699999992</v>
      </c>
      <c r="AI41" s="83">
        <f>+'Tuition-2Yr'!AI41+'State Appropriations-2Yr'!AI41+'Local Appropriations-2Yr'!AI41+'Fed Contracts Grnts-2Yr'!AI41+'Other Contracts Grnts-2Yr'!AI41+'Investment Income-2Yr'!AI41+'All Other E&amp;G-2Yr'!AI41</f>
        <v>645964.7159999999</v>
      </c>
      <c r="AJ41" s="83">
        <f>+'Tuition-2Yr'!AJ41+'State Appropriations-2Yr'!AJ41+'Local Appropriations-2Yr'!AJ41+'Fed Contracts Grnts-2Yr'!AJ41+'Other Contracts Grnts-2Yr'!AJ41+'Investment Income-2Yr'!AJ41+'All Other E&amp;G-2Yr'!AJ41</f>
        <v>0</v>
      </c>
      <c r="AK41" s="83">
        <f>+'Tuition-2Yr'!AK41+'State Appropriations-2Yr'!AK41+'Local Appropriations-2Yr'!AK41+'Fed Contracts Grnts-2Yr'!AK41+'Other Contracts Grnts-2Yr'!AK41+'Investment Income-2Yr'!AK41+'All Other E&amp;G-2Yr'!AK41</f>
        <v>912896.81799999985</v>
      </c>
      <c r="AL41" s="83">
        <f>+'Tuition-2Yr'!AL41+'State Appropriations-2Yr'!AL41+'Local Appropriations-2Yr'!AL41+'Fed Contracts Grnts-2Yr'!AL41+'Other Contracts Grnts-2Yr'!AL41+'Investment Income-2Yr'!AL41+'All Other E&amp;G-2Yr'!AL41</f>
        <v>663158.20900000003</v>
      </c>
    </row>
    <row r="42" spans="1:38" ht="12.75" customHeight="1">
      <c r="A42" s="1" t="s">
        <v>55</v>
      </c>
      <c r="B42" s="83">
        <f>+'Tuition-2Yr'!B42+'State Appropriations-2Yr'!B42+'Local Appropriations-2Yr'!B42+'Fed Contracts Grnts-2Yr'!B42+'Other Contracts Grnts-2Yr'!B42+'Investment Income-2Yr'!B42+'All Other E&amp;G-2Yr'!B42</f>
        <v>0</v>
      </c>
      <c r="C42" s="83">
        <f>+'Tuition-2Yr'!C42+'State Appropriations-2Yr'!C42+'Local Appropriations-2Yr'!C42+'Fed Contracts Grnts-2Yr'!C42+'Other Contracts Grnts-2Yr'!C42+'Investment Income-2Yr'!C42+'All Other E&amp;G-2Yr'!C42</f>
        <v>0</v>
      </c>
      <c r="D42" s="83">
        <f>+'Tuition-2Yr'!D42+'State Appropriations-2Yr'!D42+'Local Appropriations-2Yr'!D42+'Fed Contracts Grnts-2Yr'!D42+'Other Contracts Grnts-2Yr'!D42+'Investment Income-2Yr'!D42+'All Other E&amp;G-2Yr'!D42</f>
        <v>0</v>
      </c>
      <c r="E42" s="83">
        <f>+'Tuition-2Yr'!E42+'State Appropriations-2Yr'!E42+'Local Appropriations-2Yr'!E42+'Fed Contracts Grnts-2Yr'!E42+'Other Contracts Grnts-2Yr'!E42+'Investment Income-2Yr'!E42+'All Other E&amp;G-2Yr'!E42</f>
        <v>0</v>
      </c>
      <c r="F42" s="83">
        <f>+'Tuition-2Yr'!F42+'State Appropriations-2Yr'!F42+'Local Appropriations-2Yr'!F42+'Fed Contracts Grnts-2Yr'!F42+'Other Contracts Grnts-2Yr'!F42+'Investment Income-2Yr'!F42+'All Other E&amp;G-2Yr'!F42</f>
        <v>0</v>
      </c>
      <c r="G42" s="83">
        <f>+'Tuition-2Yr'!G42+'State Appropriations-2Yr'!G42+'Local Appropriations-2Yr'!G42+'Fed Contracts Grnts-2Yr'!G42+'Other Contracts Grnts-2Yr'!G42+'Investment Income-2Yr'!G42+'All Other E&amp;G-2Yr'!G42</f>
        <v>0</v>
      </c>
      <c r="H42" s="83">
        <f>+'Tuition-2Yr'!H42+'State Appropriations-2Yr'!H42+'Local Appropriations-2Yr'!H42+'Fed Contracts Grnts-2Yr'!H42+'Other Contracts Grnts-2Yr'!H42+'Investment Income-2Yr'!H42+'All Other E&amp;G-2Yr'!H42</f>
        <v>0</v>
      </c>
      <c r="I42" s="83">
        <f>+'Tuition-2Yr'!I42+'State Appropriations-2Yr'!I42+'Local Appropriations-2Yr'!I42+'Fed Contracts Grnts-2Yr'!I42+'Other Contracts Grnts-2Yr'!I42+'Investment Income-2Yr'!I42+'All Other E&amp;G-2Yr'!I42</f>
        <v>0</v>
      </c>
      <c r="J42" s="83">
        <f>+'Tuition-2Yr'!J42+'State Appropriations-2Yr'!J42+'Local Appropriations-2Yr'!J42+'Fed Contracts Grnts-2Yr'!J42+'Other Contracts Grnts-2Yr'!J42+'Investment Income-2Yr'!J42+'All Other E&amp;G-2Yr'!J42</f>
        <v>318398.66300000006</v>
      </c>
      <c r="K42" s="83">
        <f>+'Tuition-2Yr'!K42+'State Appropriations-2Yr'!K42+'Local Appropriations-2Yr'!K42+'Fed Contracts Grnts-2Yr'!K42+'Other Contracts Grnts-2Yr'!K42+'Investment Income-2Yr'!K42+'All Other E&amp;G-2Yr'!K42</f>
        <v>0</v>
      </c>
      <c r="L42" s="83">
        <f>+'Tuition-2Yr'!L42+'State Appropriations-2Yr'!L42+'Local Appropriations-2Yr'!L42+'Fed Contracts Grnts-2Yr'!L42+'Other Contracts Grnts-2Yr'!L42+'Investment Income-2Yr'!L42+'All Other E&amp;G-2Yr'!L42</f>
        <v>0</v>
      </c>
      <c r="M42" s="83">
        <f>+'Tuition-2Yr'!M42+'State Appropriations-2Yr'!M42+'Local Appropriations-2Yr'!M42+'Fed Contracts Grnts-2Yr'!M42+'Other Contracts Grnts-2Yr'!M42+'Investment Income-2Yr'!M42+'All Other E&amp;G-2Yr'!M42</f>
        <v>337008.66699999996</v>
      </c>
      <c r="N42" s="83">
        <f>+'Tuition-2Yr'!N42+'State Appropriations-2Yr'!N42+'Local Appropriations-2Yr'!N42+'Fed Contracts Grnts-2Yr'!N42+'Other Contracts Grnts-2Yr'!N42+'Investment Income-2Yr'!N42+'All Other E&amp;G-2Yr'!N42</f>
        <v>0</v>
      </c>
      <c r="O42" s="83">
        <f>+'Tuition-2Yr'!O42+'State Appropriations-2Yr'!O42+'Local Appropriations-2Yr'!O42+'Fed Contracts Grnts-2Yr'!O42+'Other Contracts Grnts-2Yr'!O42+'Investment Income-2Yr'!O42+'All Other E&amp;G-2Yr'!O42</f>
        <v>364661.76700000005</v>
      </c>
      <c r="P42" s="83">
        <f>+'Tuition-2Yr'!P42+'State Appropriations-2Yr'!P42+'Local Appropriations-2Yr'!P42+'Fed Contracts Grnts-2Yr'!P42+'Other Contracts Grnts-2Yr'!P42+'Investment Income-2Yr'!P42+'All Other E&amp;G-2Yr'!P42</f>
        <v>0</v>
      </c>
      <c r="Q42" s="83">
        <f>+'Tuition-2Yr'!Q42+'State Appropriations-2Yr'!Q42+'Local Appropriations-2Yr'!Q42+'Fed Contracts Grnts-2Yr'!Q42+'Other Contracts Grnts-2Yr'!Q42+'Investment Income-2Yr'!Q42+'All Other E&amp;G-2Yr'!Q42</f>
        <v>0</v>
      </c>
      <c r="R42" s="83">
        <f>+'Tuition-2Yr'!R42+'State Appropriations-2Yr'!R42+'Local Appropriations-2Yr'!R42+'Fed Contracts Grnts-2Yr'!R42+'Other Contracts Grnts-2Yr'!R42+'Investment Income-2Yr'!R42+'All Other E&amp;G-2Yr'!R42</f>
        <v>458732.71600000001</v>
      </c>
      <c r="S42" s="83">
        <f>+'Tuition-2Yr'!S42+'State Appropriations-2Yr'!S42+'Local Appropriations-2Yr'!S42+'Fed Contracts Grnts-2Yr'!S42+'Other Contracts Grnts-2Yr'!S42+'Investment Income-2Yr'!S42+'All Other E&amp;G-2Yr'!S42</f>
        <v>476979.32</v>
      </c>
      <c r="T42" s="83">
        <f>+'Tuition-2Yr'!T42+'State Appropriations-2Yr'!T42+'Local Appropriations-2Yr'!T42+'Fed Contracts Grnts-2Yr'!T42+'Other Contracts Grnts-2Yr'!T42+'Investment Income-2Yr'!T42+'All Other E&amp;G-2Yr'!T42</f>
        <v>500762.19999999995</v>
      </c>
      <c r="U42" s="83">
        <f>+'Tuition-2Yr'!U42+'State Appropriations-2Yr'!U42+'Local Appropriations-2Yr'!U42+'Fed Contracts Grnts-2Yr'!U42+'Other Contracts Grnts-2Yr'!U42+'Investment Income-2Yr'!U42+'All Other E&amp;G-2Yr'!U42</f>
        <v>514284.864</v>
      </c>
      <c r="V42" s="83">
        <f>+'Tuition-2Yr'!V42+'State Appropriations-2Yr'!V42+'Local Appropriations-2Yr'!V42+'Fed Contracts Grnts-2Yr'!V42+'Other Contracts Grnts-2Yr'!V42+'Investment Income-2Yr'!V42+'All Other E&amp;G-2Yr'!V42</f>
        <v>543682.75100000005</v>
      </c>
      <c r="W42" s="83">
        <f>+'Tuition-2Yr'!W42+'State Appropriations-2Yr'!W42+'Local Appropriations-2Yr'!W42+'Fed Contracts Grnts-2Yr'!W42+'Other Contracts Grnts-2Yr'!W42+'Investment Income-2Yr'!W42+'All Other E&amp;G-2Yr'!W42</f>
        <v>622331.15799999994</v>
      </c>
      <c r="X42" s="83">
        <f>+'Tuition-2Yr'!X42+'State Appropriations-2Yr'!X42+'Local Appropriations-2Yr'!X42+'Fed Contracts Grnts-2Yr'!X42+'Other Contracts Grnts-2Yr'!X42+'Investment Income-2Yr'!X42+'All Other E&amp;G-2Yr'!X42</f>
        <v>620638.75000000012</v>
      </c>
      <c r="Y42" s="83">
        <f>+'Tuition-2Yr'!Y42+'State Appropriations-2Yr'!Y42+'Local Appropriations-2Yr'!Y42+'Fed Contracts Grnts-2Yr'!Y42+'Other Contracts Grnts-2Yr'!Y42+'Investment Income-2Yr'!Y42+'All Other E&amp;G-2Yr'!Y42</f>
        <v>655972.60599999991</v>
      </c>
      <c r="Z42" s="83">
        <f>+'Tuition-2Yr'!Z42+'State Appropriations-2Yr'!Z42+'Local Appropriations-2Yr'!Z42+'Fed Contracts Grnts-2Yr'!Z42+'Other Contracts Grnts-2Yr'!Z42+'Investment Income-2Yr'!Z42+'All Other E&amp;G-2Yr'!Z42</f>
        <v>733989.6810000001</v>
      </c>
      <c r="AA42" s="83">
        <f>+'Tuition-2Yr'!AA42+'State Appropriations-2Yr'!AA42+'Local Appropriations-2Yr'!AA42+'Fed Contracts Grnts-2Yr'!AA42+'Other Contracts Grnts-2Yr'!AA42+'Investment Income-2Yr'!AA42+'All Other E&amp;G-2Yr'!AA42</f>
        <v>849494.47200000007</v>
      </c>
      <c r="AB42" s="83">
        <f>+'Tuition-2Yr'!AB42+'State Appropriations-2Yr'!AB42+'Local Appropriations-2Yr'!AB42+'Fed Contracts Grnts-2Yr'!AB42+'Other Contracts Grnts-2Yr'!AB42+'Investment Income-2Yr'!AB42+'All Other E&amp;G-2Yr'!AB42</f>
        <v>927027.98600000015</v>
      </c>
      <c r="AC42" s="83">
        <f>+'Tuition-2Yr'!AC42+'State Appropriations-2Yr'!AC42+'Local Appropriations-2Yr'!AC42+'Fed Contracts Grnts-2Yr'!AC42+'Other Contracts Grnts-2Yr'!AC42+'Investment Income-2Yr'!AC42+'All Other E&amp;G-2Yr'!AC42</f>
        <v>983861</v>
      </c>
      <c r="AD42" s="83">
        <f>+'Tuition-2Yr'!AD42+'State Appropriations-2Yr'!AD42+'Local Appropriations-2Yr'!AD42+'Fed Contracts Grnts-2Yr'!AD42+'Other Contracts Grnts-2Yr'!AD42+'Investment Income-2Yr'!AD42+'All Other E&amp;G-2Yr'!AD42</f>
        <v>972451.56</v>
      </c>
      <c r="AE42" s="83">
        <f>+'Tuition-2Yr'!AE42+'State Appropriations-2Yr'!AE42+'Local Appropriations-2Yr'!AE42+'Fed Contracts Grnts-2Yr'!AE42+'Other Contracts Grnts-2Yr'!AE42+'Investment Income-2Yr'!AE42+'All Other E&amp;G-2Yr'!AE42</f>
        <v>973595.37899999996</v>
      </c>
      <c r="AF42" s="83">
        <f>+'Tuition-2Yr'!AF42+'State Appropriations-2Yr'!AF42+'Local Appropriations-2Yr'!AF42+'Fed Contracts Grnts-2Yr'!AF42+'Other Contracts Grnts-2Yr'!AF42+'Investment Income-2Yr'!AF42+'All Other E&amp;G-2Yr'!AF42</f>
        <v>911738.36300000013</v>
      </c>
      <c r="AG42" s="83">
        <f>+'Tuition-2Yr'!AG42+'State Appropriations-2Yr'!AG42+'Local Appropriations-2Yr'!AG42+'Fed Contracts Grnts-2Yr'!AG42+'Other Contracts Grnts-2Yr'!AG42+'Investment Income-2Yr'!AG42+'All Other E&amp;G-2Yr'!AG42</f>
        <v>940708.18599999987</v>
      </c>
      <c r="AH42" s="83">
        <f>+'Tuition-2Yr'!AH42+'State Appropriations-2Yr'!AH42+'Local Appropriations-2Yr'!AH42+'Fed Contracts Grnts-2Yr'!AH42+'Other Contracts Grnts-2Yr'!AH42+'Investment Income-2Yr'!AH42+'All Other E&amp;G-2Yr'!AH42</f>
        <v>990576.37799999979</v>
      </c>
      <c r="AI42" s="83">
        <f>+'Tuition-2Yr'!AI42+'State Appropriations-2Yr'!AI42+'Local Appropriations-2Yr'!AI42+'Fed Contracts Grnts-2Yr'!AI42+'Other Contracts Grnts-2Yr'!AI42+'Investment Income-2Yr'!AI42+'All Other E&amp;G-2Yr'!AI42</f>
        <v>995451.35699999996</v>
      </c>
      <c r="AJ42" s="83">
        <f>+'Tuition-2Yr'!AJ42+'State Appropriations-2Yr'!AJ42+'Local Appropriations-2Yr'!AJ42+'Fed Contracts Grnts-2Yr'!AJ42+'Other Contracts Grnts-2Yr'!AJ42+'Investment Income-2Yr'!AJ42+'All Other E&amp;G-2Yr'!AJ42</f>
        <v>0</v>
      </c>
      <c r="AK42" s="83">
        <f>+'Tuition-2Yr'!AK42+'State Appropriations-2Yr'!AK42+'Local Appropriations-2Yr'!AK42+'Fed Contracts Grnts-2Yr'!AK42+'Other Contracts Grnts-2Yr'!AK42+'Investment Income-2Yr'!AK42+'All Other E&amp;G-2Yr'!AK42</f>
        <v>1059889.915</v>
      </c>
      <c r="AL42" s="83">
        <f>+'Tuition-2Yr'!AL42+'State Appropriations-2Yr'!AL42+'Local Appropriations-2Yr'!AL42+'Fed Contracts Grnts-2Yr'!AL42+'Other Contracts Grnts-2Yr'!AL42+'Investment Income-2Yr'!AL42+'All Other E&amp;G-2Yr'!AL42</f>
        <v>942587.32300000009</v>
      </c>
    </row>
    <row r="43" spans="1:38" ht="12.75" customHeight="1">
      <c r="A43" s="1" t="s">
        <v>56</v>
      </c>
      <c r="B43" s="83">
        <f>+'Tuition-2Yr'!B43+'State Appropriations-2Yr'!B43+'Local Appropriations-2Yr'!B43+'Fed Contracts Grnts-2Yr'!B43+'Other Contracts Grnts-2Yr'!B43+'Investment Income-2Yr'!B43+'All Other E&amp;G-2Yr'!B43</f>
        <v>0</v>
      </c>
      <c r="C43" s="83">
        <f>+'Tuition-2Yr'!C43+'State Appropriations-2Yr'!C43+'Local Appropriations-2Yr'!C43+'Fed Contracts Grnts-2Yr'!C43+'Other Contracts Grnts-2Yr'!C43+'Investment Income-2Yr'!C43+'All Other E&amp;G-2Yr'!C43</f>
        <v>0</v>
      </c>
      <c r="D43" s="83">
        <f>+'Tuition-2Yr'!D43+'State Appropriations-2Yr'!D43+'Local Appropriations-2Yr'!D43+'Fed Contracts Grnts-2Yr'!D43+'Other Contracts Grnts-2Yr'!D43+'Investment Income-2Yr'!D43+'All Other E&amp;G-2Yr'!D43</f>
        <v>0</v>
      </c>
      <c r="E43" s="83">
        <f>+'Tuition-2Yr'!E43+'State Appropriations-2Yr'!E43+'Local Appropriations-2Yr'!E43+'Fed Contracts Grnts-2Yr'!E43+'Other Contracts Grnts-2Yr'!E43+'Investment Income-2Yr'!E43+'All Other E&amp;G-2Yr'!E43</f>
        <v>0</v>
      </c>
      <c r="F43" s="83">
        <f>+'Tuition-2Yr'!F43+'State Appropriations-2Yr'!F43+'Local Appropriations-2Yr'!F43+'Fed Contracts Grnts-2Yr'!F43+'Other Contracts Grnts-2Yr'!F43+'Investment Income-2Yr'!F43+'All Other E&amp;G-2Yr'!F43</f>
        <v>0</v>
      </c>
      <c r="G43" s="83">
        <f>+'Tuition-2Yr'!G43+'State Appropriations-2Yr'!G43+'Local Appropriations-2Yr'!G43+'Fed Contracts Grnts-2Yr'!G43+'Other Contracts Grnts-2Yr'!G43+'Investment Income-2Yr'!G43+'All Other E&amp;G-2Yr'!G43</f>
        <v>0</v>
      </c>
      <c r="H43" s="83">
        <f>+'Tuition-2Yr'!H43+'State Appropriations-2Yr'!H43+'Local Appropriations-2Yr'!H43+'Fed Contracts Grnts-2Yr'!H43+'Other Contracts Grnts-2Yr'!H43+'Investment Income-2Yr'!H43+'All Other E&amp;G-2Yr'!H43</f>
        <v>0</v>
      </c>
      <c r="I43" s="83">
        <f>+'Tuition-2Yr'!I43+'State Appropriations-2Yr'!I43+'Local Appropriations-2Yr'!I43+'Fed Contracts Grnts-2Yr'!I43+'Other Contracts Grnts-2Yr'!I43+'Investment Income-2Yr'!I43+'All Other E&amp;G-2Yr'!I43</f>
        <v>0</v>
      </c>
      <c r="J43" s="83">
        <f>+'Tuition-2Yr'!J43+'State Appropriations-2Yr'!J43+'Local Appropriations-2Yr'!J43+'Fed Contracts Grnts-2Yr'!J43+'Other Contracts Grnts-2Yr'!J43+'Investment Income-2Yr'!J43+'All Other E&amp;G-2Yr'!J43</f>
        <v>219791.20200000002</v>
      </c>
      <c r="K43" s="83">
        <f>+'Tuition-2Yr'!K43+'State Appropriations-2Yr'!K43+'Local Appropriations-2Yr'!K43+'Fed Contracts Grnts-2Yr'!K43+'Other Contracts Grnts-2Yr'!K43+'Investment Income-2Yr'!K43+'All Other E&amp;G-2Yr'!K43</f>
        <v>0</v>
      </c>
      <c r="L43" s="83">
        <f>+'Tuition-2Yr'!L43+'State Appropriations-2Yr'!L43+'Local Appropriations-2Yr'!L43+'Fed Contracts Grnts-2Yr'!L43+'Other Contracts Grnts-2Yr'!L43+'Investment Income-2Yr'!L43+'All Other E&amp;G-2Yr'!L43</f>
        <v>0</v>
      </c>
      <c r="M43" s="83">
        <f>+'Tuition-2Yr'!M43+'State Appropriations-2Yr'!M43+'Local Appropriations-2Yr'!M43+'Fed Contracts Grnts-2Yr'!M43+'Other Contracts Grnts-2Yr'!M43+'Investment Income-2Yr'!M43+'All Other E&amp;G-2Yr'!M43</f>
        <v>278706.24800000002</v>
      </c>
      <c r="N43" s="83">
        <f>+'Tuition-2Yr'!N43+'State Appropriations-2Yr'!N43+'Local Appropriations-2Yr'!N43+'Fed Contracts Grnts-2Yr'!N43+'Other Contracts Grnts-2Yr'!N43+'Investment Income-2Yr'!N43+'All Other E&amp;G-2Yr'!N43</f>
        <v>0</v>
      </c>
      <c r="O43" s="83">
        <f>+'Tuition-2Yr'!O43+'State Appropriations-2Yr'!O43+'Local Appropriations-2Yr'!O43+'Fed Contracts Grnts-2Yr'!O43+'Other Contracts Grnts-2Yr'!O43+'Investment Income-2Yr'!O43+'All Other E&amp;G-2Yr'!O43</f>
        <v>306709.15748000005</v>
      </c>
      <c r="P43" s="83">
        <f>+'Tuition-2Yr'!P43+'State Appropriations-2Yr'!P43+'Local Appropriations-2Yr'!P43+'Fed Contracts Grnts-2Yr'!P43+'Other Contracts Grnts-2Yr'!P43+'Investment Income-2Yr'!P43+'All Other E&amp;G-2Yr'!P43</f>
        <v>0</v>
      </c>
      <c r="Q43" s="83">
        <f>+'Tuition-2Yr'!Q43+'State Appropriations-2Yr'!Q43+'Local Appropriations-2Yr'!Q43+'Fed Contracts Grnts-2Yr'!Q43+'Other Contracts Grnts-2Yr'!Q43+'Investment Income-2Yr'!Q43+'All Other E&amp;G-2Yr'!Q43</f>
        <v>0</v>
      </c>
      <c r="R43" s="83">
        <f>+'Tuition-2Yr'!R43+'State Appropriations-2Yr'!R43+'Local Appropriations-2Yr'!R43+'Fed Contracts Grnts-2Yr'!R43+'Other Contracts Grnts-2Yr'!R43+'Investment Income-2Yr'!R43+'All Other E&amp;G-2Yr'!R43</f>
        <v>350474.95699999999</v>
      </c>
      <c r="S43" s="83">
        <f>+'Tuition-2Yr'!S43+'State Appropriations-2Yr'!S43+'Local Appropriations-2Yr'!S43+'Fed Contracts Grnts-2Yr'!S43+'Other Contracts Grnts-2Yr'!S43+'Investment Income-2Yr'!S43+'All Other E&amp;G-2Yr'!S43</f>
        <v>377445.59599999996</v>
      </c>
      <c r="T43" s="83">
        <f>+'Tuition-2Yr'!T43+'State Appropriations-2Yr'!T43+'Local Appropriations-2Yr'!T43+'Fed Contracts Grnts-2Yr'!T43+'Other Contracts Grnts-2Yr'!T43+'Investment Income-2Yr'!T43+'All Other E&amp;G-2Yr'!T43</f>
        <v>416801.77899999992</v>
      </c>
      <c r="U43" s="83">
        <f>+'Tuition-2Yr'!U43+'State Appropriations-2Yr'!U43+'Local Appropriations-2Yr'!U43+'Fed Contracts Grnts-2Yr'!U43+'Other Contracts Grnts-2Yr'!U43+'Investment Income-2Yr'!U43+'All Other E&amp;G-2Yr'!U43</f>
        <v>438902.75599999999</v>
      </c>
      <c r="V43" s="83">
        <f>+'Tuition-2Yr'!V43+'State Appropriations-2Yr'!V43+'Local Appropriations-2Yr'!V43+'Fed Contracts Grnts-2Yr'!V43+'Other Contracts Grnts-2Yr'!V43+'Investment Income-2Yr'!V43+'All Other E&amp;G-2Yr'!V43</f>
        <v>449334.9040000001</v>
      </c>
      <c r="W43" s="83">
        <f>+'Tuition-2Yr'!W43+'State Appropriations-2Yr'!W43+'Local Appropriations-2Yr'!W43+'Fed Contracts Grnts-2Yr'!W43+'Other Contracts Grnts-2Yr'!W43+'Investment Income-2Yr'!W43+'All Other E&amp;G-2Yr'!W43</f>
        <v>499224.31500000006</v>
      </c>
      <c r="X43" s="83">
        <f>+'Tuition-2Yr'!X43+'State Appropriations-2Yr'!X43+'Local Appropriations-2Yr'!X43+'Fed Contracts Grnts-2Yr'!X43+'Other Contracts Grnts-2Yr'!X43+'Investment Income-2Yr'!X43+'All Other E&amp;G-2Yr'!X43</f>
        <v>511430.35800000007</v>
      </c>
      <c r="Y43" s="83">
        <f>+'Tuition-2Yr'!Y43+'State Appropriations-2Yr'!Y43+'Local Appropriations-2Yr'!Y43+'Fed Contracts Grnts-2Yr'!Y43+'Other Contracts Grnts-2Yr'!Y43+'Investment Income-2Yr'!Y43+'All Other E&amp;G-2Yr'!Y43</f>
        <v>543262.69099999999</v>
      </c>
      <c r="Z43" s="83">
        <f>+'Tuition-2Yr'!Z43+'State Appropriations-2Yr'!Z43+'Local Appropriations-2Yr'!Z43+'Fed Contracts Grnts-2Yr'!Z43+'Other Contracts Grnts-2Yr'!Z43+'Investment Income-2Yr'!Z43+'All Other E&amp;G-2Yr'!Z43</f>
        <v>562252.25899999996</v>
      </c>
      <c r="AA43" s="83">
        <f>+'Tuition-2Yr'!AA43+'State Appropriations-2Yr'!AA43+'Local Appropriations-2Yr'!AA43+'Fed Contracts Grnts-2Yr'!AA43+'Other Contracts Grnts-2Yr'!AA43+'Investment Income-2Yr'!AA43+'All Other E&amp;G-2Yr'!AA43</f>
        <v>636912.52200000011</v>
      </c>
      <c r="AB43" s="83">
        <f>+'Tuition-2Yr'!AB43+'State Appropriations-2Yr'!AB43+'Local Appropriations-2Yr'!AB43+'Fed Contracts Grnts-2Yr'!AB43+'Other Contracts Grnts-2Yr'!AB43+'Investment Income-2Yr'!AB43+'All Other E&amp;G-2Yr'!AB43</f>
        <v>676365.90700000012</v>
      </c>
      <c r="AC43" s="83">
        <f>+'Tuition-2Yr'!AC43+'State Appropriations-2Yr'!AC43+'Local Appropriations-2Yr'!AC43+'Fed Contracts Grnts-2Yr'!AC43+'Other Contracts Grnts-2Yr'!AC43+'Investment Income-2Yr'!AC43+'All Other E&amp;G-2Yr'!AC43</f>
        <v>726371</v>
      </c>
      <c r="AD43" s="83">
        <f>+'Tuition-2Yr'!AD43+'State Appropriations-2Yr'!AD43+'Local Appropriations-2Yr'!AD43+'Fed Contracts Grnts-2Yr'!AD43+'Other Contracts Grnts-2Yr'!AD43+'Investment Income-2Yr'!AD43+'All Other E&amp;G-2Yr'!AD43</f>
        <v>706426.89</v>
      </c>
      <c r="AE43" s="83">
        <f>+'Tuition-2Yr'!AE43+'State Appropriations-2Yr'!AE43+'Local Appropriations-2Yr'!AE43+'Fed Contracts Grnts-2Yr'!AE43+'Other Contracts Grnts-2Yr'!AE43+'Investment Income-2Yr'!AE43+'All Other E&amp;G-2Yr'!AE43</f>
        <v>766050.98399999994</v>
      </c>
      <c r="AF43" s="83">
        <f>+'Tuition-2Yr'!AF43+'State Appropriations-2Yr'!AF43+'Local Appropriations-2Yr'!AF43+'Fed Contracts Grnts-2Yr'!AF43+'Other Contracts Grnts-2Yr'!AF43+'Investment Income-2Yr'!AF43+'All Other E&amp;G-2Yr'!AF43</f>
        <v>584634.02499999991</v>
      </c>
      <c r="AG43" s="83">
        <f>+'Tuition-2Yr'!AG43+'State Appropriations-2Yr'!AG43+'Local Appropriations-2Yr'!AG43+'Fed Contracts Grnts-2Yr'!AG43+'Other Contracts Grnts-2Yr'!AG43+'Investment Income-2Yr'!AG43+'All Other E&amp;G-2Yr'!AG43</f>
        <v>611777.36699999997</v>
      </c>
      <c r="AH43" s="83">
        <f>+'Tuition-2Yr'!AH43+'State Appropriations-2Yr'!AH43+'Local Appropriations-2Yr'!AH43+'Fed Contracts Grnts-2Yr'!AH43+'Other Contracts Grnts-2Yr'!AH43+'Investment Income-2Yr'!AH43+'All Other E&amp;G-2Yr'!AH43</f>
        <v>767764.37899999996</v>
      </c>
      <c r="AI43" s="83">
        <f>+'Tuition-2Yr'!AI43+'State Appropriations-2Yr'!AI43+'Local Appropriations-2Yr'!AI43+'Fed Contracts Grnts-2Yr'!AI43+'Other Contracts Grnts-2Yr'!AI43+'Investment Income-2Yr'!AI43+'All Other E&amp;G-2Yr'!AI43</f>
        <v>782313.92200000002</v>
      </c>
      <c r="AJ43" s="83">
        <f>+'Tuition-2Yr'!AJ43+'State Appropriations-2Yr'!AJ43+'Local Appropriations-2Yr'!AJ43+'Fed Contracts Grnts-2Yr'!AJ43+'Other Contracts Grnts-2Yr'!AJ43+'Investment Income-2Yr'!AJ43+'All Other E&amp;G-2Yr'!AJ43</f>
        <v>0</v>
      </c>
      <c r="AK43" s="83">
        <f>+'Tuition-2Yr'!AK43+'State Appropriations-2Yr'!AK43+'Local Appropriations-2Yr'!AK43+'Fed Contracts Grnts-2Yr'!AK43+'Other Contracts Grnts-2Yr'!AK43+'Investment Income-2Yr'!AK43+'All Other E&amp;G-2Yr'!AK43</f>
        <v>900552.54800000007</v>
      </c>
      <c r="AL43" s="83">
        <f>+'Tuition-2Yr'!AL43+'State Appropriations-2Yr'!AL43+'Local Appropriations-2Yr'!AL43+'Fed Contracts Grnts-2Yr'!AL43+'Other Contracts Grnts-2Yr'!AL43+'Investment Income-2Yr'!AL43+'All Other E&amp;G-2Yr'!AL43</f>
        <v>812454.1100000001</v>
      </c>
    </row>
    <row r="44" spans="1:38" ht="12.75" customHeight="1">
      <c r="A44" s="1" t="s">
        <v>57</v>
      </c>
      <c r="B44" s="83">
        <f>+'Tuition-2Yr'!B44+'State Appropriations-2Yr'!B44+'Local Appropriations-2Yr'!B44+'Fed Contracts Grnts-2Yr'!B44+'Other Contracts Grnts-2Yr'!B44+'Investment Income-2Yr'!B44+'All Other E&amp;G-2Yr'!B44</f>
        <v>0</v>
      </c>
      <c r="C44" s="83">
        <f>+'Tuition-2Yr'!C44+'State Appropriations-2Yr'!C44+'Local Appropriations-2Yr'!C44+'Fed Contracts Grnts-2Yr'!C44+'Other Contracts Grnts-2Yr'!C44+'Investment Income-2Yr'!C44+'All Other E&amp;G-2Yr'!C44</f>
        <v>0</v>
      </c>
      <c r="D44" s="83">
        <f>+'Tuition-2Yr'!D44+'State Appropriations-2Yr'!D44+'Local Appropriations-2Yr'!D44+'Fed Contracts Grnts-2Yr'!D44+'Other Contracts Grnts-2Yr'!D44+'Investment Income-2Yr'!D44+'All Other E&amp;G-2Yr'!D44</f>
        <v>0</v>
      </c>
      <c r="E44" s="83">
        <f>+'Tuition-2Yr'!E44+'State Appropriations-2Yr'!E44+'Local Appropriations-2Yr'!E44+'Fed Contracts Grnts-2Yr'!E44+'Other Contracts Grnts-2Yr'!E44+'Investment Income-2Yr'!E44+'All Other E&amp;G-2Yr'!E44</f>
        <v>0</v>
      </c>
      <c r="F44" s="83">
        <f>+'Tuition-2Yr'!F44+'State Appropriations-2Yr'!F44+'Local Appropriations-2Yr'!F44+'Fed Contracts Grnts-2Yr'!F44+'Other Contracts Grnts-2Yr'!F44+'Investment Income-2Yr'!F44+'All Other E&amp;G-2Yr'!F44</f>
        <v>0</v>
      </c>
      <c r="G44" s="83">
        <f>+'Tuition-2Yr'!G44+'State Appropriations-2Yr'!G44+'Local Appropriations-2Yr'!G44+'Fed Contracts Grnts-2Yr'!G44+'Other Contracts Grnts-2Yr'!G44+'Investment Income-2Yr'!G44+'All Other E&amp;G-2Yr'!G44</f>
        <v>0</v>
      </c>
      <c r="H44" s="83">
        <f>+'Tuition-2Yr'!H44+'State Appropriations-2Yr'!H44+'Local Appropriations-2Yr'!H44+'Fed Contracts Grnts-2Yr'!H44+'Other Contracts Grnts-2Yr'!H44+'Investment Income-2Yr'!H44+'All Other E&amp;G-2Yr'!H44</f>
        <v>0</v>
      </c>
      <c r="I44" s="83">
        <f>+'Tuition-2Yr'!I44+'State Appropriations-2Yr'!I44+'Local Appropriations-2Yr'!I44+'Fed Contracts Grnts-2Yr'!I44+'Other Contracts Grnts-2Yr'!I44+'Investment Income-2Yr'!I44+'All Other E&amp;G-2Yr'!I44</f>
        <v>0</v>
      </c>
      <c r="J44" s="83">
        <f>+'Tuition-2Yr'!J44+'State Appropriations-2Yr'!J44+'Local Appropriations-2Yr'!J44+'Fed Contracts Grnts-2Yr'!J44+'Other Contracts Grnts-2Yr'!J44+'Investment Income-2Yr'!J44+'All Other E&amp;G-2Yr'!J44</f>
        <v>772406.98100000003</v>
      </c>
      <c r="K44" s="83">
        <f>+'Tuition-2Yr'!K44+'State Appropriations-2Yr'!K44+'Local Appropriations-2Yr'!K44+'Fed Contracts Grnts-2Yr'!K44+'Other Contracts Grnts-2Yr'!K44+'Investment Income-2Yr'!K44+'All Other E&amp;G-2Yr'!K44</f>
        <v>0</v>
      </c>
      <c r="L44" s="83">
        <f>+'Tuition-2Yr'!L44+'State Appropriations-2Yr'!L44+'Local Appropriations-2Yr'!L44+'Fed Contracts Grnts-2Yr'!L44+'Other Contracts Grnts-2Yr'!L44+'Investment Income-2Yr'!L44+'All Other E&amp;G-2Yr'!L44</f>
        <v>0</v>
      </c>
      <c r="M44" s="83">
        <f>+'Tuition-2Yr'!M44+'State Appropriations-2Yr'!M44+'Local Appropriations-2Yr'!M44+'Fed Contracts Grnts-2Yr'!M44+'Other Contracts Grnts-2Yr'!M44+'Investment Income-2Yr'!M44+'All Other E&amp;G-2Yr'!M44</f>
        <v>895065.13199999998</v>
      </c>
      <c r="N44" s="83">
        <f>+'Tuition-2Yr'!N44+'State Appropriations-2Yr'!N44+'Local Appropriations-2Yr'!N44+'Fed Contracts Grnts-2Yr'!N44+'Other Contracts Grnts-2Yr'!N44+'Investment Income-2Yr'!N44+'All Other E&amp;G-2Yr'!N44</f>
        <v>0</v>
      </c>
      <c r="O44" s="83">
        <f>+'Tuition-2Yr'!O44+'State Appropriations-2Yr'!O44+'Local Appropriations-2Yr'!O44+'Fed Contracts Grnts-2Yr'!O44+'Other Contracts Grnts-2Yr'!O44+'Investment Income-2Yr'!O44+'All Other E&amp;G-2Yr'!O44</f>
        <v>872564.63115999999</v>
      </c>
      <c r="P44" s="83">
        <f>+'Tuition-2Yr'!P44+'State Appropriations-2Yr'!P44+'Local Appropriations-2Yr'!P44+'Fed Contracts Grnts-2Yr'!P44+'Other Contracts Grnts-2Yr'!P44+'Investment Income-2Yr'!P44+'All Other E&amp;G-2Yr'!P44</f>
        <v>0</v>
      </c>
      <c r="Q44" s="83">
        <f>+'Tuition-2Yr'!Q44+'State Appropriations-2Yr'!Q44+'Local Appropriations-2Yr'!Q44+'Fed Contracts Grnts-2Yr'!Q44+'Other Contracts Grnts-2Yr'!Q44+'Investment Income-2Yr'!Q44+'All Other E&amp;G-2Yr'!Q44</f>
        <v>0</v>
      </c>
      <c r="R44" s="83">
        <f>+'Tuition-2Yr'!R44+'State Appropriations-2Yr'!R44+'Local Appropriations-2Yr'!R44+'Fed Contracts Grnts-2Yr'!R44+'Other Contracts Grnts-2Yr'!R44+'Investment Income-2Yr'!R44+'All Other E&amp;G-2Yr'!R44</f>
        <v>1078038.3729999999</v>
      </c>
      <c r="S44" s="83">
        <f>+'Tuition-2Yr'!S44+'State Appropriations-2Yr'!S44+'Local Appropriations-2Yr'!S44+'Fed Contracts Grnts-2Yr'!S44+'Other Contracts Grnts-2Yr'!S44+'Investment Income-2Yr'!S44+'All Other E&amp;G-2Yr'!S44</f>
        <v>1138790.3299999998</v>
      </c>
      <c r="T44" s="83">
        <f>+'Tuition-2Yr'!T44+'State Appropriations-2Yr'!T44+'Local Appropriations-2Yr'!T44+'Fed Contracts Grnts-2Yr'!T44+'Other Contracts Grnts-2Yr'!T44+'Investment Income-2Yr'!T44+'All Other E&amp;G-2Yr'!T44</f>
        <v>1237876.8630000001</v>
      </c>
      <c r="U44" s="83">
        <f>+'Tuition-2Yr'!U44+'State Appropriations-2Yr'!U44+'Local Appropriations-2Yr'!U44+'Fed Contracts Grnts-2Yr'!U44+'Other Contracts Grnts-2Yr'!U44+'Investment Income-2Yr'!U44+'All Other E&amp;G-2Yr'!U44</f>
        <v>1351390.8430000001</v>
      </c>
      <c r="V44" s="83">
        <f>+'Tuition-2Yr'!V44+'State Appropriations-2Yr'!V44+'Local Appropriations-2Yr'!V44+'Fed Contracts Grnts-2Yr'!V44+'Other Contracts Grnts-2Yr'!V44+'Investment Income-2Yr'!V44+'All Other E&amp;G-2Yr'!V44</f>
        <v>1361695.9240000001</v>
      </c>
      <c r="W44" s="83">
        <f>+'Tuition-2Yr'!W44+'State Appropriations-2Yr'!W44+'Local Appropriations-2Yr'!W44+'Fed Contracts Grnts-2Yr'!W44+'Other Contracts Grnts-2Yr'!W44+'Investment Income-2Yr'!W44+'All Other E&amp;G-2Yr'!W44</f>
        <v>1545507.7250000001</v>
      </c>
      <c r="X44" s="83">
        <f>+'Tuition-2Yr'!X44+'State Appropriations-2Yr'!X44+'Local Appropriations-2Yr'!X44+'Fed Contracts Grnts-2Yr'!X44+'Other Contracts Grnts-2Yr'!X44+'Investment Income-2Yr'!X44+'All Other E&amp;G-2Yr'!X44</f>
        <v>1512311.4400000002</v>
      </c>
      <c r="Y44" s="83">
        <f>+'Tuition-2Yr'!Y44+'State Appropriations-2Yr'!Y44+'Local Appropriations-2Yr'!Y44+'Fed Contracts Grnts-2Yr'!Y44+'Other Contracts Grnts-2Yr'!Y44+'Investment Income-2Yr'!Y44+'All Other E&amp;G-2Yr'!Y44</f>
        <v>1595886.2489999998</v>
      </c>
      <c r="Z44" s="83">
        <f>+'Tuition-2Yr'!Z44+'State Appropriations-2Yr'!Z44+'Local Appropriations-2Yr'!Z44+'Fed Contracts Grnts-2Yr'!Z44+'Other Contracts Grnts-2Yr'!Z44+'Investment Income-2Yr'!Z44+'All Other E&amp;G-2Yr'!Z44</f>
        <v>1694176.4310000001</v>
      </c>
      <c r="AA44" s="83">
        <f>+'Tuition-2Yr'!AA44+'State Appropriations-2Yr'!AA44+'Local Appropriations-2Yr'!AA44+'Fed Contracts Grnts-2Yr'!AA44+'Other Contracts Grnts-2Yr'!AA44+'Investment Income-2Yr'!AA44+'All Other E&amp;G-2Yr'!AA44</f>
        <v>1928722.726</v>
      </c>
      <c r="AB44" s="83">
        <f>+'Tuition-2Yr'!AB44+'State Appropriations-2Yr'!AB44+'Local Appropriations-2Yr'!AB44+'Fed Contracts Grnts-2Yr'!AB44+'Other Contracts Grnts-2Yr'!AB44+'Investment Income-2Yr'!AB44+'All Other E&amp;G-2Yr'!AB44</f>
        <v>2209374.7290000003</v>
      </c>
      <c r="AC44" s="83">
        <f>+'Tuition-2Yr'!AC44+'State Appropriations-2Yr'!AC44+'Local Appropriations-2Yr'!AC44+'Fed Contracts Grnts-2Yr'!AC44+'Other Contracts Grnts-2Yr'!AC44+'Investment Income-2Yr'!AC44+'All Other E&amp;G-2Yr'!AC44</f>
        <v>2279467</v>
      </c>
      <c r="AD44" s="83">
        <f>+'Tuition-2Yr'!AD44+'State Appropriations-2Yr'!AD44+'Local Appropriations-2Yr'!AD44+'Fed Contracts Grnts-2Yr'!AD44+'Other Contracts Grnts-2Yr'!AD44+'Investment Income-2Yr'!AD44+'All Other E&amp;G-2Yr'!AD44</f>
        <v>2186921.8110000002</v>
      </c>
      <c r="AE44" s="83">
        <f>+'Tuition-2Yr'!AE44+'State Appropriations-2Yr'!AE44+'Local Appropriations-2Yr'!AE44+'Fed Contracts Grnts-2Yr'!AE44+'Other Contracts Grnts-2Yr'!AE44+'Investment Income-2Yr'!AE44+'All Other E&amp;G-2Yr'!AE44</f>
        <v>2083977.1390000002</v>
      </c>
      <c r="AF44" s="83">
        <f>+'Tuition-2Yr'!AF44+'State Appropriations-2Yr'!AF44+'Local Appropriations-2Yr'!AF44+'Fed Contracts Grnts-2Yr'!AF44+'Other Contracts Grnts-2Yr'!AF44+'Investment Income-2Yr'!AF44+'All Other E&amp;G-2Yr'!AF44</f>
        <v>1959749.1770000001</v>
      </c>
      <c r="AG44" s="83">
        <f>+'Tuition-2Yr'!AG44+'State Appropriations-2Yr'!AG44+'Local Appropriations-2Yr'!AG44+'Fed Contracts Grnts-2Yr'!AG44+'Other Contracts Grnts-2Yr'!AG44+'Investment Income-2Yr'!AG44+'All Other E&amp;G-2Yr'!AG44</f>
        <v>1969579.0880000002</v>
      </c>
      <c r="AH44" s="83">
        <f>+'Tuition-2Yr'!AH44+'State Appropriations-2Yr'!AH44+'Local Appropriations-2Yr'!AH44+'Fed Contracts Grnts-2Yr'!AH44+'Other Contracts Grnts-2Yr'!AH44+'Investment Income-2Yr'!AH44+'All Other E&amp;G-2Yr'!AH44</f>
        <v>2050268.9299999997</v>
      </c>
      <c r="AI44" s="83">
        <f>+'Tuition-2Yr'!AI44+'State Appropriations-2Yr'!AI44+'Local Appropriations-2Yr'!AI44+'Fed Contracts Grnts-2Yr'!AI44+'Other Contracts Grnts-2Yr'!AI44+'Investment Income-2Yr'!AI44+'All Other E&amp;G-2Yr'!AI44</f>
        <v>2064086.8820000002</v>
      </c>
      <c r="AJ44" s="83">
        <f>+'Tuition-2Yr'!AJ44+'State Appropriations-2Yr'!AJ44+'Local Appropriations-2Yr'!AJ44+'Fed Contracts Grnts-2Yr'!AJ44+'Other Contracts Grnts-2Yr'!AJ44+'Investment Income-2Yr'!AJ44+'All Other E&amp;G-2Yr'!AJ44</f>
        <v>0</v>
      </c>
      <c r="AK44" s="83">
        <f>+'Tuition-2Yr'!AK44+'State Appropriations-2Yr'!AK44+'Local Appropriations-2Yr'!AK44+'Fed Contracts Grnts-2Yr'!AK44+'Other Contracts Grnts-2Yr'!AK44+'Investment Income-2Yr'!AK44+'All Other E&amp;G-2Yr'!AK44</f>
        <v>2227389.6239999998</v>
      </c>
      <c r="AL44" s="83">
        <f>+'Tuition-2Yr'!AL44+'State Appropriations-2Yr'!AL44+'Local Appropriations-2Yr'!AL44+'Fed Contracts Grnts-2Yr'!AL44+'Other Contracts Grnts-2Yr'!AL44+'Investment Income-2Yr'!AL44+'All Other E&amp;G-2Yr'!AL44</f>
        <v>2070137.0519999999</v>
      </c>
    </row>
    <row r="45" spans="1:38" ht="12.75" customHeight="1">
      <c r="A45" s="1" t="s">
        <v>58</v>
      </c>
      <c r="B45" s="83">
        <f>+'Tuition-2Yr'!B45+'State Appropriations-2Yr'!B45+'Local Appropriations-2Yr'!B45+'Fed Contracts Grnts-2Yr'!B45+'Other Contracts Grnts-2Yr'!B45+'Investment Income-2Yr'!B45+'All Other E&amp;G-2Yr'!B45</f>
        <v>0</v>
      </c>
      <c r="C45" s="83">
        <f>+'Tuition-2Yr'!C45+'State Appropriations-2Yr'!C45+'Local Appropriations-2Yr'!C45+'Fed Contracts Grnts-2Yr'!C45+'Other Contracts Grnts-2Yr'!C45+'Investment Income-2Yr'!C45+'All Other E&amp;G-2Yr'!C45</f>
        <v>0</v>
      </c>
      <c r="D45" s="83">
        <f>+'Tuition-2Yr'!D45+'State Appropriations-2Yr'!D45+'Local Appropriations-2Yr'!D45+'Fed Contracts Grnts-2Yr'!D45+'Other Contracts Grnts-2Yr'!D45+'Investment Income-2Yr'!D45+'All Other E&amp;G-2Yr'!D45</f>
        <v>0</v>
      </c>
      <c r="E45" s="83">
        <f>+'Tuition-2Yr'!E45+'State Appropriations-2Yr'!E45+'Local Appropriations-2Yr'!E45+'Fed Contracts Grnts-2Yr'!E45+'Other Contracts Grnts-2Yr'!E45+'Investment Income-2Yr'!E45+'All Other E&amp;G-2Yr'!E45</f>
        <v>0</v>
      </c>
      <c r="F45" s="83">
        <f>+'Tuition-2Yr'!F45+'State Appropriations-2Yr'!F45+'Local Appropriations-2Yr'!F45+'Fed Contracts Grnts-2Yr'!F45+'Other Contracts Grnts-2Yr'!F45+'Investment Income-2Yr'!F45+'All Other E&amp;G-2Yr'!F45</f>
        <v>0</v>
      </c>
      <c r="G45" s="83">
        <f>+'Tuition-2Yr'!G45+'State Appropriations-2Yr'!G45+'Local Appropriations-2Yr'!G45+'Fed Contracts Grnts-2Yr'!G45+'Other Contracts Grnts-2Yr'!G45+'Investment Income-2Yr'!G45+'All Other E&amp;G-2Yr'!G45</f>
        <v>0</v>
      </c>
      <c r="H45" s="83">
        <f>+'Tuition-2Yr'!H45+'State Appropriations-2Yr'!H45+'Local Appropriations-2Yr'!H45+'Fed Contracts Grnts-2Yr'!H45+'Other Contracts Grnts-2Yr'!H45+'Investment Income-2Yr'!H45+'All Other E&amp;G-2Yr'!H45</f>
        <v>0</v>
      </c>
      <c r="I45" s="83">
        <f>+'Tuition-2Yr'!I45+'State Appropriations-2Yr'!I45+'Local Appropriations-2Yr'!I45+'Fed Contracts Grnts-2Yr'!I45+'Other Contracts Grnts-2Yr'!I45+'Investment Income-2Yr'!I45+'All Other E&amp;G-2Yr'!I45</f>
        <v>0</v>
      </c>
      <c r="J45" s="83">
        <f>+'Tuition-2Yr'!J45+'State Appropriations-2Yr'!J45+'Local Appropriations-2Yr'!J45+'Fed Contracts Grnts-2Yr'!J45+'Other Contracts Grnts-2Yr'!J45+'Investment Income-2Yr'!J45+'All Other E&amp;G-2Yr'!J45</f>
        <v>396356.20599999995</v>
      </c>
      <c r="K45" s="83">
        <f>+'Tuition-2Yr'!K45+'State Appropriations-2Yr'!K45+'Local Appropriations-2Yr'!K45+'Fed Contracts Grnts-2Yr'!K45+'Other Contracts Grnts-2Yr'!K45+'Investment Income-2Yr'!K45+'All Other E&amp;G-2Yr'!K45</f>
        <v>0</v>
      </c>
      <c r="L45" s="83">
        <f>+'Tuition-2Yr'!L45+'State Appropriations-2Yr'!L45+'Local Appropriations-2Yr'!L45+'Fed Contracts Grnts-2Yr'!L45+'Other Contracts Grnts-2Yr'!L45+'Investment Income-2Yr'!L45+'All Other E&amp;G-2Yr'!L45</f>
        <v>0</v>
      </c>
      <c r="M45" s="83">
        <f>+'Tuition-2Yr'!M45+'State Appropriations-2Yr'!M45+'Local Appropriations-2Yr'!M45+'Fed Contracts Grnts-2Yr'!M45+'Other Contracts Grnts-2Yr'!M45+'Investment Income-2Yr'!M45+'All Other E&amp;G-2Yr'!M45</f>
        <v>526900.69899999991</v>
      </c>
      <c r="N45" s="83">
        <f>+'Tuition-2Yr'!N45+'State Appropriations-2Yr'!N45+'Local Appropriations-2Yr'!N45+'Fed Contracts Grnts-2Yr'!N45+'Other Contracts Grnts-2Yr'!N45+'Investment Income-2Yr'!N45+'All Other E&amp;G-2Yr'!N45</f>
        <v>0</v>
      </c>
      <c r="O45" s="83">
        <f>+'Tuition-2Yr'!O45+'State Appropriations-2Yr'!O45+'Local Appropriations-2Yr'!O45+'Fed Contracts Grnts-2Yr'!O45+'Other Contracts Grnts-2Yr'!O45+'Investment Income-2Yr'!O45+'All Other E&amp;G-2Yr'!O45</f>
        <v>620266.87120000005</v>
      </c>
      <c r="P45" s="83">
        <f>+'Tuition-2Yr'!P45+'State Appropriations-2Yr'!P45+'Local Appropriations-2Yr'!P45+'Fed Contracts Grnts-2Yr'!P45+'Other Contracts Grnts-2Yr'!P45+'Investment Income-2Yr'!P45+'All Other E&amp;G-2Yr'!P45</f>
        <v>0</v>
      </c>
      <c r="Q45" s="83">
        <f>+'Tuition-2Yr'!Q45+'State Appropriations-2Yr'!Q45+'Local Appropriations-2Yr'!Q45+'Fed Contracts Grnts-2Yr'!Q45+'Other Contracts Grnts-2Yr'!Q45+'Investment Income-2Yr'!Q45+'All Other E&amp;G-2Yr'!Q45</f>
        <v>0</v>
      </c>
      <c r="R45" s="83">
        <f>+'Tuition-2Yr'!R45+'State Appropriations-2Yr'!R45+'Local Appropriations-2Yr'!R45+'Fed Contracts Grnts-2Yr'!R45+'Other Contracts Grnts-2Yr'!R45+'Investment Income-2Yr'!R45+'All Other E&amp;G-2Yr'!R45</f>
        <v>627084.90100000007</v>
      </c>
      <c r="S45" s="83">
        <f>+'Tuition-2Yr'!S45+'State Appropriations-2Yr'!S45+'Local Appropriations-2Yr'!S45+'Fed Contracts Grnts-2Yr'!S45+'Other Contracts Grnts-2Yr'!S45+'Investment Income-2Yr'!S45+'All Other E&amp;G-2Yr'!S45</f>
        <v>691273.98300000012</v>
      </c>
      <c r="T45" s="83">
        <f>+'Tuition-2Yr'!T45+'State Appropriations-2Yr'!T45+'Local Appropriations-2Yr'!T45+'Fed Contracts Grnts-2Yr'!T45+'Other Contracts Grnts-2Yr'!T45+'Investment Income-2Yr'!T45+'All Other E&amp;G-2Yr'!T45</f>
        <v>728131.4879999999</v>
      </c>
      <c r="U45" s="83">
        <f>+'Tuition-2Yr'!U45+'State Appropriations-2Yr'!U45+'Local Appropriations-2Yr'!U45+'Fed Contracts Grnts-2Yr'!U45+'Other Contracts Grnts-2Yr'!U45+'Investment Income-2Yr'!U45+'All Other E&amp;G-2Yr'!U45</f>
        <v>724435.03600000008</v>
      </c>
      <c r="V45" s="83">
        <f>+'Tuition-2Yr'!V45+'State Appropriations-2Yr'!V45+'Local Appropriations-2Yr'!V45+'Fed Contracts Grnts-2Yr'!V45+'Other Contracts Grnts-2Yr'!V45+'Investment Income-2Yr'!V45+'All Other E&amp;G-2Yr'!V45</f>
        <v>725373.55900000001</v>
      </c>
      <c r="W45" s="83">
        <f>+'Tuition-2Yr'!W45+'State Appropriations-2Yr'!W45+'Local Appropriations-2Yr'!W45+'Fed Contracts Grnts-2Yr'!W45+'Other Contracts Grnts-2Yr'!W45+'Investment Income-2Yr'!W45+'All Other E&amp;G-2Yr'!W45</f>
        <v>808413.23499999999</v>
      </c>
      <c r="X45" s="83">
        <f>+'Tuition-2Yr'!X45+'State Appropriations-2Yr'!X45+'Local Appropriations-2Yr'!X45+'Fed Contracts Grnts-2Yr'!X45+'Other Contracts Grnts-2Yr'!X45+'Investment Income-2Yr'!X45+'All Other E&amp;G-2Yr'!X45</f>
        <v>758915.92</v>
      </c>
      <c r="Y45" s="83">
        <f>+'Tuition-2Yr'!Y45+'State Appropriations-2Yr'!Y45+'Local Appropriations-2Yr'!Y45+'Fed Contracts Grnts-2Yr'!Y45+'Other Contracts Grnts-2Yr'!Y45+'Investment Income-2Yr'!Y45+'All Other E&amp;G-2Yr'!Y45</f>
        <v>812967.56699999992</v>
      </c>
      <c r="Z45" s="83">
        <f>+'Tuition-2Yr'!Z45+'State Appropriations-2Yr'!Z45+'Local Appropriations-2Yr'!Z45+'Fed Contracts Grnts-2Yr'!Z45+'Other Contracts Grnts-2Yr'!Z45+'Investment Income-2Yr'!Z45+'All Other E&amp;G-2Yr'!Z45</f>
        <v>885906.64899999998</v>
      </c>
      <c r="AA45" s="83">
        <f>+'Tuition-2Yr'!AA45+'State Appropriations-2Yr'!AA45+'Local Appropriations-2Yr'!AA45+'Fed Contracts Grnts-2Yr'!AA45+'Other Contracts Grnts-2Yr'!AA45+'Investment Income-2Yr'!AA45+'All Other E&amp;G-2Yr'!AA45</f>
        <v>1059820.7779999999</v>
      </c>
      <c r="AB45" s="83">
        <f>+'Tuition-2Yr'!AB45+'State Appropriations-2Yr'!AB45+'Local Appropriations-2Yr'!AB45+'Fed Contracts Grnts-2Yr'!AB45+'Other Contracts Grnts-2Yr'!AB45+'Investment Income-2Yr'!AB45+'All Other E&amp;G-2Yr'!AB45</f>
        <v>1163045.7590000001</v>
      </c>
      <c r="AC45" s="83">
        <f>+'Tuition-2Yr'!AC45+'State Appropriations-2Yr'!AC45+'Local Appropriations-2Yr'!AC45+'Fed Contracts Grnts-2Yr'!AC45+'Other Contracts Grnts-2Yr'!AC45+'Investment Income-2Yr'!AC45+'All Other E&amp;G-2Yr'!AC45</f>
        <v>1220871</v>
      </c>
      <c r="AD45" s="83">
        <f>+'Tuition-2Yr'!AD45+'State Appropriations-2Yr'!AD45+'Local Appropriations-2Yr'!AD45+'Fed Contracts Grnts-2Yr'!AD45+'Other Contracts Grnts-2Yr'!AD45+'Investment Income-2Yr'!AD45+'All Other E&amp;G-2Yr'!AD45</f>
        <v>1165489.237</v>
      </c>
      <c r="AE45" s="83">
        <f>+'Tuition-2Yr'!AE45+'State Appropriations-2Yr'!AE45+'Local Appropriations-2Yr'!AE45+'Fed Contracts Grnts-2Yr'!AE45+'Other Contracts Grnts-2Yr'!AE45+'Investment Income-2Yr'!AE45+'All Other E&amp;G-2Yr'!AE45</f>
        <v>1176411.2159999998</v>
      </c>
      <c r="AF45" s="83">
        <f>+'Tuition-2Yr'!AF45+'State Appropriations-2Yr'!AF45+'Local Appropriations-2Yr'!AF45+'Fed Contracts Grnts-2Yr'!AF45+'Other Contracts Grnts-2Yr'!AF45+'Investment Income-2Yr'!AF45+'All Other E&amp;G-2Yr'!AF45</f>
        <v>891970.77299999981</v>
      </c>
      <c r="AG45" s="83">
        <f>+'Tuition-2Yr'!AG45+'State Appropriations-2Yr'!AG45+'Local Appropriations-2Yr'!AG45+'Fed Contracts Grnts-2Yr'!AG45+'Other Contracts Grnts-2Yr'!AG45+'Investment Income-2Yr'!AG45+'All Other E&amp;G-2Yr'!AG45</f>
        <v>901095.13199999998</v>
      </c>
      <c r="AH45" s="83">
        <f>+'Tuition-2Yr'!AH45+'State Appropriations-2Yr'!AH45+'Local Appropriations-2Yr'!AH45+'Fed Contracts Grnts-2Yr'!AH45+'Other Contracts Grnts-2Yr'!AH45+'Investment Income-2Yr'!AH45+'All Other E&amp;G-2Yr'!AH45</f>
        <v>1163733.6580000001</v>
      </c>
      <c r="AI45" s="83">
        <f>+'Tuition-2Yr'!AI45+'State Appropriations-2Yr'!AI45+'Local Appropriations-2Yr'!AI45+'Fed Contracts Grnts-2Yr'!AI45+'Other Contracts Grnts-2Yr'!AI45+'Investment Income-2Yr'!AI45+'All Other E&amp;G-2Yr'!AI45</f>
        <v>1138940.9620000001</v>
      </c>
      <c r="AJ45" s="83">
        <f>+'Tuition-2Yr'!AJ45+'State Appropriations-2Yr'!AJ45+'Local Appropriations-2Yr'!AJ45+'Fed Contracts Grnts-2Yr'!AJ45+'Other Contracts Grnts-2Yr'!AJ45+'Investment Income-2Yr'!AJ45+'All Other E&amp;G-2Yr'!AJ45</f>
        <v>0</v>
      </c>
      <c r="AK45" s="83">
        <f>+'Tuition-2Yr'!AK45+'State Appropriations-2Yr'!AK45+'Local Appropriations-2Yr'!AK45+'Fed Contracts Grnts-2Yr'!AK45+'Other Contracts Grnts-2Yr'!AK45+'Investment Income-2Yr'!AK45+'All Other E&amp;G-2Yr'!AK45</f>
        <v>1191165.507</v>
      </c>
      <c r="AL45" s="83">
        <f>+'Tuition-2Yr'!AL45+'State Appropriations-2Yr'!AL45+'Local Appropriations-2Yr'!AL45+'Fed Contracts Grnts-2Yr'!AL45+'Other Contracts Grnts-2Yr'!AL45+'Investment Income-2Yr'!AL45+'All Other E&amp;G-2Yr'!AL45</f>
        <v>980813.36499999999</v>
      </c>
    </row>
    <row r="46" spans="1:38" ht="12.75" customHeight="1">
      <c r="A46" s="1" t="s">
        <v>59</v>
      </c>
      <c r="B46" s="83">
        <f>+'Tuition-2Yr'!B46+'State Appropriations-2Yr'!B46+'Local Appropriations-2Yr'!B46+'Fed Contracts Grnts-2Yr'!B46+'Other Contracts Grnts-2Yr'!B46+'Investment Income-2Yr'!B46+'All Other E&amp;G-2Yr'!B46</f>
        <v>0</v>
      </c>
      <c r="C46" s="83">
        <f>+'Tuition-2Yr'!C46+'State Appropriations-2Yr'!C46+'Local Appropriations-2Yr'!C46+'Fed Contracts Grnts-2Yr'!C46+'Other Contracts Grnts-2Yr'!C46+'Investment Income-2Yr'!C46+'All Other E&amp;G-2Yr'!C46</f>
        <v>0</v>
      </c>
      <c r="D46" s="83">
        <f>+'Tuition-2Yr'!D46+'State Appropriations-2Yr'!D46+'Local Appropriations-2Yr'!D46+'Fed Contracts Grnts-2Yr'!D46+'Other Contracts Grnts-2Yr'!D46+'Investment Income-2Yr'!D46+'All Other E&amp;G-2Yr'!D46</f>
        <v>0</v>
      </c>
      <c r="E46" s="83">
        <f>+'Tuition-2Yr'!E46+'State Appropriations-2Yr'!E46+'Local Appropriations-2Yr'!E46+'Fed Contracts Grnts-2Yr'!E46+'Other Contracts Grnts-2Yr'!E46+'Investment Income-2Yr'!E46+'All Other E&amp;G-2Yr'!E46</f>
        <v>0</v>
      </c>
      <c r="F46" s="83">
        <f>+'Tuition-2Yr'!F46+'State Appropriations-2Yr'!F46+'Local Appropriations-2Yr'!F46+'Fed Contracts Grnts-2Yr'!F46+'Other Contracts Grnts-2Yr'!F46+'Investment Income-2Yr'!F46+'All Other E&amp;G-2Yr'!F46</f>
        <v>0</v>
      </c>
      <c r="G46" s="83">
        <f>+'Tuition-2Yr'!G46+'State Appropriations-2Yr'!G46+'Local Appropriations-2Yr'!G46+'Fed Contracts Grnts-2Yr'!G46+'Other Contracts Grnts-2Yr'!G46+'Investment Income-2Yr'!G46+'All Other E&amp;G-2Yr'!G46</f>
        <v>0</v>
      </c>
      <c r="H46" s="83">
        <f>+'Tuition-2Yr'!H46+'State Appropriations-2Yr'!H46+'Local Appropriations-2Yr'!H46+'Fed Contracts Grnts-2Yr'!H46+'Other Contracts Grnts-2Yr'!H46+'Investment Income-2Yr'!H46+'All Other E&amp;G-2Yr'!H46</f>
        <v>0</v>
      </c>
      <c r="I46" s="83">
        <f>+'Tuition-2Yr'!I46+'State Appropriations-2Yr'!I46+'Local Appropriations-2Yr'!I46+'Fed Contracts Grnts-2Yr'!I46+'Other Contracts Grnts-2Yr'!I46+'Investment Income-2Yr'!I46+'All Other E&amp;G-2Yr'!I46</f>
        <v>0</v>
      </c>
      <c r="J46" s="83">
        <f>+'Tuition-2Yr'!J46+'State Appropriations-2Yr'!J46+'Local Appropriations-2Yr'!J46+'Fed Contracts Grnts-2Yr'!J46+'Other Contracts Grnts-2Yr'!J46+'Investment Income-2Yr'!J46+'All Other E&amp;G-2Yr'!J46</f>
        <v>220885.68699999998</v>
      </c>
      <c r="K46" s="83">
        <f>+'Tuition-2Yr'!K46+'State Appropriations-2Yr'!K46+'Local Appropriations-2Yr'!K46+'Fed Contracts Grnts-2Yr'!K46+'Other Contracts Grnts-2Yr'!K46+'Investment Income-2Yr'!K46+'All Other E&amp;G-2Yr'!K46</f>
        <v>0</v>
      </c>
      <c r="L46" s="83">
        <f>+'Tuition-2Yr'!L46+'State Appropriations-2Yr'!L46+'Local Appropriations-2Yr'!L46+'Fed Contracts Grnts-2Yr'!L46+'Other Contracts Grnts-2Yr'!L46+'Investment Income-2Yr'!L46+'All Other E&amp;G-2Yr'!L46</f>
        <v>0</v>
      </c>
      <c r="M46" s="83">
        <f>+'Tuition-2Yr'!M46+'State Appropriations-2Yr'!M46+'Local Appropriations-2Yr'!M46+'Fed Contracts Grnts-2Yr'!M46+'Other Contracts Grnts-2Yr'!M46+'Investment Income-2Yr'!M46+'All Other E&amp;G-2Yr'!M46</f>
        <v>107948.173</v>
      </c>
      <c r="N46" s="83">
        <f>+'Tuition-2Yr'!N46+'State Appropriations-2Yr'!N46+'Local Appropriations-2Yr'!N46+'Fed Contracts Grnts-2Yr'!N46+'Other Contracts Grnts-2Yr'!N46+'Investment Income-2Yr'!N46+'All Other E&amp;G-2Yr'!N46</f>
        <v>0</v>
      </c>
      <c r="O46" s="83">
        <f>+'Tuition-2Yr'!O46+'State Appropriations-2Yr'!O46+'Local Appropriations-2Yr'!O46+'Fed Contracts Grnts-2Yr'!O46+'Other Contracts Grnts-2Yr'!O46+'Investment Income-2Yr'!O46+'All Other E&amp;G-2Yr'!O46</f>
        <v>357601.859</v>
      </c>
      <c r="P46" s="83">
        <f>+'Tuition-2Yr'!P46+'State Appropriations-2Yr'!P46+'Local Appropriations-2Yr'!P46+'Fed Contracts Grnts-2Yr'!P46+'Other Contracts Grnts-2Yr'!P46+'Investment Income-2Yr'!P46+'All Other E&amp;G-2Yr'!P46</f>
        <v>0</v>
      </c>
      <c r="Q46" s="83">
        <f>+'Tuition-2Yr'!Q46+'State Appropriations-2Yr'!Q46+'Local Appropriations-2Yr'!Q46+'Fed Contracts Grnts-2Yr'!Q46+'Other Contracts Grnts-2Yr'!Q46+'Investment Income-2Yr'!Q46+'All Other E&amp;G-2Yr'!Q46</f>
        <v>0</v>
      </c>
      <c r="R46" s="83">
        <f>+'Tuition-2Yr'!R46+'State Appropriations-2Yr'!R46+'Local Appropriations-2Yr'!R46+'Fed Contracts Grnts-2Yr'!R46+'Other Contracts Grnts-2Yr'!R46+'Investment Income-2Yr'!R46+'All Other E&amp;G-2Yr'!R46</f>
        <v>195854.522</v>
      </c>
      <c r="S46" s="83">
        <f>+'Tuition-2Yr'!S46+'State Appropriations-2Yr'!S46+'Local Appropriations-2Yr'!S46+'Fed Contracts Grnts-2Yr'!S46+'Other Contracts Grnts-2Yr'!S46+'Investment Income-2Yr'!S46+'All Other E&amp;G-2Yr'!S46</f>
        <v>337639.06099999999</v>
      </c>
      <c r="T46" s="83">
        <f>+'Tuition-2Yr'!T46+'State Appropriations-2Yr'!T46+'Local Appropriations-2Yr'!T46+'Fed Contracts Grnts-2Yr'!T46+'Other Contracts Grnts-2Yr'!T46+'Investment Income-2Yr'!T46+'All Other E&amp;G-2Yr'!T46</f>
        <v>210694.277</v>
      </c>
      <c r="U46" s="83">
        <f>+'Tuition-2Yr'!U46+'State Appropriations-2Yr'!U46+'Local Appropriations-2Yr'!U46+'Fed Contracts Grnts-2Yr'!U46+'Other Contracts Grnts-2Yr'!U46+'Investment Income-2Yr'!U46+'All Other E&amp;G-2Yr'!U46</f>
        <v>227990.136</v>
      </c>
      <c r="V46" s="83">
        <f>+'Tuition-2Yr'!V46+'State Appropriations-2Yr'!V46+'Local Appropriations-2Yr'!V46+'Fed Contracts Grnts-2Yr'!V46+'Other Contracts Grnts-2Yr'!V46+'Investment Income-2Yr'!V46+'All Other E&amp;G-2Yr'!V46</f>
        <v>239196.42</v>
      </c>
      <c r="W46" s="83">
        <f>+'Tuition-2Yr'!W46+'State Appropriations-2Yr'!W46+'Local Appropriations-2Yr'!W46+'Fed Contracts Grnts-2Yr'!W46+'Other Contracts Grnts-2Yr'!W46+'Investment Income-2Yr'!W46+'All Other E&amp;G-2Yr'!W46</f>
        <v>279287.59899999999</v>
      </c>
      <c r="X46" s="83">
        <f>+'Tuition-2Yr'!X46+'State Appropriations-2Yr'!X46+'Local Appropriations-2Yr'!X46+'Fed Contracts Grnts-2Yr'!X46+'Other Contracts Grnts-2Yr'!X46+'Investment Income-2Yr'!X46+'All Other E&amp;G-2Yr'!X46</f>
        <v>259926.03400000001</v>
      </c>
      <c r="Y46" s="83">
        <f>+'Tuition-2Yr'!Y46+'State Appropriations-2Yr'!Y46+'Local Appropriations-2Yr'!Y46+'Fed Contracts Grnts-2Yr'!Y46+'Other Contracts Grnts-2Yr'!Y46+'Investment Income-2Yr'!Y46+'All Other E&amp;G-2Yr'!Y46</f>
        <v>279041.61399999994</v>
      </c>
      <c r="Z46" s="83">
        <f>+'Tuition-2Yr'!Z46+'State Appropriations-2Yr'!Z46+'Local Appropriations-2Yr'!Z46+'Fed Contracts Grnts-2Yr'!Z46+'Other Contracts Grnts-2Yr'!Z46+'Investment Income-2Yr'!Z46+'All Other E&amp;G-2Yr'!Z46</f>
        <v>329217.63699999999</v>
      </c>
      <c r="AA46" s="83">
        <f>+'Tuition-2Yr'!AA46+'State Appropriations-2Yr'!AA46+'Local Appropriations-2Yr'!AA46+'Fed Contracts Grnts-2Yr'!AA46+'Other Contracts Grnts-2Yr'!AA46+'Investment Income-2Yr'!AA46+'All Other E&amp;G-2Yr'!AA46</f>
        <v>368330.58999999997</v>
      </c>
      <c r="AB46" s="83">
        <f>+'Tuition-2Yr'!AB46+'State Appropriations-2Yr'!AB46+'Local Appropriations-2Yr'!AB46+'Fed Contracts Grnts-2Yr'!AB46+'Other Contracts Grnts-2Yr'!AB46+'Investment Income-2Yr'!AB46+'All Other E&amp;G-2Yr'!AB46</f>
        <v>461247.071</v>
      </c>
      <c r="AC46" s="83">
        <f>+'Tuition-2Yr'!AC46+'State Appropriations-2Yr'!AC46+'Local Appropriations-2Yr'!AC46+'Fed Contracts Grnts-2Yr'!AC46+'Other Contracts Grnts-2Yr'!AC46+'Investment Income-2Yr'!AC46+'All Other E&amp;G-2Yr'!AC46</f>
        <v>737450</v>
      </c>
      <c r="AD46" s="83">
        <f>+'Tuition-2Yr'!AD46+'State Appropriations-2Yr'!AD46+'Local Appropriations-2Yr'!AD46+'Fed Contracts Grnts-2Yr'!AD46+'Other Contracts Grnts-2Yr'!AD46+'Investment Income-2Yr'!AD46+'All Other E&amp;G-2Yr'!AD46</f>
        <v>764435.97400000005</v>
      </c>
      <c r="AE46" s="83">
        <f>+'Tuition-2Yr'!AE46+'State Appropriations-2Yr'!AE46+'Local Appropriations-2Yr'!AE46+'Fed Contracts Grnts-2Yr'!AE46+'Other Contracts Grnts-2Yr'!AE46+'Investment Income-2Yr'!AE46+'All Other E&amp;G-2Yr'!AE46</f>
        <v>723263.60200000007</v>
      </c>
      <c r="AF46" s="83">
        <f>+'Tuition-2Yr'!AF46+'State Appropriations-2Yr'!AF46+'Local Appropriations-2Yr'!AF46+'Fed Contracts Grnts-2Yr'!AF46+'Other Contracts Grnts-2Yr'!AF46+'Investment Income-2Yr'!AF46+'All Other E&amp;G-2Yr'!AF46</f>
        <v>881742.24499999988</v>
      </c>
      <c r="AG46" s="83">
        <f>+'Tuition-2Yr'!AG46+'State Appropriations-2Yr'!AG46+'Local Appropriations-2Yr'!AG46+'Fed Contracts Grnts-2Yr'!AG46+'Other Contracts Grnts-2Yr'!AG46+'Investment Income-2Yr'!AG46+'All Other E&amp;G-2Yr'!AG46</f>
        <v>851246.44800000009</v>
      </c>
      <c r="AH46" s="83">
        <f>+'Tuition-2Yr'!AH46+'State Appropriations-2Yr'!AH46+'Local Appropriations-2Yr'!AH46+'Fed Contracts Grnts-2Yr'!AH46+'Other Contracts Grnts-2Yr'!AH46+'Investment Income-2Yr'!AH46+'All Other E&amp;G-2Yr'!AH46</f>
        <v>838404.45</v>
      </c>
      <c r="AI46" s="83">
        <f>+'Tuition-2Yr'!AI46+'State Appropriations-2Yr'!AI46+'Local Appropriations-2Yr'!AI46+'Fed Contracts Grnts-2Yr'!AI46+'Other Contracts Grnts-2Yr'!AI46+'Investment Income-2Yr'!AI46+'All Other E&amp;G-2Yr'!AI46</f>
        <v>836453.33400000003</v>
      </c>
      <c r="AJ46" s="83">
        <f>+'Tuition-2Yr'!AJ46+'State Appropriations-2Yr'!AJ46+'Local Appropriations-2Yr'!AJ46+'Fed Contracts Grnts-2Yr'!AJ46+'Other Contracts Grnts-2Yr'!AJ46+'Investment Income-2Yr'!AJ46+'All Other E&amp;G-2Yr'!AJ46</f>
        <v>0</v>
      </c>
      <c r="AK46" s="83">
        <f>+'Tuition-2Yr'!AK46+'State Appropriations-2Yr'!AK46+'Local Appropriations-2Yr'!AK46+'Fed Contracts Grnts-2Yr'!AK46+'Other Contracts Grnts-2Yr'!AK46+'Investment Income-2Yr'!AK46+'All Other E&amp;G-2Yr'!AK46</f>
        <v>900683.00900000008</v>
      </c>
      <c r="AL46" s="83">
        <f>+'Tuition-2Yr'!AL46+'State Appropriations-2Yr'!AL46+'Local Appropriations-2Yr'!AL46+'Fed Contracts Grnts-2Yr'!AL46+'Other Contracts Grnts-2Yr'!AL46+'Investment Income-2Yr'!AL46+'All Other E&amp;G-2Yr'!AL46</f>
        <v>917094.29700000002</v>
      </c>
    </row>
    <row r="47" spans="1:38" ht="12.75" customHeight="1">
      <c r="A47" s="1" t="s">
        <v>60</v>
      </c>
      <c r="B47" s="83">
        <f>+'Tuition-2Yr'!B47+'State Appropriations-2Yr'!B47+'Local Appropriations-2Yr'!B47+'Fed Contracts Grnts-2Yr'!B47+'Other Contracts Grnts-2Yr'!B47+'Investment Income-2Yr'!B47+'All Other E&amp;G-2Yr'!B47</f>
        <v>0</v>
      </c>
      <c r="C47" s="83">
        <f>+'Tuition-2Yr'!C47+'State Appropriations-2Yr'!C47+'Local Appropriations-2Yr'!C47+'Fed Contracts Grnts-2Yr'!C47+'Other Contracts Grnts-2Yr'!C47+'Investment Income-2Yr'!C47+'All Other E&amp;G-2Yr'!C47</f>
        <v>0</v>
      </c>
      <c r="D47" s="83">
        <f>+'Tuition-2Yr'!D47+'State Appropriations-2Yr'!D47+'Local Appropriations-2Yr'!D47+'Fed Contracts Grnts-2Yr'!D47+'Other Contracts Grnts-2Yr'!D47+'Investment Income-2Yr'!D47+'All Other E&amp;G-2Yr'!D47</f>
        <v>0</v>
      </c>
      <c r="E47" s="83">
        <f>+'Tuition-2Yr'!E47+'State Appropriations-2Yr'!E47+'Local Appropriations-2Yr'!E47+'Fed Contracts Grnts-2Yr'!E47+'Other Contracts Grnts-2Yr'!E47+'Investment Income-2Yr'!E47+'All Other E&amp;G-2Yr'!E47</f>
        <v>0</v>
      </c>
      <c r="F47" s="83">
        <f>+'Tuition-2Yr'!F47+'State Appropriations-2Yr'!F47+'Local Appropriations-2Yr'!F47+'Fed Contracts Grnts-2Yr'!F47+'Other Contracts Grnts-2Yr'!F47+'Investment Income-2Yr'!F47+'All Other E&amp;G-2Yr'!F47</f>
        <v>0</v>
      </c>
      <c r="G47" s="83">
        <f>+'Tuition-2Yr'!G47+'State Appropriations-2Yr'!G47+'Local Appropriations-2Yr'!G47+'Fed Contracts Grnts-2Yr'!G47+'Other Contracts Grnts-2Yr'!G47+'Investment Income-2Yr'!G47+'All Other E&amp;G-2Yr'!G47</f>
        <v>0</v>
      </c>
      <c r="H47" s="83">
        <f>+'Tuition-2Yr'!H47+'State Appropriations-2Yr'!H47+'Local Appropriations-2Yr'!H47+'Fed Contracts Grnts-2Yr'!H47+'Other Contracts Grnts-2Yr'!H47+'Investment Income-2Yr'!H47+'All Other E&amp;G-2Yr'!H47</f>
        <v>0</v>
      </c>
      <c r="I47" s="83">
        <f>+'Tuition-2Yr'!I47+'State Appropriations-2Yr'!I47+'Local Appropriations-2Yr'!I47+'Fed Contracts Grnts-2Yr'!I47+'Other Contracts Grnts-2Yr'!I47+'Investment Income-2Yr'!I47+'All Other E&amp;G-2Yr'!I47</f>
        <v>0</v>
      </c>
      <c r="J47" s="83">
        <f>+'Tuition-2Yr'!J47+'State Appropriations-2Yr'!J47+'Local Appropriations-2Yr'!J47+'Fed Contracts Grnts-2Yr'!J47+'Other Contracts Grnts-2Yr'!J47+'Investment Income-2Yr'!J47+'All Other E&amp;G-2Yr'!J47</f>
        <v>87811.060999999987</v>
      </c>
      <c r="K47" s="83">
        <f>+'Tuition-2Yr'!K47+'State Appropriations-2Yr'!K47+'Local Appropriations-2Yr'!K47+'Fed Contracts Grnts-2Yr'!K47+'Other Contracts Grnts-2Yr'!K47+'Investment Income-2Yr'!K47+'All Other E&amp;G-2Yr'!K47</f>
        <v>0</v>
      </c>
      <c r="L47" s="83">
        <f>+'Tuition-2Yr'!L47+'State Appropriations-2Yr'!L47+'Local Appropriations-2Yr'!L47+'Fed Contracts Grnts-2Yr'!L47+'Other Contracts Grnts-2Yr'!L47+'Investment Income-2Yr'!L47+'All Other E&amp;G-2Yr'!L47</f>
        <v>0</v>
      </c>
      <c r="M47" s="83">
        <f>+'Tuition-2Yr'!M47+'State Appropriations-2Yr'!M47+'Local Appropriations-2Yr'!M47+'Fed Contracts Grnts-2Yr'!M47+'Other Contracts Grnts-2Yr'!M47+'Investment Income-2Yr'!M47+'All Other E&amp;G-2Yr'!M47</f>
        <v>91634.83</v>
      </c>
      <c r="N47" s="83">
        <f>+'Tuition-2Yr'!N47+'State Appropriations-2Yr'!N47+'Local Appropriations-2Yr'!N47+'Fed Contracts Grnts-2Yr'!N47+'Other Contracts Grnts-2Yr'!N47+'Investment Income-2Yr'!N47+'All Other E&amp;G-2Yr'!N47</f>
        <v>0</v>
      </c>
      <c r="O47" s="83">
        <f>+'Tuition-2Yr'!O47+'State Appropriations-2Yr'!O47+'Local Appropriations-2Yr'!O47+'Fed Contracts Grnts-2Yr'!O47+'Other Contracts Grnts-2Yr'!O47+'Investment Income-2Yr'!O47+'All Other E&amp;G-2Yr'!O47</f>
        <v>155058.859</v>
      </c>
      <c r="P47" s="83">
        <f>+'Tuition-2Yr'!P47+'State Appropriations-2Yr'!P47+'Local Appropriations-2Yr'!P47+'Fed Contracts Grnts-2Yr'!P47+'Other Contracts Grnts-2Yr'!P47+'Investment Income-2Yr'!P47+'All Other E&amp;G-2Yr'!P47</f>
        <v>0</v>
      </c>
      <c r="Q47" s="83">
        <f>+'Tuition-2Yr'!Q47+'State Appropriations-2Yr'!Q47+'Local Appropriations-2Yr'!Q47+'Fed Contracts Grnts-2Yr'!Q47+'Other Contracts Grnts-2Yr'!Q47+'Investment Income-2Yr'!Q47+'All Other E&amp;G-2Yr'!Q47</f>
        <v>0</v>
      </c>
      <c r="R47" s="83">
        <f>+'Tuition-2Yr'!R47+'State Appropriations-2Yr'!R47+'Local Appropriations-2Yr'!R47+'Fed Contracts Grnts-2Yr'!R47+'Other Contracts Grnts-2Yr'!R47+'Investment Income-2Yr'!R47+'All Other E&amp;G-2Yr'!R47</f>
        <v>184158.95199999999</v>
      </c>
      <c r="S47" s="83">
        <f>+'Tuition-2Yr'!S47+'State Appropriations-2Yr'!S47+'Local Appropriations-2Yr'!S47+'Fed Contracts Grnts-2Yr'!S47+'Other Contracts Grnts-2Yr'!S47+'Investment Income-2Yr'!S47+'All Other E&amp;G-2Yr'!S47</f>
        <v>189843.42900000003</v>
      </c>
      <c r="T47" s="83">
        <f>+'Tuition-2Yr'!T47+'State Appropriations-2Yr'!T47+'Local Appropriations-2Yr'!T47+'Fed Contracts Grnts-2Yr'!T47+'Other Contracts Grnts-2Yr'!T47+'Investment Income-2Yr'!T47+'All Other E&amp;G-2Yr'!T47</f>
        <v>201027.77600000001</v>
      </c>
      <c r="U47" s="83">
        <f>+'Tuition-2Yr'!U47+'State Appropriations-2Yr'!U47+'Local Appropriations-2Yr'!U47+'Fed Contracts Grnts-2Yr'!U47+'Other Contracts Grnts-2Yr'!U47+'Investment Income-2Yr'!U47+'All Other E&amp;G-2Yr'!U47</f>
        <v>202646.56299999997</v>
      </c>
      <c r="V47" s="83">
        <f>+'Tuition-2Yr'!V47+'State Appropriations-2Yr'!V47+'Local Appropriations-2Yr'!V47+'Fed Contracts Grnts-2Yr'!V47+'Other Contracts Grnts-2Yr'!V47+'Investment Income-2Yr'!V47+'All Other E&amp;G-2Yr'!V47</f>
        <v>218105.40700000001</v>
      </c>
      <c r="W47" s="83">
        <f>+'Tuition-2Yr'!W47+'State Appropriations-2Yr'!W47+'Local Appropriations-2Yr'!W47+'Fed Contracts Grnts-2Yr'!W47+'Other Contracts Grnts-2Yr'!W47+'Investment Income-2Yr'!W47+'All Other E&amp;G-2Yr'!W47</f>
        <v>236315.84399999998</v>
      </c>
      <c r="X47" s="83">
        <f>+'Tuition-2Yr'!X47+'State Appropriations-2Yr'!X47+'Local Appropriations-2Yr'!X47+'Fed Contracts Grnts-2Yr'!X47+'Other Contracts Grnts-2Yr'!X47+'Investment Income-2Yr'!X47+'All Other E&amp;G-2Yr'!X47</f>
        <v>236141.67199999999</v>
      </c>
      <c r="Y47" s="83">
        <f>+'Tuition-2Yr'!Y47+'State Appropriations-2Yr'!Y47+'Local Appropriations-2Yr'!Y47+'Fed Contracts Grnts-2Yr'!Y47+'Other Contracts Grnts-2Yr'!Y47+'Investment Income-2Yr'!Y47+'All Other E&amp;G-2Yr'!Y47</f>
        <v>249807.96999999997</v>
      </c>
      <c r="Z47" s="83">
        <f>+'Tuition-2Yr'!Z47+'State Appropriations-2Yr'!Z47+'Local Appropriations-2Yr'!Z47+'Fed Contracts Grnts-2Yr'!Z47+'Other Contracts Grnts-2Yr'!Z47+'Investment Income-2Yr'!Z47+'All Other E&amp;G-2Yr'!Z47</f>
        <v>280351.53399999999</v>
      </c>
      <c r="AA47" s="83">
        <f>+'Tuition-2Yr'!AA47+'State Appropriations-2Yr'!AA47+'Local Appropriations-2Yr'!AA47+'Fed Contracts Grnts-2Yr'!AA47+'Other Contracts Grnts-2Yr'!AA47+'Investment Income-2Yr'!AA47+'All Other E&amp;G-2Yr'!AA47</f>
        <v>322979.859</v>
      </c>
      <c r="AB47" s="83">
        <f>+'Tuition-2Yr'!AB47+'State Appropriations-2Yr'!AB47+'Local Appropriations-2Yr'!AB47+'Fed Contracts Grnts-2Yr'!AB47+'Other Contracts Grnts-2Yr'!AB47+'Investment Income-2Yr'!AB47+'All Other E&amp;G-2Yr'!AB47</f>
        <v>380343.81799999997</v>
      </c>
      <c r="AC47" s="83">
        <f>+'Tuition-2Yr'!AC47+'State Appropriations-2Yr'!AC47+'Local Appropriations-2Yr'!AC47+'Fed Contracts Grnts-2Yr'!AC47+'Other Contracts Grnts-2Yr'!AC47+'Investment Income-2Yr'!AC47+'All Other E&amp;G-2Yr'!AC47</f>
        <v>410738</v>
      </c>
      <c r="AD47" s="83">
        <f>+'Tuition-2Yr'!AD47+'State Appropriations-2Yr'!AD47+'Local Appropriations-2Yr'!AD47+'Fed Contracts Grnts-2Yr'!AD47+'Other Contracts Grnts-2Yr'!AD47+'Investment Income-2Yr'!AD47+'All Other E&amp;G-2Yr'!AD47</f>
        <v>419754.46</v>
      </c>
      <c r="AE47" s="83">
        <f>+'Tuition-2Yr'!AE47+'State Appropriations-2Yr'!AE47+'Local Appropriations-2Yr'!AE47+'Fed Contracts Grnts-2Yr'!AE47+'Other Contracts Grnts-2Yr'!AE47+'Investment Income-2Yr'!AE47+'All Other E&amp;G-2Yr'!AE47</f>
        <v>408806.35399999999</v>
      </c>
      <c r="AF47" s="83">
        <f>+'Tuition-2Yr'!AF47+'State Appropriations-2Yr'!AF47+'Local Appropriations-2Yr'!AF47+'Fed Contracts Grnts-2Yr'!AF47+'Other Contracts Grnts-2Yr'!AF47+'Investment Income-2Yr'!AF47+'All Other E&amp;G-2Yr'!AF47</f>
        <v>340669.12800000003</v>
      </c>
      <c r="AG47" s="83">
        <f>+'Tuition-2Yr'!AG47+'State Appropriations-2Yr'!AG47+'Local Appropriations-2Yr'!AG47+'Fed Contracts Grnts-2Yr'!AG47+'Other Contracts Grnts-2Yr'!AG47+'Investment Income-2Yr'!AG47+'All Other E&amp;G-2Yr'!AG47</f>
        <v>354963.24</v>
      </c>
      <c r="AH47" s="83">
        <f>+'Tuition-2Yr'!AH47+'State Appropriations-2Yr'!AH47+'Local Appropriations-2Yr'!AH47+'Fed Contracts Grnts-2Yr'!AH47+'Other Contracts Grnts-2Yr'!AH47+'Investment Income-2Yr'!AH47+'All Other E&amp;G-2Yr'!AH47</f>
        <v>427572.94000000006</v>
      </c>
      <c r="AI47" s="83">
        <f>+'Tuition-2Yr'!AI47+'State Appropriations-2Yr'!AI47+'Local Appropriations-2Yr'!AI47+'Fed Contracts Grnts-2Yr'!AI47+'Other Contracts Grnts-2Yr'!AI47+'Investment Income-2Yr'!AI47+'All Other E&amp;G-2Yr'!AI47</f>
        <v>431866.44299999997</v>
      </c>
      <c r="AJ47" s="83">
        <f>+'Tuition-2Yr'!AJ47+'State Appropriations-2Yr'!AJ47+'Local Appropriations-2Yr'!AJ47+'Fed Contracts Grnts-2Yr'!AJ47+'Other Contracts Grnts-2Yr'!AJ47+'Investment Income-2Yr'!AJ47+'All Other E&amp;G-2Yr'!AJ47</f>
        <v>0</v>
      </c>
      <c r="AK47" s="83">
        <f>+'Tuition-2Yr'!AK47+'State Appropriations-2Yr'!AK47+'Local Appropriations-2Yr'!AK47+'Fed Contracts Grnts-2Yr'!AK47+'Other Contracts Grnts-2Yr'!AK47+'Investment Income-2Yr'!AK47+'All Other E&amp;G-2Yr'!AK47</f>
        <v>481103.38299999997</v>
      </c>
      <c r="AL47" s="83">
        <f>+'Tuition-2Yr'!AL47+'State Appropriations-2Yr'!AL47+'Local Appropriations-2Yr'!AL47+'Fed Contracts Grnts-2Yr'!AL47+'Other Contracts Grnts-2Yr'!AL47+'Investment Income-2Yr'!AL47+'All Other E&amp;G-2Yr'!AL47</f>
        <v>425287.26999999996</v>
      </c>
    </row>
    <row r="48" spans="1:38" ht="12.75" customHeight="1">
      <c r="A48" s="1" t="s">
        <v>61</v>
      </c>
      <c r="B48" s="83">
        <f>+'Tuition-2Yr'!B48+'State Appropriations-2Yr'!B48+'Local Appropriations-2Yr'!B48+'Fed Contracts Grnts-2Yr'!B48+'Other Contracts Grnts-2Yr'!B48+'Investment Income-2Yr'!B48+'All Other E&amp;G-2Yr'!B48</f>
        <v>0</v>
      </c>
      <c r="C48" s="83">
        <f>+'Tuition-2Yr'!C48+'State Appropriations-2Yr'!C48+'Local Appropriations-2Yr'!C48+'Fed Contracts Grnts-2Yr'!C48+'Other Contracts Grnts-2Yr'!C48+'Investment Income-2Yr'!C48+'All Other E&amp;G-2Yr'!C48</f>
        <v>0</v>
      </c>
      <c r="D48" s="83">
        <f>+'Tuition-2Yr'!D48+'State Appropriations-2Yr'!D48+'Local Appropriations-2Yr'!D48+'Fed Contracts Grnts-2Yr'!D48+'Other Contracts Grnts-2Yr'!D48+'Investment Income-2Yr'!D48+'All Other E&amp;G-2Yr'!D48</f>
        <v>0</v>
      </c>
      <c r="E48" s="83">
        <f>+'Tuition-2Yr'!E48+'State Appropriations-2Yr'!E48+'Local Appropriations-2Yr'!E48+'Fed Contracts Grnts-2Yr'!E48+'Other Contracts Grnts-2Yr'!E48+'Investment Income-2Yr'!E48+'All Other E&amp;G-2Yr'!E48</f>
        <v>0</v>
      </c>
      <c r="F48" s="83">
        <f>+'Tuition-2Yr'!F48+'State Appropriations-2Yr'!F48+'Local Appropriations-2Yr'!F48+'Fed Contracts Grnts-2Yr'!F48+'Other Contracts Grnts-2Yr'!F48+'Investment Income-2Yr'!F48+'All Other E&amp;G-2Yr'!F48</f>
        <v>0</v>
      </c>
      <c r="G48" s="83">
        <f>+'Tuition-2Yr'!G48+'State Appropriations-2Yr'!G48+'Local Appropriations-2Yr'!G48+'Fed Contracts Grnts-2Yr'!G48+'Other Contracts Grnts-2Yr'!G48+'Investment Income-2Yr'!G48+'All Other E&amp;G-2Yr'!G48</f>
        <v>0</v>
      </c>
      <c r="H48" s="83">
        <f>+'Tuition-2Yr'!H48+'State Appropriations-2Yr'!H48+'Local Appropriations-2Yr'!H48+'Fed Contracts Grnts-2Yr'!H48+'Other Contracts Grnts-2Yr'!H48+'Investment Income-2Yr'!H48+'All Other E&amp;G-2Yr'!H48</f>
        <v>0</v>
      </c>
      <c r="I48" s="83">
        <f>+'Tuition-2Yr'!I48+'State Appropriations-2Yr'!I48+'Local Appropriations-2Yr'!I48+'Fed Contracts Grnts-2Yr'!I48+'Other Contracts Grnts-2Yr'!I48+'Investment Income-2Yr'!I48+'All Other E&amp;G-2Yr'!I48</f>
        <v>0</v>
      </c>
      <c r="J48" s="83">
        <f>+'Tuition-2Yr'!J48+'State Appropriations-2Yr'!J48+'Local Appropriations-2Yr'!J48+'Fed Contracts Grnts-2Yr'!J48+'Other Contracts Grnts-2Yr'!J48+'Investment Income-2Yr'!J48+'All Other E&amp;G-2Yr'!J48</f>
        <v>49327.462</v>
      </c>
      <c r="K48" s="83">
        <f>+'Tuition-2Yr'!K48+'State Appropriations-2Yr'!K48+'Local Appropriations-2Yr'!K48+'Fed Contracts Grnts-2Yr'!K48+'Other Contracts Grnts-2Yr'!K48+'Investment Income-2Yr'!K48+'All Other E&amp;G-2Yr'!K48</f>
        <v>0</v>
      </c>
      <c r="L48" s="83">
        <f>+'Tuition-2Yr'!L48+'State Appropriations-2Yr'!L48+'Local Appropriations-2Yr'!L48+'Fed Contracts Grnts-2Yr'!L48+'Other Contracts Grnts-2Yr'!L48+'Investment Income-2Yr'!L48+'All Other E&amp;G-2Yr'!L48</f>
        <v>0</v>
      </c>
      <c r="M48" s="83">
        <f>+'Tuition-2Yr'!M48+'State Appropriations-2Yr'!M48+'Local Appropriations-2Yr'!M48+'Fed Contracts Grnts-2Yr'!M48+'Other Contracts Grnts-2Yr'!M48+'Investment Income-2Yr'!M48+'All Other E&amp;G-2Yr'!M48</f>
        <v>51217.106999999989</v>
      </c>
      <c r="N48" s="83">
        <f>+'Tuition-2Yr'!N48+'State Appropriations-2Yr'!N48+'Local Appropriations-2Yr'!N48+'Fed Contracts Grnts-2Yr'!N48+'Other Contracts Grnts-2Yr'!N48+'Investment Income-2Yr'!N48+'All Other E&amp;G-2Yr'!N48</f>
        <v>0</v>
      </c>
      <c r="O48" s="83">
        <f>+'Tuition-2Yr'!O48+'State Appropriations-2Yr'!O48+'Local Appropriations-2Yr'!O48+'Fed Contracts Grnts-2Yr'!O48+'Other Contracts Grnts-2Yr'!O48+'Investment Income-2Yr'!O48+'All Other E&amp;G-2Yr'!O48</f>
        <v>58961.737649999995</v>
      </c>
      <c r="P48" s="83">
        <f>+'Tuition-2Yr'!P48+'State Appropriations-2Yr'!P48+'Local Appropriations-2Yr'!P48+'Fed Contracts Grnts-2Yr'!P48+'Other Contracts Grnts-2Yr'!P48+'Investment Income-2Yr'!P48+'All Other E&amp;G-2Yr'!P48</f>
        <v>0</v>
      </c>
      <c r="Q48" s="83">
        <f>+'Tuition-2Yr'!Q48+'State Appropriations-2Yr'!Q48+'Local Appropriations-2Yr'!Q48+'Fed Contracts Grnts-2Yr'!Q48+'Other Contracts Grnts-2Yr'!Q48+'Investment Income-2Yr'!Q48+'All Other E&amp;G-2Yr'!Q48</f>
        <v>0</v>
      </c>
      <c r="R48" s="83">
        <f>+'Tuition-2Yr'!R48+'State Appropriations-2Yr'!R48+'Local Appropriations-2Yr'!R48+'Fed Contracts Grnts-2Yr'!R48+'Other Contracts Grnts-2Yr'!R48+'Investment Income-2Yr'!R48+'All Other E&amp;G-2Yr'!R48</f>
        <v>79759.768000000011</v>
      </c>
      <c r="S48" s="83">
        <f>+'Tuition-2Yr'!S48+'State Appropriations-2Yr'!S48+'Local Appropriations-2Yr'!S48+'Fed Contracts Grnts-2Yr'!S48+'Other Contracts Grnts-2Yr'!S48+'Investment Income-2Yr'!S48+'All Other E&amp;G-2Yr'!S48</f>
        <v>81930.537000000011</v>
      </c>
      <c r="T48" s="83">
        <f>+'Tuition-2Yr'!T48+'State Appropriations-2Yr'!T48+'Local Appropriations-2Yr'!T48+'Fed Contracts Grnts-2Yr'!T48+'Other Contracts Grnts-2Yr'!T48+'Investment Income-2Yr'!T48+'All Other E&amp;G-2Yr'!T48</f>
        <v>75330.561999999991</v>
      </c>
      <c r="U48" s="83">
        <f>+'Tuition-2Yr'!U48+'State Appropriations-2Yr'!U48+'Local Appropriations-2Yr'!U48+'Fed Contracts Grnts-2Yr'!U48+'Other Contracts Grnts-2Yr'!U48+'Investment Income-2Yr'!U48+'All Other E&amp;G-2Yr'!U48</f>
        <v>72445.991000000009</v>
      </c>
      <c r="V48" s="83">
        <f>+'Tuition-2Yr'!V48+'State Appropriations-2Yr'!V48+'Local Appropriations-2Yr'!V48+'Fed Contracts Grnts-2Yr'!V48+'Other Contracts Grnts-2Yr'!V48+'Investment Income-2Yr'!V48+'All Other E&amp;G-2Yr'!V48</f>
        <v>67191.275999999998</v>
      </c>
      <c r="W48" s="83">
        <f>+'Tuition-2Yr'!W48+'State Appropriations-2Yr'!W48+'Local Appropriations-2Yr'!W48+'Fed Contracts Grnts-2Yr'!W48+'Other Contracts Grnts-2Yr'!W48+'Investment Income-2Yr'!W48+'All Other E&amp;G-2Yr'!W48</f>
        <v>86527.822</v>
      </c>
      <c r="X48" s="83">
        <f>+'Tuition-2Yr'!X48+'State Appropriations-2Yr'!X48+'Local Appropriations-2Yr'!X48+'Fed Contracts Grnts-2Yr'!X48+'Other Contracts Grnts-2Yr'!X48+'Investment Income-2Yr'!X48+'All Other E&amp;G-2Yr'!X48</f>
        <v>82595.781000000003</v>
      </c>
      <c r="Y48" s="83">
        <f>+'Tuition-2Yr'!Y48+'State Appropriations-2Yr'!Y48+'Local Appropriations-2Yr'!Y48+'Fed Contracts Grnts-2Yr'!Y48+'Other Contracts Grnts-2Yr'!Y48+'Investment Income-2Yr'!Y48+'All Other E&amp;G-2Yr'!Y48</f>
        <v>85904.838000000003</v>
      </c>
      <c r="Z48" s="83">
        <f>+'Tuition-2Yr'!Z48+'State Appropriations-2Yr'!Z48+'Local Appropriations-2Yr'!Z48+'Fed Contracts Grnts-2Yr'!Z48+'Other Contracts Grnts-2Yr'!Z48+'Investment Income-2Yr'!Z48+'All Other E&amp;G-2Yr'!Z48</f>
        <v>66076.07699999999</v>
      </c>
      <c r="AA48" s="83">
        <f>+'Tuition-2Yr'!AA48+'State Appropriations-2Yr'!AA48+'Local Appropriations-2Yr'!AA48+'Fed Contracts Grnts-2Yr'!AA48+'Other Contracts Grnts-2Yr'!AA48+'Investment Income-2Yr'!AA48+'All Other E&amp;G-2Yr'!AA48</f>
        <v>118586.908</v>
      </c>
      <c r="AB48" s="83">
        <f>+'Tuition-2Yr'!AB48+'State Appropriations-2Yr'!AB48+'Local Appropriations-2Yr'!AB48+'Fed Contracts Grnts-2Yr'!AB48+'Other Contracts Grnts-2Yr'!AB48+'Investment Income-2Yr'!AB48+'All Other E&amp;G-2Yr'!AB48</f>
        <v>144031.13699999999</v>
      </c>
      <c r="AC48" s="83">
        <f>+'Tuition-2Yr'!AC48+'State Appropriations-2Yr'!AC48+'Local Appropriations-2Yr'!AC48+'Fed Contracts Grnts-2Yr'!AC48+'Other Contracts Grnts-2Yr'!AC48+'Investment Income-2Yr'!AC48+'All Other E&amp;G-2Yr'!AC48</f>
        <v>148375</v>
      </c>
      <c r="AD48" s="83">
        <f>+'Tuition-2Yr'!AD48+'State Appropriations-2Yr'!AD48+'Local Appropriations-2Yr'!AD48+'Fed Contracts Grnts-2Yr'!AD48+'Other Contracts Grnts-2Yr'!AD48+'Investment Income-2Yr'!AD48+'All Other E&amp;G-2Yr'!AD48</f>
        <v>154522.78699999998</v>
      </c>
      <c r="AE48" s="83">
        <f>+'Tuition-2Yr'!AE48+'State Appropriations-2Yr'!AE48+'Local Appropriations-2Yr'!AE48+'Fed Contracts Grnts-2Yr'!AE48+'Other Contracts Grnts-2Yr'!AE48+'Investment Income-2Yr'!AE48+'All Other E&amp;G-2Yr'!AE48</f>
        <v>147821.81100000002</v>
      </c>
      <c r="AF48" s="83">
        <f>+'Tuition-2Yr'!AF48+'State Appropriations-2Yr'!AF48+'Local Appropriations-2Yr'!AF48+'Fed Contracts Grnts-2Yr'!AF48+'Other Contracts Grnts-2Yr'!AF48+'Investment Income-2Yr'!AF48+'All Other E&amp;G-2Yr'!AF48</f>
        <v>164417.95699999999</v>
      </c>
      <c r="AG48" s="83">
        <f>+'Tuition-2Yr'!AG48+'State Appropriations-2Yr'!AG48+'Local Appropriations-2Yr'!AG48+'Fed Contracts Grnts-2Yr'!AG48+'Other Contracts Grnts-2Yr'!AG48+'Investment Income-2Yr'!AG48+'All Other E&amp;G-2Yr'!AG48</f>
        <v>174864.99000000002</v>
      </c>
      <c r="AH48" s="83">
        <f>+'Tuition-2Yr'!AH48+'State Appropriations-2Yr'!AH48+'Local Appropriations-2Yr'!AH48+'Fed Contracts Grnts-2Yr'!AH48+'Other Contracts Grnts-2Yr'!AH48+'Investment Income-2Yr'!AH48+'All Other E&amp;G-2Yr'!AH48</f>
        <v>173292.43599999996</v>
      </c>
      <c r="AI48" s="83">
        <f>+'Tuition-2Yr'!AI48+'State Appropriations-2Yr'!AI48+'Local Appropriations-2Yr'!AI48+'Fed Contracts Grnts-2Yr'!AI48+'Other Contracts Grnts-2Yr'!AI48+'Investment Income-2Yr'!AI48+'All Other E&amp;G-2Yr'!AI48</f>
        <v>167709.65899999999</v>
      </c>
      <c r="AJ48" s="83">
        <f>+'Tuition-2Yr'!AJ48+'State Appropriations-2Yr'!AJ48+'Local Appropriations-2Yr'!AJ48+'Fed Contracts Grnts-2Yr'!AJ48+'Other Contracts Grnts-2Yr'!AJ48+'Investment Income-2Yr'!AJ48+'All Other E&amp;G-2Yr'!AJ48</f>
        <v>0</v>
      </c>
      <c r="AK48" s="83">
        <f>+'Tuition-2Yr'!AK48+'State Appropriations-2Yr'!AK48+'Local Appropriations-2Yr'!AK48+'Fed Contracts Grnts-2Yr'!AK48+'Other Contracts Grnts-2Yr'!AK48+'Investment Income-2Yr'!AK48+'All Other E&amp;G-2Yr'!AK48</f>
        <v>161378.35800000001</v>
      </c>
      <c r="AL48" s="83">
        <f>+'Tuition-2Yr'!AL48+'State Appropriations-2Yr'!AL48+'Local Appropriations-2Yr'!AL48+'Fed Contracts Grnts-2Yr'!AL48+'Other Contracts Grnts-2Yr'!AL48+'Investment Income-2Yr'!AL48+'All Other E&amp;G-2Yr'!AL48</f>
        <v>145417.44</v>
      </c>
    </row>
    <row r="49" spans="1:38" ht="12.75" customHeight="1">
      <c r="A49" s="1" t="s">
        <v>62</v>
      </c>
      <c r="B49" s="83">
        <f>+'Tuition-2Yr'!B49+'State Appropriations-2Yr'!B49+'Local Appropriations-2Yr'!B49+'Fed Contracts Grnts-2Yr'!B49+'Other Contracts Grnts-2Yr'!B49+'Investment Income-2Yr'!B49+'All Other E&amp;G-2Yr'!B49</f>
        <v>0</v>
      </c>
      <c r="C49" s="83">
        <f>+'Tuition-2Yr'!C49+'State Appropriations-2Yr'!C49+'Local Appropriations-2Yr'!C49+'Fed Contracts Grnts-2Yr'!C49+'Other Contracts Grnts-2Yr'!C49+'Investment Income-2Yr'!C49+'All Other E&amp;G-2Yr'!C49</f>
        <v>0</v>
      </c>
      <c r="D49" s="83">
        <f>+'Tuition-2Yr'!D49+'State Appropriations-2Yr'!D49+'Local Appropriations-2Yr'!D49+'Fed Contracts Grnts-2Yr'!D49+'Other Contracts Grnts-2Yr'!D49+'Investment Income-2Yr'!D49+'All Other E&amp;G-2Yr'!D49</f>
        <v>0</v>
      </c>
      <c r="E49" s="83">
        <f>+'Tuition-2Yr'!E49+'State Appropriations-2Yr'!E49+'Local Appropriations-2Yr'!E49+'Fed Contracts Grnts-2Yr'!E49+'Other Contracts Grnts-2Yr'!E49+'Investment Income-2Yr'!E49+'All Other E&amp;G-2Yr'!E49</f>
        <v>0</v>
      </c>
      <c r="F49" s="83">
        <f>+'Tuition-2Yr'!F49+'State Appropriations-2Yr'!F49+'Local Appropriations-2Yr'!F49+'Fed Contracts Grnts-2Yr'!F49+'Other Contracts Grnts-2Yr'!F49+'Investment Income-2Yr'!F49+'All Other E&amp;G-2Yr'!F49</f>
        <v>0</v>
      </c>
      <c r="G49" s="83">
        <f>+'Tuition-2Yr'!G49+'State Appropriations-2Yr'!G49+'Local Appropriations-2Yr'!G49+'Fed Contracts Grnts-2Yr'!G49+'Other Contracts Grnts-2Yr'!G49+'Investment Income-2Yr'!G49+'All Other E&amp;G-2Yr'!G49</f>
        <v>0</v>
      </c>
      <c r="H49" s="83">
        <f>+'Tuition-2Yr'!H49+'State Appropriations-2Yr'!H49+'Local Appropriations-2Yr'!H49+'Fed Contracts Grnts-2Yr'!H49+'Other Contracts Grnts-2Yr'!H49+'Investment Income-2Yr'!H49+'All Other E&amp;G-2Yr'!H49</f>
        <v>0</v>
      </c>
      <c r="I49" s="83">
        <f>+'Tuition-2Yr'!I49+'State Appropriations-2Yr'!I49+'Local Appropriations-2Yr'!I49+'Fed Contracts Grnts-2Yr'!I49+'Other Contracts Grnts-2Yr'!I49+'Investment Income-2Yr'!I49+'All Other E&amp;G-2Yr'!I49</f>
        <v>0</v>
      </c>
      <c r="J49" s="83">
        <f>+'Tuition-2Yr'!J49+'State Appropriations-2Yr'!J49+'Local Appropriations-2Yr'!J49+'Fed Contracts Grnts-2Yr'!J49+'Other Contracts Grnts-2Yr'!J49+'Investment Income-2Yr'!J49+'All Other E&amp;G-2Yr'!J49</f>
        <v>569298.18599999999</v>
      </c>
      <c r="K49" s="83">
        <f>+'Tuition-2Yr'!K49+'State Appropriations-2Yr'!K49+'Local Appropriations-2Yr'!K49+'Fed Contracts Grnts-2Yr'!K49+'Other Contracts Grnts-2Yr'!K49+'Investment Income-2Yr'!K49+'All Other E&amp;G-2Yr'!K49</f>
        <v>0</v>
      </c>
      <c r="L49" s="83">
        <f>+'Tuition-2Yr'!L49+'State Appropriations-2Yr'!L49+'Local Appropriations-2Yr'!L49+'Fed Contracts Grnts-2Yr'!L49+'Other Contracts Grnts-2Yr'!L49+'Investment Income-2Yr'!L49+'All Other E&amp;G-2Yr'!L49</f>
        <v>0</v>
      </c>
      <c r="M49" s="83">
        <f>+'Tuition-2Yr'!M49+'State Appropriations-2Yr'!M49+'Local Appropriations-2Yr'!M49+'Fed Contracts Grnts-2Yr'!M49+'Other Contracts Grnts-2Yr'!M49+'Investment Income-2Yr'!M49+'All Other E&amp;G-2Yr'!M49</f>
        <v>669873.37900000007</v>
      </c>
      <c r="N49" s="83">
        <f>+'Tuition-2Yr'!N49+'State Appropriations-2Yr'!N49+'Local Appropriations-2Yr'!N49+'Fed Contracts Grnts-2Yr'!N49+'Other Contracts Grnts-2Yr'!N49+'Investment Income-2Yr'!N49+'All Other E&amp;G-2Yr'!N49</f>
        <v>0</v>
      </c>
      <c r="O49" s="83">
        <f>+'Tuition-2Yr'!O49+'State Appropriations-2Yr'!O49+'Local Appropriations-2Yr'!O49+'Fed Contracts Grnts-2Yr'!O49+'Other Contracts Grnts-2Yr'!O49+'Investment Income-2Yr'!O49+'All Other E&amp;G-2Yr'!O49</f>
        <v>724660.79</v>
      </c>
      <c r="P49" s="83">
        <f>+'Tuition-2Yr'!P49+'State Appropriations-2Yr'!P49+'Local Appropriations-2Yr'!P49+'Fed Contracts Grnts-2Yr'!P49+'Other Contracts Grnts-2Yr'!P49+'Investment Income-2Yr'!P49+'All Other E&amp;G-2Yr'!P49</f>
        <v>0</v>
      </c>
      <c r="Q49" s="83">
        <f>+'Tuition-2Yr'!Q49+'State Appropriations-2Yr'!Q49+'Local Appropriations-2Yr'!Q49+'Fed Contracts Grnts-2Yr'!Q49+'Other Contracts Grnts-2Yr'!Q49+'Investment Income-2Yr'!Q49+'All Other E&amp;G-2Yr'!Q49</f>
        <v>0</v>
      </c>
      <c r="R49" s="83">
        <f>+'Tuition-2Yr'!R49+'State Appropriations-2Yr'!R49+'Local Appropriations-2Yr'!R49+'Fed Contracts Grnts-2Yr'!R49+'Other Contracts Grnts-2Yr'!R49+'Investment Income-2Yr'!R49+'All Other E&amp;G-2Yr'!R49</f>
        <v>917022.62599999981</v>
      </c>
      <c r="S49" s="83">
        <f>+'Tuition-2Yr'!S49+'State Appropriations-2Yr'!S49+'Local Appropriations-2Yr'!S49+'Fed Contracts Grnts-2Yr'!S49+'Other Contracts Grnts-2Yr'!S49+'Investment Income-2Yr'!S49+'All Other E&amp;G-2Yr'!S49</f>
        <v>989939.13099999994</v>
      </c>
      <c r="T49" s="83">
        <f>+'Tuition-2Yr'!T49+'State Appropriations-2Yr'!T49+'Local Appropriations-2Yr'!T49+'Fed Contracts Grnts-2Yr'!T49+'Other Contracts Grnts-2Yr'!T49+'Investment Income-2Yr'!T49+'All Other E&amp;G-2Yr'!T49</f>
        <v>946418.66199999989</v>
      </c>
      <c r="U49" s="83">
        <f>+'Tuition-2Yr'!U49+'State Appropriations-2Yr'!U49+'Local Appropriations-2Yr'!U49+'Fed Contracts Grnts-2Yr'!U49+'Other Contracts Grnts-2Yr'!U49+'Investment Income-2Yr'!U49+'All Other E&amp;G-2Yr'!U49</f>
        <v>990114.08200000017</v>
      </c>
      <c r="V49" s="83">
        <f>+'Tuition-2Yr'!V49+'State Appropriations-2Yr'!V49+'Local Appropriations-2Yr'!V49+'Fed Contracts Grnts-2Yr'!V49+'Other Contracts Grnts-2Yr'!V49+'Investment Income-2Yr'!V49+'All Other E&amp;G-2Yr'!V49</f>
        <v>1022225.706</v>
      </c>
      <c r="W49" s="83">
        <f>+'Tuition-2Yr'!W49+'State Appropriations-2Yr'!W49+'Local Appropriations-2Yr'!W49+'Fed Contracts Grnts-2Yr'!W49+'Other Contracts Grnts-2Yr'!W49+'Investment Income-2Yr'!W49+'All Other E&amp;G-2Yr'!W49</f>
        <v>1199351.7549999999</v>
      </c>
      <c r="X49" s="83">
        <f>+'Tuition-2Yr'!X49+'State Appropriations-2Yr'!X49+'Local Appropriations-2Yr'!X49+'Fed Contracts Grnts-2Yr'!X49+'Other Contracts Grnts-2Yr'!X49+'Investment Income-2Yr'!X49+'All Other E&amp;G-2Yr'!X49</f>
        <v>1159749.6840000001</v>
      </c>
      <c r="Y49" s="83">
        <f>+'Tuition-2Yr'!Y49+'State Appropriations-2Yr'!Y49+'Local Appropriations-2Yr'!Y49+'Fed Contracts Grnts-2Yr'!Y49+'Other Contracts Grnts-2Yr'!Y49+'Investment Income-2Yr'!Y49+'All Other E&amp;G-2Yr'!Y49</f>
        <v>1200543.5800000003</v>
      </c>
      <c r="Z49" s="83">
        <f>+'Tuition-2Yr'!Z49+'State Appropriations-2Yr'!Z49+'Local Appropriations-2Yr'!Z49+'Fed Contracts Grnts-2Yr'!Z49+'Other Contracts Grnts-2Yr'!Z49+'Investment Income-2Yr'!Z49+'All Other E&amp;G-2Yr'!Z49</f>
        <v>1267457.0829999999</v>
      </c>
      <c r="AA49" s="83">
        <f>+'Tuition-2Yr'!AA49+'State Appropriations-2Yr'!AA49+'Local Appropriations-2Yr'!AA49+'Fed Contracts Grnts-2Yr'!AA49+'Other Contracts Grnts-2Yr'!AA49+'Investment Income-2Yr'!AA49+'All Other E&amp;G-2Yr'!AA49</f>
        <v>1777704.1700000002</v>
      </c>
      <c r="AB49" s="83">
        <f>+'Tuition-2Yr'!AB49+'State Appropriations-2Yr'!AB49+'Local Appropriations-2Yr'!AB49+'Fed Contracts Grnts-2Yr'!AB49+'Other Contracts Grnts-2Yr'!AB49+'Investment Income-2Yr'!AB49+'All Other E&amp;G-2Yr'!AB49</f>
        <v>1937166.47</v>
      </c>
      <c r="AC49" s="83">
        <f>+'Tuition-2Yr'!AC49+'State Appropriations-2Yr'!AC49+'Local Appropriations-2Yr'!AC49+'Fed Contracts Grnts-2Yr'!AC49+'Other Contracts Grnts-2Yr'!AC49+'Investment Income-2Yr'!AC49+'All Other E&amp;G-2Yr'!AC49</f>
        <v>2086499</v>
      </c>
      <c r="AD49" s="83">
        <f>+'Tuition-2Yr'!AD49+'State Appropriations-2Yr'!AD49+'Local Appropriations-2Yr'!AD49+'Fed Contracts Grnts-2Yr'!AD49+'Other Contracts Grnts-2Yr'!AD49+'Investment Income-2Yr'!AD49+'All Other E&amp;G-2Yr'!AD49</f>
        <v>1986727.8089999999</v>
      </c>
      <c r="AE49" s="83">
        <f>+'Tuition-2Yr'!AE49+'State Appropriations-2Yr'!AE49+'Local Appropriations-2Yr'!AE49+'Fed Contracts Grnts-2Yr'!AE49+'Other Contracts Grnts-2Yr'!AE49+'Investment Income-2Yr'!AE49+'All Other E&amp;G-2Yr'!AE49</f>
        <v>1999762.7040000001</v>
      </c>
      <c r="AF49" s="83">
        <f>+'Tuition-2Yr'!AF49+'State Appropriations-2Yr'!AF49+'Local Appropriations-2Yr'!AF49+'Fed Contracts Grnts-2Yr'!AF49+'Other Contracts Grnts-2Yr'!AF49+'Investment Income-2Yr'!AF49+'All Other E&amp;G-2Yr'!AF49</f>
        <v>1809015.5570000003</v>
      </c>
      <c r="AG49" s="83">
        <f>+'Tuition-2Yr'!AG49+'State Appropriations-2Yr'!AG49+'Local Appropriations-2Yr'!AG49+'Fed Contracts Grnts-2Yr'!AG49+'Other Contracts Grnts-2Yr'!AG49+'Investment Income-2Yr'!AG49+'All Other E&amp;G-2Yr'!AG49</f>
        <v>1769645.2110000001</v>
      </c>
      <c r="AH49" s="83">
        <f>+'Tuition-2Yr'!AH49+'State Appropriations-2Yr'!AH49+'Local Appropriations-2Yr'!AH49+'Fed Contracts Grnts-2Yr'!AH49+'Other Contracts Grnts-2Yr'!AH49+'Investment Income-2Yr'!AH49+'All Other E&amp;G-2Yr'!AH49</f>
        <v>1837261.8779999998</v>
      </c>
      <c r="AI49" s="83">
        <f>+'Tuition-2Yr'!AI49+'State Appropriations-2Yr'!AI49+'Local Appropriations-2Yr'!AI49+'Fed Contracts Grnts-2Yr'!AI49+'Other Contracts Grnts-2Yr'!AI49+'Investment Income-2Yr'!AI49+'All Other E&amp;G-2Yr'!AI49</f>
        <v>1827953.368</v>
      </c>
      <c r="AJ49" s="83">
        <f>+'Tuition-2Yr'!AJ49+'State Appropriations-2Yr'!AJ49+'Local Appropriations-2Yr'!AJ49+'Fed Contracts Grnts-2Yr'!AJ49+'Other Contracts Grnts-2Yr'!AJ49+'Investment Income-2Yr'!AJ49+'All Other E&amp;G-2Yr'!AJ49</f>
        <v>0</v>
      </c>
      <c r="AK49" s="83">
        <f>+'Tuition-2Yr'!AK49+'State Appropriations-2Yr'!AK49+'Local Appropriations-2Yr'!AK49+'Fed Contracts Grnts-2Yr'!AK49+'Other Contracts Grnts-2Yr'!AK49+'Investment Income-2Yr'!AK49+'All Other E&amp;G-2Yr'!AK49</f>
        <v>2015506.1029999999</v>
      </c>
      <c r="AL49" s="83">
        <f>+'Tuition-2Yr'!AL49+'State Appropriations-2Yr'!AL49+'Local Appropriations-2Yr'!AL49+'Fed Contracts Grnts-2Yr'!AL49+'Other Contracts Grnts-2Yr'!AL49+'Investment Income-2Yr'!AL49+'All Other E&amp;G-2Yr'!AL49</f>
        <v>1783941.6839999999</v>
      </c>
    </row>
    <row r="50" spans="1:38" ht="12.75" customHeight="1">
      <c r="A50" s="1" t="s">
        <v>63</v>
      </c>
      <c r="B50" s="83">
        <f>+'Tuition-2Yr'!B50+'State Appropriations-2Yr'!B50+'Local Appropriations-2Yr'!B50+'Fed Contracts Grnts-2Yr'!B50+'Other Contracts Grnts-2Yr'!B50+'Investment Income-2Yr'!B50+'All Other E&amp;G-2Yr'!B50</f>
        <v>0</v>
      </c>
      <c r="C50" s="83">
        <f>+'Tuition-2Yr'!C50+'State Appropriations-2Yr'!C50+'Local Appropriations-2Yr'!C50+'Fed Contracts Grnts-2Yr'!C50+'Other Contracts Grnts-2Yr'!C50+'Investment Income-2Yr'!C50+'All Other E&amp;G-2Yr'!C50</f>
        <v>0</v>
      </c>
      <c r="D50" s="83">
        <f>+'Tuition-2Yr'!D50+'State Appropriations-2Yr'!D50+'Local Appropriations-2Yr'!D50+'Fed Contracts Grnts-2Yr'!D50+'Other Contracts Grnts-2Yr'!D50+'Investment Income-2Yr'!D50+'All Other E&amp;G-2Yr'!D50</f>
        <v>0</v>
      </c>
      <c r="E50" s="83">
        <f>+'Tuition-2Yr'!E50+'State Appropriations-2Yr'!E50+'Local Appropriations-2Yr'!E50+'Fed Contracts Grnts-2Yr'!E50+'Other Contracts Grnts-2Yr'!E50+'Investment Income-2Yr'!E50+'All Other E&amp;G-2Yr'!E50</f>
        <v>0</v>
      </c>
      <c r="F50" s="83">
        <f>+'Tuition-2Yr'!F50+'State Appropriations-2Yr'!F50+'Local Appropriations-2Yr'!F50+'Fed Contracts Grnts-2Yr'!F50+'Other Contracts Grnts-2Yr'!F50+'Investment Income-2Yr'!F50+'All Other E&amp;G-2Yr'!F50</f>
        <v>0</v>
      </c>
      <c r="G50" s="83">
        <f>+'Tuition-2Yr'!G50+'State Appropriations-2Yr'!G50+'Local Appropriations-2Yr'!G50+'Fed Contracts Grnts-2Yr'!G50+'Other Contracts Grnts-2Yr'!G50+'Investment Income-2Yr'!G50+'All Other E&amp;G-2Yr'!G50</f>
        <v>0</v>
      </c>
      <c r="H50" s="83">
        <f>+'Tuition-2Yr'!H50+'State Appropriations-2Yr'!H50+'Local Appropriations-2Yr'!H50+'Fed Contracts Grnts-2Yr'!H50+'Other Contracts Grnts-2Yr'!H50+'Investment Income-2Yr'!H50+'All Other E&amp;G-2Yr'!H50</f>
        <v>0</v>
      </c>
      <c r="I50" s="83">
        <f>+'Tuition-2Yr'!I50+'State Appropriations-2Yr'!I50+'Local Appropriations-2Yr'!I50+'Fed Contracts Grnts-2Yr'!I50+'Other Contracts Grnts-2Yr'!I50+'Investment Income-2Yr'!I50+'All Other E&amp;G-2Yr'!I50</f>
        <v>0</v>
      </c>
      <c r="J50" s="83">
        <f>+'Tuition-2Yr'!J50+'State Appropriations-2Yr'!J50+'Local Appropriations-2Yr'!J50+'Fed Contracts Grnts-2Yr'!J50+'Other Contracts Grnts-2Yr'!J50+'Investment Income-2Yr'!J50+'All Other E&amp;G-2Yr'!J50</f>
        <v>1405.7430000000002</v>
      </c>
      <c r="K50" s="83">
        <f>+'Tuition-2Yr'!K50+'State Appropriations-2Yr'!K50+'Local Appropriations-2Yr'!K50+'Fed Contracts Grnts-2Yr'!K50+'Other Contracts Grnts-2Yr'!K50+'Investment Income-2Yr'!K50+'All Other E&amp;G-2Yr'!K50</f>
        <v>0</v>
      </c>
      <c r="L50" s="83">
        <f>+'Tuition-2Yr'!L50+'State Appropriations-2Yr'!L50+'Local Appropriations-2Yr'!L50+'Fed Contracts Grnts-2Yr'!L50+'Other Contracts Grnts-2Yr'!L50+'Investment Income-2Yr'!L50+'All Other E&amp;G-2Yr'!L50</f>
        <v>0</v>
      </c>
      <c r="M50" s="83">
        <f>+'Tuition-2Yr'!M50+'State Appropriations-2Yr'!M50+'Local Appropriations-2Yr'!M50+'Fed Contracts Grnts-2Yr'!M50+'Other Contracts Grnts-2Yr'!M50+'Investment Income-2Yr'!M50+'All Other E&amp;G-2Yr'!M50</f>
        <v>1447.6419999999998</v>
      </c>
      <c r="N50" s="83">
        <f>+'Tuition-2Yr'!N50+'State Appropriations-2Yr'!N50+'Local Appropriations-2Yr'!N50+'Fed Contracts Grnts-2Yr'!N50+'Other Contracts Grnts-2Yr'!N50+'Investment Income-2Yr'!N50+'All Other E&amp;G-2Yr'!N50</f>
        <v>0</v>
      </c>
      <c r="O50" s="83">
        <f>+'Tuition-2Yr'!O50+'State Appropriations-2Yr'!O50+'Local Appropriations-2Yr'!O50+'Fed Contracts Grnts-2Yr'!O50+'Other Contracts Grnts-2Yr'!O50+'Investment Income-2Yr'!O50+'All Other E&amp;G-2Yr'!O50</f>
        <v>33224.153630000001</v>
      </c>
      <c r="P50" s="83">
        <f>+'Tuition-2Yr'!P50+'State Appropriations-2Yr'!P50+'Local Appropriations-2Yr'!P50+'Fed Contracts Grnts-2Yr'!P50+'Other Contracts Grnts-2Yr'!P50+'Investment Income-2Yr'!P50+'All Other E&amp;G-2Yr'!P50</f>
        <v>0</v>
      </c>
      <c r="Q50" s="83">
        <f>+'Tuition-2Yr'!Q50+'State Appropriations-2Yr'!Q50+'Local Appropriations-2Yr'!Q50+'Fed Contracts Grnts-2Yr'!Q50+'Other Contracts Grnts-2Yr'!Q50+'Investment Income-2Yr'!Q50+'All Other E&amp;G-2Yr'!Q50</f>
        <v>0</v>
      </c>
      <c r="R50" s="83">
        <f>+'Tuition-2Yr'!R50+'State Appropriations-2Yr'!R50+'Local Appropriations-2Yr'!R50+'Fed Contracts Grnts-2Yr'!R50+'Other Contracts Grnts-2Yr'!R50+'Investment Income-2Yr'!R50+'All Other E&amp;G-2Yr'!R50</f>
        <v>37996.345000000008</v>
      </c>
      <c r="S50" s="83">
        <f>+'Tuition-2Yr'!S50+'State Appropriations-2Yr'!S50+'Local Appropriations-2Yr'!S50+'Fed Contracts Grnts-2Yr'!S50+'Other Contracts Grnts-2Yr'!S50+'Investment Income-2Yr'!S50+'All Other E&amp;G-2Yr'!S50</f>
        <v>38893.712</v>
      </c>
      <c r="T50" s="83">
        <f>+'Tuition-2Yr'!T50+'State Appropriations-2Yr'!T50+'Local Appropriations-2Yr'!T50+'Fed Contracts Grnts-2Yr'!T50+'Other Contracts Grnts-2Yr'!T50+'Investment Income-2Yr'!T50+'All Other E&amp;G-2Yr'!T50</f>
        <v>41950.998000000007</v>
      </c>
      <c r="U50" s="83">
        <f>+'Tuition-2Yr'!U50+'State Appropriations-2Yr'!U50+'Local Appropriations-2Yr'!U50+'Fed Contracts Grnts-2Yr'!U50+'Other Contracts Grnts-2Yr'!U50+'Investment Income-2Yr'!U50+'All Other E&amp;G-2Yr'!U50</f>
        <v>40050.120999999999</v>
      </c>
      <c r="V50" s="83">
        <f>+'Tuition-2Yr'!V50+'State Appropriations-2Yr'!V50+'Local Appropriations-2Yr'!V50+'Fed Contracts Grnts-2Yr'!V50+'Other Contracts Grnts-2Yr'!V50+'Investment Income-2Yr'!V50+'All Other E&amp;G-2Yr'!V50</f>
        <v>44798.805999999997</v>
      </c>
      <c r="W50" s="83">
        <f>+'Tuition-2Yr'!W50+'State Appropriations-2Yr'!W50+'Local Appropriations-2Yr'!W50+'Fed Contracts Grnts-2Yr'!W50+'Other Contracts Grnts-2Yr'!W50+'Investment Income-2Yr'!W50+'All Other E&amp;G-2Yr'!W50</f>
        <v>46350.69400000001</v>
      </c>
      <c r="X50" s="83">
        <f>+'Tuition-2Yr'!X50+'State Appropriations-2Yr'!X50+'Local Appropriations-2Yr'!X50+'Fed Contracts Grnts-2Yr'!X50+'Other Contracts Grnts-2Yr'!X50+'Investment Income-2Yr'!X50+'All Other E&amp;G-2Yr'!X50</f>
        <v>41033.383999999998</v>
      </c>
      <c r="Y50" s="83">
        <f>+'Tuition-2Yr'!Y50+'State Appropriations-2Yr'!Y50+'Local Appropriations-2Yr'!Y50+'Fed Contracts Grnts-2Yr'!Y50+'Other Contracts Grnts-2Yr'!Y50+'Investment Income-2Yr'!Y50+'All Other E&amp;G-2Yr'!Y50</f>
        <v>50230.261999999995</v>
      </c>
      <c r="Z50" s="83">
        <f>+'Tuition-2Yr'!Z50+'State Appropriations-2Yr'!Z50+'Local Appropriations-2Yr'!Z50+'Fed Contracts Grnts-2Yr'!Z50+'Other Contracts Grnts-2Yr'!Z50+'Investment Income-2Yr'!Z50+'All Other E&amp;G-2Yr'!Z50</f>
        <v>56678.780999999995</v>
      </c>
      <c r="AA50" s="83">
        <f>+'Tuition-2Yr'!AA50+'State Appropriations-2Yr'!AA50+'Local Appropriations-2Yr'!AA50+'Fed Contracts Grnts-2Yr'!AA50+'Other Contracts Grnts-2Yr'!AA50+'Investment Income-2Yr'!AA50+'All Other E&amp;G-2Yr'!AA50</f>
        <v>104057.46400000001</v>
      </c>
      <c r="AB50" s="83">
        <f>+'Tuition-2Yr'!AB50+'State Appropriations-2Yr'!AB50+'Local Appropriations-2Yr'!AB50+'Fed Contracts Grnts-2Yr'!AB50+'Other Contracts Grnts-2Yr'!AB50+'Investment Income-2Yr'!AB50+'All Other E&amp;G-2Yr'!AB50</f>
        <v>86725.017000000007</v>
      </c>
      <c r="AC50" s="83">
        <f>+'Tuition-2Yr'!AC50+'State Appropriations-2Yr'!AC50+'Local Appropriations-2Yr'!AC50+'Fed Contracts Grnts-2Yr'!AC50+'Other Contracts Grnts-2Yr'!AC50+'Investment Income-2Yr'!AC50+'All Other E&amp;G-2Yr'!AC50</f>
        <v>88888</v>
      </c>
      <c r="AD50" s="83">
        <f>+'Tuition-2Yr'!AD50+'State Appropriations-2Yr'!AD50+'Local Appropriations-2Yr'!AD50+'Fed Contracts Grnts-2Yr'!AD50+'Other Contracts Grnts-2Yr'!AD50+'Investment Income-2Yr'!AD50+'All Other E&amp;G-2Yr'!AD50</f>
        <v>84069.793999999994</v>
      </c>
      <c r="AE50" s="83">
        <f>+'Tuition-2Yr'!AE50+'State Appropriations-2Yr'!AE50+'Local Appropriations-2Yr'!AE50+'Fed Contracts Grnts-2Yr'!AE50+'Other Contracts Grnts-2Yr'!AE50+'Investment Income-2Yr'!AE50+'All Other E&amp;G-2Yr'!AE50</f>
        <v>126549.098</v>
      </c>
      <c r="AF50" s="83">
        <f>+'Tuition-2Yr'!AF50+'State Appropriations-2Yr'!AF50+'Local Appropriations-2Yr'!AF50+'Fed Contracts Grnts-2Yr'!AF50+'Other Contracts Grnts-2Yr'!AF50+'Investment Income-2Yr'!AF50+'All Other E&amp;G-2Yr'!AF50</f>
        <v>130341.39300000001</v>
      </c>
      <c r="AG50" s="83">
        <f>+'Tuition-2Yr'!AG50+'State Appropriations-2Yr'!AG50+'Local Appropriations-2Yr'!AG50+'Fed Contracts Grnts-2Yr'!AG50+'Other Contracts Grnts-2Yr'!AG50+'Investment Income-2Yr'!AG50+'All Other E&amp;G-2Yr'!AG50</f>
        <v>124227.553</v>
      </c>
      <c r="AH50" s="83">
        <f>+'Tuition-2Yr'!AH50+'State Appropriations-2Yr'!AH50+'Local Appropriations-2Yr'!AH50+'Fed Contracts Grnts-2Yr'!AH50+'Other Contracts Grnts-2Yr'!AH50+'Investment Income-2Yr'!AH50+'All Other E&amp;G-2Yr'!AH50</f>
        <v>158985.13399999999</v>
      </c>
      <c r="AI50" s="83">
        <f>+'Tuition-2Yr'!AI50+'State Appropriations-2Yr'!AI50+'Local Appropriations-2Yr'!AI50+'Fed Contracts Grnts-2Yr'!AI50+'Other Contracts Grnts-2Yr'!AI50+'Investment Income-2Yr'!AI50+'All Other E&amp;G-2Yr'!AI50</f>
        <v>134429.704</v>
      </c>
      <c r="AJ50" s="83">
        <f>+'Tuition-2Yr'!AJ50+'State Appropriations-2Yr'!AJ50+'Local Appropriations-2Yr'!AJ50+'Fed Contracts Grnts-2Yr'!AJ50+'Other Contracts Grnts-2Yr'!AJ50+'Investment Income-2Yr'!AJ50+'All Other E&amp;G-2Yr'!AJ50</f>
        <v>0</v>
      </c>
      <c r="AK50" s="83">
        <f>+'Tuition-2Yr'!AK50+'State Appropriations-2Yr'!AK50+'Local Appropriations-2Yr'!AK50+'Fed Contracts Grnts-2Yr'!AK50+'Other Contracts Grnts-2Yr'!AK50+'Investment Income-2Yr'!AK50+'All Other E&amp;G-2Yr'!AK50</f>
        <v>154321.25099999999</v>
      </c>
      <c r="AL50" s="83">
        <f>+'Tuition-2Yr'!AL50+'State Appropriations-2Yr'!AL50+'Local Appropriations-2Yr'!AL50+'Fed Contracts Grnts-2Yr'!AL50+'Other Contracts Grnts-2Yr'!AL50+'Investment Income-2Yr'!AL50+'All Other E&amp;G-2Yr'!AL50</f>
        <v>173842.93000000002</v>
      </c>
    </row>
    <row r="51" spans="1:38" ht="12.75" customHeight="1">
      <c r="A51" s="27" t="s">
        <v>64</v>
      </c>
      <c r="B51" s="84">
        <f>+'Tuition-2Yr'!B51+'State Appropriations-2Yr'!B51+'Local Appropriations-2Yr'!B51+'Fed Contracts Grnts-2Yr'!B51+'Other Contracts Grnts-2Yr'!B51+'Investment Income-2Yr'!B51+'All Other E&amp;G-2Yr'!B51</f>
        <v>0</v>
      </c>
      <c r="C51" s="84">
        <f>+'Tuition-2Yr'!C51+'State Appropriations-2Yr'!C51+'Local Appropriations-2Yr'!C51+'Fed Contracts Grnts-2Yr'!C51+'Other Contracts Grnts-2Yr'!C51+'Investment Income-2Yr'!C51+'All Other E&amp;G-2Yr'!C51</f>
        <v>0</v>
      </c>
      <c r="D51" s="84">
        <f>+'Tuition-2Yr'!D51+'State Appropriations-2Yr'!D51+'Local Appropriations-2Yr'!D51+'Fed Contracts Grnts-2Yr'!D51+'Other Contracts Grnts-2Yr'!D51+'Investment Income-2Yr'!D51+'All Other E&amp;G-2Yr'!D51</f>
        <v>0</v>
      </c>
      <c r="E51" s="84">
        <f>+'Tuition-2Yr'!E51+'State Appropriations-2Yr'!E51+'Local Appropriations-2Yr'!E51+'Fed Contracts Grnts-2Yr'!E51+'Other Contracts Grnts-2Yr'!E51+'Investment Income-2Yr'!E51+'All Other E&amp;G-2Yr'!E51</f>
        <v>0</v>
      </c>
      <c r="F51" s="84">
        <f>+'Tuition-2Yr'!F51+'State Appropriations-2Yr'!F51+'Local Appropriations-2Yr'!F51+'Fed Contracts Grnts-2Yr'!F51+'Other Contracts Grnts-2Yr'!F51+'Investment Income-2Yr'!F51+'All Other E&amp;G-2Yr'!F51</f>
        <v>0</v>
      </c>
      <c r="G51" s="84">
        <f>+'Tuition-2Yr'!G51+'State Appropriations-2Yr'!G51+'Local Appropriations-2Yr'!G51+'Fed Contracts Grnts-2Yr'!G51+'Other Contracts Grnts-2Yr'!G51+'Investment Income-2Yr'!G51+'All Other E&amp;G-2Yr'!G51</f>
        <v>0</v>
      </c>
      <c r="H51" s="84">
        <f>+'Tuition-2Yr'!H51+'State Appropriations-2Yr'!H51+'Local Appropriations-2Yr'!H51+'Fed Contracts Grnts-2Yr'!H51+'Other Contracts Grnts-2Yr'!H51+'Investment Income-2Yr'!H51+'All Other E&amp;G-2Yr'!H51</f>
        <v>0</v>
      </c>
      <c r="I51" s="84">
        <f>+'Tuition-2Yr'!I51+'State Appropriations-2Yr'!I51+'Local Appropriations-2Yr'!I51+'Fed Contracts Grnts-2Yr'!I51+'Other Contracts Grnts-2Yr'!I51+'Investment Income-2Yr'!I51+'All Other E&amp;G-2Yr'!I51</f>
        <v>0</v>
      </c>
      <c r="J51" s="84">
        <f>+'Tuition-2Yr'!J51+'State Appropriations-2Yr'!J51+'Local Appropriations-2Yr'!J51+'Fed Contracts Grnts-2Yr'!J51+'Other Contracts Grnts-2Yr'!J51+'Investment Income-2Yr'!J51+'All Other E&amp;G-2Yr'!J51</f>
        <v>512165.40099999995</v>
      </c>
      <c r="K51" s="84">
        <f>+'Tuition-2Yr'!K51+'State Appropriations-2Yr'!K51+'Local Appropriations-2Yr'!K51+'Fed Contracts Grnts-2Yr'!K51+'Other Contracts Grnts-2Yr'!K51+'Investment Income-2Yr'!K51+'All Other E&amp;G-2Yr'!K51</f>
        <v>0</v>
      </c>
      <c r="L51" s="84">
        <f>+'Tuition-2Yr'!L51+'State Appropriations-2Yr'!L51+'Local Appropriations-2Yr'!L51+'Fed Contracts Grnts-2Yr'!L51+'Other Contracts Grnts-2Yr'!L51+'Investment Income-2Yr'!L51+'All Other E&amp;G-2Yr'!L51</f>
        <v>0</v>
      </c>
      <c r="M51" s="84">
        <f>+'Tuition-2Yr'!M51+'State Appropriations-2Yr'!M51+'Local Appropriations-2Yr'!M51+'Fed Contracts Grnts-2Yr'!M51+'Other Contracts Grnts-2Yr'!M51+'Investment Income-2Yr'!M51+'All Other E&amp;G-2Yr'!M51</f>
        <v>608228.70199999993</v>
      </c>
      <c r="N51" s="84">
        <f>+'Tuition-2Yr'!N51+'State Appropriations-2Yr'!N51+'Local Appropriations-2Yr'!N51+'Fed Contracts Grnts-2Yr'!N51+'Other Contracts Grnts-2Yr'!N51+'Investment Income-2Yr'!N51+'All Other E&amp;G-2Yr'!N51</f>
        <v>0</v>
      </c>
      <c r="O51" s="84">
        <f>+'Tuition-2Yr'!O51+'State Appropriations-2Yr'!O51+'Local Appropriations-2Yr'!O51+'Fed Contracts Grnts-2Yr'!O51+'Other Contracts Grnts-2Yr'!O51+'Investment Income-2Yr'!O51+'All Other E&amp;G-2Yr'!O51</f>
        <v>649977.31699999981</v>
      </c>
      <c r="P51" s="84">
        <f>+'Tuition-2Yr'!P51+'State Appropriations-2Yr'!P51+'Local Appropriations-2Yr'!P51+'Fed Contracts Grnts-2Yr'!P51+'Other Contracts Grnts-2Yr'!P51+'Investment Income-2Yr'!P51+'All Other E&amp;G-2Yr'!P51</f>
        <v>0</v>
      </c>
      <c r="Q51" s="84">
        <f>+'Tuition-2Yr'!Q51+'State Appropriations-2Yr'!Q51+'Local Appropriations-2Yr'!Q51+'Fed Contracts Grnts-2Yr'!Q51+'Other Contracts Grnts-2Yr'!Q51+'Investment Income-2Yr'!Q51+'All Other E&amp;G-2Yr'!Q51</f>
        <v>0</v>
      </c>
      <c r="R51" s="84">
        <f>+'Tuition-2Yr'!R51+'State Appropriations-2Yr'!R51+'Local Appropriations-2Yr'!R51+'Fed Contracts Grnts-2Yr'!R51+'Other Contracts Grnts-2Yr'!R51+'Investment Income-2Yr'!R51+'All Other E&amp;G-2Yr'!R51</f>
        <v>763632.26900000009</v>
      </c>
      <c r="S51" s="84">
        <f>+'Tuition-2Yr'!S51+'State Appropriations-2Yr'!S51+'Local Appropriations-2Yr'!S51+'Fed Contracts Grnts-2Yr'!S51+'Other Contracts Grnts-2Yr'!S51+'Investment Income-2Yr'!S51+'All Other E&amp;G-2Yr'!S51</f>
        <v>832722.11600000015</v>
      </c>
      <c r="T51" s="84">
        <f>+'Tuition-2Yr'!T51+'State Appropriations-2Yr'!T51+'Local Appropriations-2Yr'!T51+'Fed Contracts Grnts-2Yr'!T51+'Other Contracts Grnts-2Yr'!T51+'Investment Income-2Yr'!T51+'All Other E&amp;G-2Yr'!T51</f>
        <v>933358.46400000004</v>
      </c>
      <c r="U51" s="84">
        <f>+'Tuition-2Yr'!U51+'State Appropriations-2Yr'!U51+'Local Appropriations-2Yr'!U51+'Fed Contracts Grnts-2Yr'!U51+'Other Contracts Grnts-2Yr'!U51+'Investment Income-2Yr'!U51+'All Other E&amp;G-2Yr'!U51</f>
        <v>1024853.1619999999</v>
      </c>
      <c r="V51" s="84">
        <f>+'Tuition-2Yr'!V51+'State Appropriations-2Yr'!V51+'Local Appropriations-2Yr'!V51+'Fed Contracts Grnts-2Yr'!V51+'Other Contracts Grnts-2Yr'!V51+'Investment Income-2Yr'!V51+'All Other E&amp;G-2Yr'!V51</f>
        <v>1091909.811</v>
      </c>
      <c r="W51" s="84">
        <f>+'Tuition-2Yr'!W51+'State Appropriations-2Yr'!W51+'Local Appropriations-2Yr'!W51+'Fed Contracts Grnts-2Yr'!W51+'Other Contracts Grnts-2Yr'!W51+'Investment Income-2Yr'!W51+'All Other E&amp;G-2Yr'!W51</f>
        <v>1175455.4259999997</v>
      </c>
      <c r="X51" s="84">
        <f>+'Tuition-2Yr'!X51+'State Appropriations-2Yr'!X51+'Local Appropriations-2Yr'!X51+'Fed Contracts Grnts-2Yr'!X51+'Other Contracts Grnts-2Yr'!X51+'Investment Income-2Yr'!X51+'All Other E&amp;G-2Yr'!X51</f>
        <v>1177251.422</v>
      </c>
      <c r="Y51" s="84">
        <f>+'Tuition-2Yr'!Y51+'State Appropriations-2Yr'!Y51+'Local Appropriations-2Yr'!Y51+'Fed Contracts Grnts-2Yr'!Y51+'Other Contracts Grnts-2Yr'!Y51+'Investment Income-2Yr'!Y51+'All Other E&amp;G-2Yr'!Y51</f>
        <v>1109264.453</v>
      </c>
      <c r="Z51" s="84">
        <f>+'Tuition-2Yr'!Z51+'State Appropriations-2Yr'!Z51+'Local Appropriations-2Yr'!Z51+'Fed Contracts Grnts-2Yr'!Z51+'Other Contracts Grnts-2Yr'!Z51+'Investment Income-2Yr'!Z51+'All Other E&amp;G-2Yr'!Z51</f>
        <v>1150017.017</v>
      </c>
      <c r="AA51" s="84">
        <f>+'Tuition-2Yr'!AA51+'State Appropriations-2Yr'!AA51+'Local Appropriations-2Yr'!AA51+'Fed Contracts Grnts-2Yr'!AA51+'Other Contracts Grnts-2Yr'!AA51+'Investment Income-2Yr'!AA51+'All Other E&amp;G-2Yr'!AA51</f>
        <v>1247284.3229999999</v>
      </c>
      <c r="AB51" s="84">
        <f>+'Tuition-2Yr'!AB51+'State Appropriations-2Yr'!AB51+'Local Appropriations-2Yr'!AB51+'Fed Contracts Grnts-2Yr'!AB51+'Other Contracts Grnts-2Yr'!AB51+'Investment Income-2Yr'!AB51+'All Other E&amp;G-2Yr'!AB51</f>
        <v>1561013.8570000001</v>
      </c>
      <c r="AC51" s="84">
        <f>+'Tuition-2Yr'!AC51+'State Appropriations-2Yr'!AC51+'Local Appropriations-2Yr'!AC51+'Fed Contracts Grnts-2Yr'!AC51+'Other Contracts Grnts-2Yr'!AC51+'Investment Income-2Yr'!AC51+'All Other E&amp;G-2Yr'!AC51</f>
        <v>1669441</v>
      </c>
      <c r="AD51" s="84">
        <f>+'Tuition-2Yr'!AD51+'State Appropriations-2Yr'!AD51+'Local Appropriations-2Yr'!AD51+'Fed Contracts Grnts-2Yr'!AD51+'Other Contracts Grnts-2Yr'!AD51+'Investment Income-2Yr'!AD51+'All Other E&amp;G-2Yr'!AD51</f>
        <v>1597800.976</v>
      </c>
      <c r="AE51" s="84">
        <f>+'Tuition-2Yr'!AE51+'State Appropriations-2Yr'!AE51+'Local Appropriations-2Yr'!AE51+'Fed Contracts Grnts-2Yr'!AE51+'Other Contracts Grnts-2Yr'!AE51+'Investment Income-2Yr'!AE51+'All Other E&amp;G-2Yr'!AE51</f>
        <v>1623187.39</v>
      </c>
      <c r="AF51" s="84">
        <f>+'Tuition-2Yr'!AF51+'State Appropriations-2Yr'!AF51+'Local Appropriations-2Yr'!AF51+'Fed Contracts Grnts-2Yr'!AF51+'Other Contracts Grnts-2Yr'!AF51+'Investment Income-2Yr'!AF51+'All Other E&amp;G-2Yr'!AF51</f>
        <v>393741.01399999997</v>
      </c>
      <c r="AG51" s="84">
        <f>+'Tuition-2Yr'!AG51+'State Appropriations-2Yr'!AG51+'Local Appropriations-2Yr'!AG51+'Fed Contracts Grnts-2Yr'!AG51+'Other Contracts Grnts-2Yr'!AG51+'Investment Income-2Yr'!AG51+'All Other E&amp;G-2Yr'!AG51</f>
        <v>394067.82399999991</v>
      </c>
      <c r="AH51" s="84">
        <f>+'Tuition-2Yr'!AH51+'State Appropriations-2Yr'!AH51+'Local Appropriations-2Yr'!AH51+'Fed Contracts Grnts-2Yr'!AH51+'Other Contracts Grnts-2Yr'!AH51+'Investment Income-2Yr'!AH51+'All Other E&amp;G-2Yr'!AH51</f>
        <v>1618330.541</v>
      </c>
      <c r="AI51" s="84">
        <f>+'Tuition-2Yr'!AI51+'State Appropriations-2Yr'!AI51+'Local Appropriations-2Yr'!AI51+'Fed Contracts Grnts-2Yr'!AI51+'Other Contracts Grnts-2Yr'!AI51+'Investment Income-2Yr'!AI51+'All Other E&amp;G-2Yr'!AI51</f>
        <v>1586183.3840000001</v>
      </c>
      <c r="AJ51" s="84">
        <f>+'Tuition-2Yr'!AJ51+'State Appropriations-2Yr'!AJ51+'Local Appropriations-2Yr'!AJ51+'Fed Contracts Grnts-2Yr'!AJ51+'Other Contracts Grnts-2Yr'!AJ51+'Investment Income-2Yr'!AJ51+'All Other E&amp;G-2Yr'!AJ51</f>
        <v>0</v>
      </c>
      <c r="AK51" s="84">
        <f>+'Tuition-2Yr'!AK51+'State Appropriations-2Yr'!AK51+'Local Appropriations-2Yr'!AK51+'Fed Contracts Grnts-2Yr'!AK51+'Other Contracts Grnts-2Yr'!AK51+'Investment Income-2Yr'!AK51+'All Other E&amp;G-2Yr'!AK51</f>
        <v>1615208.8029999998</v>
      </c>
      <c r="AL51" s="84">
        <f>+'Tuition-2Yr'!AL51+'State Appropriations-2Yr'!AL51+'Local Appropriations-2Yr'!AL51+'Fed Contracts Grnts-2Yr'!AL51+'Other Contracts Grnts-2Yr'!AL51+'Investment Income-2Yr'!AL51+'All Other E&amp;G-2Yr'!AL51</f>
        <v>1235466.7850000001</v>
      </c>
    </row>
    <row r="52" spans="1:38" ht="12.75" customHeight="1">
      <c r="A52" s="6" t="s">
        <v>65</v>
      </c>
      <c r="B52" s="83">
        <f>+'Tuition-2Yr'!B52+'State Appropriations-2Yr'!B52+'Local Appropriations-2Yr'!B52+'Fed Contracts Grnts-2Yr'!B52+'Other Contracts Grnts-2Yr'!B52+'Investment Income-2Yr'!B52+'All Other E&amp;G-2Yr'!B52</f>
        <v>0</v>
      </c>
      <c r="C52" s="83">
        <f>+'Tuition-2Yr'!C52+'State Appropriations-2Yr'!C52+'Local Appropriations-2Yr'!C52+'Fed Contracts Grnts-2Yr'!C52+'Other Contracts Grnts-2Yr'!C52+'Investment Income-2Yr'!C52+'All Other E&amp;G-2Yr'!C52</f>
        <v>0</v>
      </c>
      <c r="D52" s="83">
        <f>+'Tuition-2Yr'!D52+'State Appropriations-2Yr'!D52+'Local Appropriations-2Yr'!D52+'Fed Contracts Grnts-2Yr'!D52+'Other Contracts Grnts-2Yr'!D52+'Investment Income-2Yr'!D52+'All Other E&amp;G-2Yr'!D52</f>
        <v>0</v>
      </c>
      <c r="E52" s="83">
        <f>+'Tuition-2Yr'!E52+'State Appropriations-2Yr'!E52+'Local Appropriations-2Yr'!E52+'Fed Contracts Grnts-2Yr'!E52+'Other Contracts Grnts-2Yr'!E52+'Investment Income-2Yr'!E52+'All Other E&amp;G-2Yr'!E52</f>
        <v>0</v>
      </c>
      <c r="F52" s="83">
        <f>+'Tuition-2Yr'!F52+'State Appropriations-2Yr'!F52+'Local Appropriations-2Yr'!F52+'Fed Contracts Grnts-2Yr'!F52+'Other Contracts Grnts-2Yr'!F52+'Investment Income-2Yr'!F52+'All Other E&amp;G-2Yr'!F52</f>
        <v>0</v>
      </c>
      <c r="G52" s="83">
        <f>+'Tuition-2Yr'!G52+'State Appropriations-2Yr'!G52+'Local Appropriations-2Yr'!G52+'Fed Contracts Grnts-2Yr'!G52+'Other Contracts Grnts-2Yr'!G52+'Investment Income-2Yr'!G52+'All Other E&amp;G-2Yr'!G52</f>
        <v>0</v>
      </c>
      <c r="H52" s="83">
        <f>+'Tuition-2Yr'!H52+'State Appropriations-2Yr'!H52+'Local Appropriations-2Yr'!H52+'Fed Contracts Grnts-2Yr'!H52+'Other Contracts Grnts-2Yr'!H52+'Investment Income-2Yr'!H52+'All Other E&amp;G-2Yr'!H52</f>
        <v>0</v>
      </c>
      <c r="I52" s="83">
        <f>+'Tuition-2Yr'!I52+'State Appropriations-2Yr'!I52+'Local Appropriations-2Yr'!I52+'Fed Contracts Grnts-2Yr'!I52+'Other Contracts Grnts-2Yr'!I52+'Investment Income-2Yr'!I52+'All Other E&amp;G-2Yr'!I52</f>
        <v>0</v>
      </c>
      <c r="J52" s="83">
        <f>+'Tuition-2Yr'!J52+'State Appropriations-2Yr'!J52+'Local Appropriations-2Yr'!J52+'Fed Contracts Grnts-2Yr'!J52+'Other Contracts Grnts-2Yr'!J52+'Investment Income-2Yr'!J52+'All Other E&amp;G-2Yr'!J52</f>
        <v>2543015.1159999999</v>
      </c>
      <c r="K52" s="83">
        <f>+'Tuition-2Yr'!K52+'State Appropriations-2Yr'!K52+'Local Appropriations-2Yr'!K52+'Fed Contracts Grnts-2Yr'!K52+'Other Contracts Grnts-2Yr'!K52+'Investment Income-2Yr'!K52+'All Other E&amp;G-2Yr'!K52</f>
        <v>0</v>
      </c>
      <c r="L52" s="83">
        <f>+'Tuition-2Yr'!L52+'State Appropriations-2Yr'!L52+'Local Appropriations-2Yr'!L52+'Fed Contracts Grnts-2Yr'!L52+'Other Contracts Grnts-2Yr'!L52+'Investment Income-2Yr'!L52+'All Other E&amp;G-2Yr'!L52</f>
        <v>0</v>
      </c>
      <c r="M52" s="83">
        <f>+'Tuition-2Yr'!M52+'State Appropriations-2Yr'!M52+'Local Appropriations-2Yr'!M52+'Fed Contracts Grnts-2Yr'!M52+'Other Contracts Grnts-2Yr'!M52+'Investment Income-2Yr'!M52+'All Other E&amp;G-2Yr'!M52</f>
        <v>3069441.7249999996</v>
      </c>
      <c r="N52" s="83">
        <f>+'Tuition-2Yr'!N52+'State Appropriations-2Yr'!N52+'Local Appropriations-2Yr'!N52+'Fed Contracts Grnts-2Yr'!N52+'Other Contracts Grnts-2Yr'!N52+'Investment Income-2Yr'!N52+'All Other E&amp;G-2Yr'!N52</f>
        <v>0</v>
      </c>
      <c r="O52" s="83">
        <f>+'Tuition-2Yr'!O52+'State Appropriations-2Yr'!O52+'Local Appropriations-2Yr'!O52+'Fed Contracts Grnts-2Yr'!O52+'Other Contracts Grnts-2Yr'!O52+'Investment Income-2Yr'!O52+'All Other E&amp;G-2Yr'!O52</f>
        <v>3380806.2283799993</v>
      </c>
      <c r="P52" s="83">
        <f>+'Tuition-2Yr'!P52+'State Appropriations-2Yr'!P52+'Local Appropriations-2Yr'!P52+'Fed Contracts Grnts-2Yr'!P52+'Other Contracts Grnts-2Yr'!P52+'Investment Income-2Yr'!P52+'All Other E&amp;G-2Yr'!P52</f>
        <v>0</v>
      </c>
      <c r="Q52" s="83">
        <f>+'Tuition-2Yr'!Q52+'State Appropriations-2Yr'!Q52+'Local Appropriations-2Yr'!Q52+'Fed Contracts Grnts-2Yr'!Q52+'Other Contracts Grnts-2Yr'!Q52+'Investment Income-2Yr'!Q52+'All Other E&amp;G-2Yr'!Q52</f>
        <v>0</v>
      </c>
      <c r="R52" s="83">
        <f>+'Tuition-2Yr'!R52+'State Appropriations-2Yr'!R52+'Local Appropriations-2Yr'!R52+'Fed Contracts Grnts-2Yr'!R52+'Other Contracts Grnts-2Yr'!R52+'Investment Income-2Yr'!R52+'All Other E&amp;G-2Yr'!R52</f>
        <v>3539228.469</v>
      </c>
      <c r="S52" s="83">
        <f>+'Tuition-2Yr'!S52+'State Appropriations-2Yr'!S52+'Local Appropriations-2Yr'!S52+'Fed Contracts Grnts-2Yr'!S52+'Other Contracts Grnts-2Yr'!S52+'Investment Income-2Yr'!S52+'All Other E&amp;G-2Yr'!S52</f>
        <v>4008441.5580000002</v>
      </c>
      <c r="T52" s="83">
        <f>+'Tuition-2Yr'!T52+'State Appropriations-2Yr'!T52+'Local Appropriations-2Yr'!T52+'Fed Contracts Grnts-2Yr'!T52+'Other Contracts Grnts-2Yr'!T52+'Investment Income-2Yr'!T52+'All Other E&amp;G-2Yr'!T52</f>
        <v>4470366.0080000004</v>
      </c>
      <c r="U52" s="83">
        <f>+'Tuition-2Yr'!U52+'State Appropriations-2Yr'!U52+'Local Appropriations-2Yr'!U52+'Fed Contracts Grnts-2Yr'!U52+'Other Contracts Grnts-2Yr'!U52+'Investment Income-2Yr'!U52+'All Other E&amp;G-2Yr'!U52</f>
        <v>4351651.6179999998</v>
      </c>
      <c r="V52" s="83">
        <f>+'Tuition-2Yr'!V52+'State Appropriations-2Yr'!V52+'Local Appropriations-2Yr'!V52+'Fed Contracts Grnts-2Yr'!V52+'Other Contracts Grnts-2Yr'!V52+'Investment Income-2Yr'!V52+'All Other E&amp;G-2Yr'!V52</f>
        <v>4585745.9480000008</v>
      </c>
      <c r="W52" s="83">
        <f>+'Tuition-2Yr'!W52+'State Appropriations-2Yr'!W52+'Local Appropriations-2Yr'!W52+'Fed Contracts Grnts-2Yr'!W52+'Other Contracts Grnts-2Yr'!W52+'Investment Income-2Yr'!W52+'All Other E&amp;G-2Yr'!W52</f>
        <v>5297115.0130000003</v>
      </c>
      <c r="X52" s="83">
        <f>+'Tuition-2Yr'!X52+'State Appropriations-2Yr'!X52+'Local Appropriations-2Yr'!X52+'Fed Contracts Grnts-2Yr'!X52+'Other Contracts Grnts-2Yr'!X52+'Investment Income-2Yr'!X52+'All Other E&amp;G-2Yr'!X52</f>
        <v>5048333.1519999998</v>
      </c>
      <c r="Y52" s="83">
        <f>+'Tuition-2Yr'!Y52+'State Appropriations-2Yr'!Y52+'Local Appropriations-2Yr'!Y52+'Fed Contracts Grnts-2Yr'!Y52+'Other Contracts Grnts-2Yr'!Y52+'Investment Income-2Yr'!Y52+'All Other E&amp;G-2Yr'!Y52</f>
        <v>5309837.9899999993</v>
      </c>
      <c r="Z52" s="83">
        <f>+'Tuition-2Yr'!Z52+'State Appropriations-2Yr'!Z52+'Local Appropriations-2Yr'!Z52+'Fed Contracts Grnts-2Yr'!Z52+'Other Contracts Grnts-2Yr'!Z52+'Investment Income-2Yr'!Z52+'All Other E&amp;G-2Yr'!Z52</f>
        <v>5731227.4660000009</v>
      </c>
      <c r="AA52" s="83">
        <f>+'Tuition-2Yr'!AA52+'State Appropriations-2Yr'!AA52+'Local Appropriations-2Yr'!AA52+'Fed Contracts Grnts-2Yr'!AA52+'Other Contracts Grnts-2Yr'!AA52+'Investment Income-2Yr'!AA52+'All Other E&amp;G-2Yr'!AA52</f>
        <v>6780967.6339999996</v>
      </c>
      <c r="AB52" s="83">
        <f>+'Tuition-2Yr'!AB52+'State Appropriations-2Yr'!AB52+'Local Appropriations-2Yr'!AB52+'Fed Contracts Grnts-2Yr'!AB52+'Other Contracts Grnts-2Yr'!AB52+'Investment Income-2Yr'!AB52+'All Other E&amp;G-2Yr'!AB52</f>
        <v>7629103.1689999988</v>
      </c>
      <c r="AC52" s="83">
        <f>+'Tuition-2Yr'!AC52+'State Appropriations-2Yr'!AC52+'Local Appropriations-2Yr'!AC52+'Fed Contracts Grnts-2Yr'!AC52+'Other Contracts Grnts-2Yr'!AC52+'Investment Income-2Yr'!AC52+'All Other E&amp;G-2Yr'!AC52</f>
        <v>8014177</v>
      </c>
      <c r="AD52" s="83">
        <f>+'Tuition-2Yr'!AD52+'State Appropriations-2Yr'!AD52+'Local Appropriations-2Yr'!AD52+'Fed Contracts Grnts-2Yr'!AD52+'Other Contracts Grnts-2Yr'!AD52+'Investment Income-2Yr'!AD52+'All Other E&amp;G-2Yr'!AD52</f>
        <v>8231091.9860000005</v>
      </c>
      <c r="AE52" s="83">
        <f>+'Tuition-2Yr'!AE52+'State Appropriations-2Yr'!AE52+'Local Appropriations-2Yr'!AE52+'Fed Contracts Grnts-2Yr'!AE52+'Other Contracts Grnts-2Yr'!AE52+'Investment Income-2Yr'!AE52+'All Other E&amp;G-2Yr'!AE52</f>
        <v>8422786.9469999988</v>
      </c>
      <c r="AF52" s="83">
        <f>+'Tuition-2Yr'!AF52+'State Appropriations-2Yr'!AF52+'Local Appropriations-2Yr'!AF52+'Fed Contracts Grnts-2Yr'!AF52+'Other Contracts Grnts-2Yr'!AF52+'Investment Income-2Yr'!AF52+'All Other E&amp;G-2Yr'!AF52</f>
        <v>8535715.818</v>
      </c>
      <c r="AG52" s="83">
        <f>+'Tuition-2Yr'!AG52+'State Appropriations-2Yr'!AG52+'Local Appropriations-2Yr'!AG52+'Fed Contracts Grnts-2Yr'!AG52+'Other Contracts Grnts-2Yr'!AG52+'Investment Income-2Yr'!AG52+'All Other E&amp;G-2Yr'!AG52</f>
        <v>8620778.9110000003</v>
      </c>
      <c r="AH52" s="83">
        <f>+'Tuition-2Yr'!AH52+'State Appropriations-2Yr'!AH52+'Local Appropriations-2Yr'!AH52+'Fed Contracts Grnts-2Yr'!AH52+'Other Contracts Grnts-2Yr'!AH52+'Investment Income-2Yr'!AH52+'All Other E&amp;G-2Yr'!AH52</f>
        <v>8592222.3970000017</v>
      </c>
      <c r="AI52" s="83">
        <f>+'Tuition-2Yr'!AI52+'State Appropriations-2Yr'!AI52+'Local Appropriations-2Yr'!AI52+'Fed Contracts Grnts-2Yr'!AI52+'Other Contracts Grnts-2Yr'!AI52+'Investment Income-2Yr'!AI52+'All Other E&amp;G-2Yr'!AI52</f>
        <v>8521742.3790000007</v>
      </c>
      <c r="AJ52" s="83">
        <f>+'Tuition-2Yr'!AJ52+'State Appropriations-2Yr'!AJ52+'Local Appropriations-2Yr'!AJ52+'Fed Contracts Grnts-2Yr'!AJ52+'Other Contracts Grnts-2Yr'!AJ52+'Investment Income-2Yr'!AJ52+'All Other E&amp;G-2Yr'!AJ52</f>
        <v>0</v>
      </c>
      <c r="AK52" s="83">
        <f>+'Tuition-2Yr'!AK52+'State Appropriations-2Yr'!AK52+'Local Appropriations-2Yr'!AK52+'Fed Contracts Grnts-2Yr'!AK52+'Other Contracts Grnts-2Yr'!AK52+'Investment Income-2Yr'!AK52+'All Other E&amp;G-2Yr'!AK52</f>
        <v>9228811.8159999996</v>
      </c>
      <c r="AL52" s="83">
        <f>+'Tuition-2Yr'!AL52+'State Appropriations-2Yr'!AL52+'Local Appropriations-2Yr'!AL52+'Fed Contracts Grnts-2Yr'!AL52+'Other Contracts Grnts-2Yr'!AL52+'Investment Income-2Yr'!AL52+'All Other E&amp;G-2Yr'!AL52</f>
        <v>8517301.0199999996</v>
      </c>
    </row>
    <row r="53" spans="1:38" ht="12.75" customHeight="1">
      <c r="A53" s="6" t="s">
        <v>94</v>
      </c>
      <c r="B53" s="83">
        <f>+'Tuition-2Yr'!B53+'State Appropriations-2Yr'!B53+'Local Appropriations-2Yr'!B53+'Fed Contracts Grnts-2Yr'!B53+'Other Contracts Grnts-2Yr'!B53+'Investment Income-2Yr'!B53+'All Other E&amp;G-2Yr'!B53</f>
        <v>0</v>
      </c>
      <c r="C53" s="83">
        <f>+'Tuition-2Yr'!C53+'State Appropriations-2Yr'!C53+'Local Appropriations-2Yr'!C53+'Fed Contracts Grnts-2Yr'!C53+'Other Contracts Grnts-2Yr'!C53+'Investment Income-2Yr'!C53+'All Other E&amp;G-2Yr'!C53</f>
        <v>0</v>
      </c>
      <c r="D53" s="83">
        <f>+'Tuition-2Yr'!D53+'State Appropriations-2Yr'!D53+'Local Appropriations-2Yr'!D53+'Fed Contracts Grnts-2Yr'!D53+'Other Contracts Grnts-2Yr'!D53+'Investment Income-2Yr'!D53+'All Other E&amp;G-2Yr'!D53</f>
        <v>0</v>
      </c>
      <c r="E53" s="83">
        <f>+'Tuition-2Yr'!E53+'State Appropriations-2Yr'!E53+'Local Appropriations-2Yr'!E53+'Fed Contracts Grnts-2Yr'!E53+'Other Contracts Grnts-2Yr'!E53+'Investment Income-2Yr'!E53+'All Other E&amp;G-2Yr'!E53</f>
        <v>0</v>
      </c>
      <c r="F53" s="83">
        <f>+'Tuition-2Yr'!F53+'State Appropriations-2Yr'!F53+'Local Appropriations-2Yr'!F53+'Fed Contracts Grnts-2Yr'!F53+'Other Contracts Grnts-2Yr'!F53+'Investment Income-2Yr'!F53+'All Other E&amp;G-2Yr'!F53</f>
        <v>0</v>
      </c>
      <c r="G53" s="83">
        <f>+'Tuition-2Yr'!G53+'State Appropriations-2Yr'!G53+'Local Appropriations-2Yr'!G53+'Fed Contracts Grnts-2Yr'!G53+'Other Contracts Grnts-2Yr'!G53+'Investment Income-2Yr'!G53+'All Other E&amp;G-2Yr'!G53</f>
        <v>0</v>
      </c>
      <c r="H53" s="83">
        <f>+'Tuition-2Yr'!H53+'State Appropriations-2Yr'!H53+'Local Appropriations-2Yr'!H53+'Fed Contracts Grnts-2Yr'!H53+'Other Contracts Grnts-2Yr'!H53+'Investment Income-2Yr'!H53+'All Other E&amp;G-2Yr'!H53</f>
        <v>0</v>
      </c>
      <c r="I53" s="83">
        <f>+'Tuition-2Yr'!I53+'State Appropriations-2Yr'!I53+'Local Appropriations-2Yr'!I53+'Fed Contracts Grnts-2Yr'!I53+'Other Contracts Grnts-2Yr'!I53+'Investment Income-2Yr'!I53+'All Other E&amp;G-2Yr'!I53</f>
        <v>0</v>
      </c>
      <c r="J53" s="83">
        <f>+'Tuition-2Yr'!J53+'State Appropriations-2Yr'!J53+'Local Appropriations-2Yr'!J53+'Fed Contracts Grnts-2Yr'!J53+'Other Contracts Grnts-2Yr'!J53+'Investment Income-2Yr'!J53+'All Other E&amp;G-2Yr'!J53</f>
        <v>0</v>
      </c>
      <c r="K53" s="83">
        <f>+'Tuition-2Yr'!K53+'State Appropriations-2Yr'!K53+'Local Appropriations-2Yr'!K53+'Fed Contracts Grnts-2Yr'!K53+'Other Contracts Grnts-2Yr'!K53+'Investment Income-2Yr'!K53+'All Other E&amp;G-2Yr'!K53</f>
        <v>0</v>
      </c>
      <c r="L53" s="83">
        <f>+'Tuition-2Yr'!L53+'State Appropriations-2Yr'!L53+'Local Appropriations-2Yr'!L53+'Fed Contracts Grnts-2Yr'!L53+'Other Contracts Grnts-2Yr'!L53+'Investment Income-2Yr'!L53+'All Other E&amp;G-2Yr'!L53</f>
        <v>0</v>
      </c>
      <c r="M53" s="83">
        <f>+'Tuition-2Yr'!M53+'State Appropriations-2Yr'!M53+'Local Appropriations-2Yr'!M53+'Fed Contracts Grnts-2Yr'!M53+'Other Contracts Grnts-2Yr'!M53+'Investment Income-2Yr'!M53+'All Other E&amp;G-2Yr'!M53</f>
        <v>0</v>
      </c>
      <c r="N53" s="83">
        <f>+'Tuition-2Yr'!N53+'State Appropriations-2Yr'!N53+'Local Appropriations-2Yr'!N53+'Fed Contracts Grnts-2Yr'!N53+'Other Contracts Grnts-2Yr'!N53+'Investment Income-2Yr'!N53+'All Other E&amp;G-2Yr'!N53</f>
        <v>0</v>
      </c>
      <c r="O53" s="83">
        <f>+'Tuition-2Yr'!O53+'State Appropriations-2Yr'!O53+'Local Appropriations-2Yr'!O53+'Fed Contracts Grnts-2Yr'!O53+'Other Contracts Grnts-2Yr'!O53+'Investment Income-2Yr'!O53+'All Other E&amp;G-2Yr'!O53</f>
        <v>0</v>
      </c>
      <c r="P53" s="83">
        <f>+'Tuition-2Yr'!P53+'State Appropriations-2Yr'!P53+'Local Appropriations-2Yr'!P53+'Fed Contracts Grnts-2Yr'!P53+'Other Contracts Grnts-2Yr'!P53+'Investment Income-2Yr'!P53+'All Other E&amp;G-2Yr'!P53</f>
        <v>0</v>
      </c>
      <c r="Q53" s="83">
        <f>+'Tuition-2Yr'!Q53+'State Appropriations-2Yr'!Q53+'Local Appropriations-2Yr'!Q53+'Fed Contracts Grnts-2Yr'!Q53+'Other Contracts Grnts-2Yr'!Q53+'Investment Income-2Yr'!Q53+'All Other E&amp;G-2Yr'!Q53</f>
        <v>0</v>
      </c>
      <c r="R53" s="83">
        <f>+'Tuition-2Yr'!R53+'State Appropriations-2Yr'!R53+'Local Appropriations-2Yr'!R53+'Fed Contracts Grnts-2Yr'!R53+'Other Contracts Grnts-2Yr'!R53+'Investment Income-2Yr'!R53+'All Other E&amp;G-2Yr'!R53</f>
        <v>0</v>
      </c>
      <c r="S53" s="83">
        <f>+'Tuition-2Yr'!S53+'State Appropriations-2Yr'!S53+'Local Appropriations-2Yr'!S53+'Fed Contracts Grnts-2Yr'!S53+'Other Contracts Grnts-2Yr'!S53+'Investment Income-2Yr'!S53+'All Other E&amp;G-2Yr'!S53</f>
        <v>0</v>
      </c>
      <c r="T53" s="83">
        <f>+'Tuition-2Yr'!T53+'State Appropriations-2Yr'!T53+'Local Appropriations-2Yr'!T53+'Fed Contracts Grnts-2Yr'!T53+'Other Contracts Grnts-2Yr'!T53+'Investment Income-2Yr'!T53+'All Other E&amp;G-2Yr'!T53</f>
        <v>0</v>
      </c>
      <c r="U53" s="83">
        <f>+'Tuition-2Yr'!U53+'State Appropriations-2Yr'!U53+'Local Appropriations-2Yr'!U53+'Fed Contracts Grnts-2Yr'!U53+'Other Contracts Grnts-2Yr'!U53+'Investment Income-2Yr'!U53+'All Other E&amp;G-2Yr'!U53</f>
        <v>0</v>
      </c>
      <c r="V53" s="83">
        <f>+'Tuition-2Yr'!V53+'State Appropriations-2Yr'!V53+'Local Appropriations-2Yr'!V53+'Fed Contracts Grnts-2Yr'!V53+'Other Contracts Grnts-2Yr'!V53+'Investment Income-2Yr'!V53+'All Other E&amp;G-2Yr'!V53</f>
        <v>0</v>
      </c>
      <c r="W53" s="83">
        <f>+'Tuition-2Yr'!W53+'State Appropriations-2Yr'!W53+'Local Appropriations-2Yr'!W53+'Fed Contracts Grnts-2Yr'!W53+'Other Contracts Grnts-2Yr'!W53+'Investment Income-2Yr'!W53+'All Other E&amp;G-2Yr'!W53</f>
        <v>0</v>
      </c>
      <c r="X53" s="83">
        <f>+'Tuition-2Yr'!X53+'State Appropriations-2Yr'!X53+'Local Appropriations-2Yr'!X53+'Fed Contracts Grnts-2Yr'!X53+'Other Contracts Grnts-2Yr'!X53+'Investment Income-2Yr'!X53+'All Other E&amp;G-2Yr'!X53</f>
        <v>0</v>
      </c>
      <c r="Y53" s="83">
        <f>+'Tuition-2Yr'!Y53+'State Appropriations-2Yr'!Y53+'Local Appropriations-2Yr'!Y53+'Fed Contracts Grnts-2Yr'!Y53+'Other Contracts Grnts-2Yr'!Y53+'Investment Income-2Yr'!Y53+'All Other E&amp;G-2Yr'!Y53</f>
        <v>0</v>
      </c>
      <c r="Z53" s="83">
        <f>+'Tuition-2Yr'!Z53+'State Appropriations-2Yr'!Z53+'Local Appropriations-2Yr'!Z53+'Fed Contracts Grnts-2Yr'!Z53+'Other Contracts Grnts-2Yr'!Z53+'Investment Income-2Yr'!Z53+'All Other E&amp;G-2Yr'!Z53</f>
        <v>0</v>
      </c>
      <c r="AA53" s="83">
        <f>+'Tuition-2Yr'!AA53+'State Appropriations-2Yr'!AA53+'Local Appropriations-2Yr'!AA53+'Fed Contracts Grnts-2Yr'!AA53+'Other Contracts Grnts-2Yr'!AA53+'Investment Income-2Yr'!AA53+'All Other E&amp;G-2Yr'!AA53</f>
        <v>0</v>
      </c>
      <c r="AB53" s="83">
        <f>+'Tuition-2Yr'!AB53+'State Appropriations-2Yr'!AB53+'Local Appropriations-2Yr'!AB53+'Fed Contracts Grnts-2Yr'!AB53+'Other Contracts Grnts-2Yr'!AB53+'Investment Income-2Yr'!AB53+'All Other E&amp;G-2Yr'!AB53</f>
        <v>0</v>
      </c>
      <c r="AC53" s="83">
        <f>+'Tuition-2Yr'!AC53+'State Appropriations-2Yr'!AC53+'Local Appropriations-2Yr'!AC53+'Fed Contracts Grnts-2Yr'!AC53+'Other Contracts Grnts-2Yr'!AC53+'Investment Income-2Yr'!AC53+'All Other E&amp;G-2Yr'!AC53</f>
        <v>0</v>
      </c>
      <c r="AD53" s="83">
        <f>+'Tuition-2Yr'!AD53+'State Appropriations-2Yr'!AD53+'Local Appropriations-2Yr'!AD53+'Fed Contracts Grnts-2Yr'!AD53+'Other Contracts Grnts-2Yr'!AD53+'Investment Income-2Yr'!AD53+'All Other E&amp;G-2Yr'!AD53</f>
        <v>0</v>
      </c>
      <c r="AE53" s="83">
        <f>+'Tuition-2Yr'!AE53+'State Appropriations-2Yr'!AE53+'Local Appropriations-2Yr'!AE53+'Fed Contracts Grnts-2Yr'!AE53+'Other Contracts Grnts-2Yr'!AE53+'Investment Income-2Yr'!AE53+'All Other E&amp;G-2Yr'!AE53</f>
        <v>0</v>
      </c>
      <c r="AF53" s="83">
        <f>+'Tuition-2Yr'!AF53+'State Appropriations-2Yr'!AF53+'Local Appropriations-2Yr'!AF53+'Fed Contracts Grnts-2Yr'!AF53+'Other Contracts Grnts-2Yr'!AF53+'Investment Income-2Yr'!AF53+'All Other E&amp;G-2Yr'!AF53</f>
        <v>0</v>
      </c>
      <c r="AG53" s="83">
        <f>+'Tuition-2Yr'!AG53+'State Appropriations-2Yr'!AG53+'Local Appropriations-2Yr'!AG53+'Fed Contracts Grnts-2Yr'!AG53+'Other Contracts Grnts-2Yr'!AG53+'Investment Income-2Yr'!AG53+'All Other E&amp;G-2Yr'!AG53</f>
        <v>0</v>
      </c>
      <c r="AH53" s="83">
        <f>+'Tuition-2Yr'!AH53+'State Appropriations-2Yr'!AH53+'Local Appropriations-2Yr'!AH53+'Fed Contracts Grnts-2Yr'!AH53+'Other Contracts Grnts-2Yr'!AH53+'Investment Income-2Yr'!AH53+'All Other E&amp;G-2Yr'!AH53</f>
        <v>0</v>
      </c>
      <c r="AI53" s="83">
        <f>+'Tuition-2Yr'!AI53+'State Appropriations-2Yr'!AI53+'Local Appropriations-2Yr'!AI53+'Fed Contracts Grnts-2Yr'!AI53+'Other Contracts Grnts-2Yr'!AI53+'Investment Income-2Yr'!AI53+'All Other E&amp;G-2Yr'!AI53</f>
        <v>0</v>
      </c>
      <c r="AJ53" s="83">
        <f>+'Tuition-2Yr'!AJ53+'State Appropriations-2Yr'!AJ53+'Local Appropriations-2Yr'!AJ53+'Fed Contracts Grnts-2Yr'!AJ53+'Other Contracts Grnts-2Yr'!AJ53+'Investment Income-2Yr'!AJ53+'All Other E&amp;G-2Yr'!AJ53</f>
        <v>0</v>
      </c>
      <c r="AK53" s="83">
        <f>+'Tuition-2Yr'!AK53+'State Appropriations-2Yr'!AK53+'Local Appropriations-2Yr'!AK53+'Fed Contracts Grnts-2Yr'!AK53+'Other Contracts Grnts-2Yr'!AK53+'Investment Income-2Yr'!AK53+'All Other E&amp;G-2Yr'!AK53</f>
        <v>0</v>
      </c>
      <c r="AL53" s="83">
        <f>+'Tuition-2Yr'!AL53+'State Appropriations-2Yr'!AL53+'Local Appropriations-2Yr'!AL53+'Fed Contracts Grnts-2Yr'!AL53+'Other Contracts Grnts-2Yr'!AL53+'Investment Income-2Yr'!AL53+'All Other E&amp;G-2Yr'!AL53</f>
        <v>0</v>
      </c>
    </row>
    <row r="54" spans="1:38" ht="12.75" customHeight="1">
      <c r="A54" s="1" t="s">
        <v>66</v>
      </c>
      <c r="B54" s="83">
        <f>+'Tuition-2Yr'!B54+'State Appropriations-2Yr'!B54+'Local Appropriations-2Yr'!B54+'Fed Contracts Grnts-2Yr'!B54+'Other Contracts Grnts-2Yr'!B54+'Investment Income-2Yr'!B54+'All Other E&amp;G-2Yr'!B54</f>
        <v>0</v>
      </c>
      <c r="C54" s="83">
        <f>+'Tuition-2Yr'!C54+'State Appropriations-2Yr'!C54+'Local Appropriations-2Yr'!C54+'Fed Contracts Grnts-2Yr'!C54+'Other Contracts Grnts-2Yr'!C54+'Investment Income-2Yr'!C54+'All Other E&amp;G-2Yr'!C54</f>
        <v>0</v>
      </c>
      <c r="D54" s="83">
        <f>+'Tuition-2Yr'!D54+'State Appropriations-2Yr'!D54+'Local Appropriations-2Yr'!D54+'Fed Contracts Grnts-2Yr'!D54+'Other Contracts Grnts-2Yr'!D54+'Investment Income-2Yr'!D54+'All Other E&amp;G-2Yr'!D54</f>
        <v>0</v>
      </c>
      <c r="E54" s="83">
        <f>+'Tuition-2Yr'!E54+'State Appropriations-2Yr'!E54+'Local Appropriations-2Yr'!E54+'Fed Contracts Grnts-2Yr'!E54+'Other Contracts Grnts-2Yr'!E54+'Investment Income-2Yr'!E54+'All Other E&amp;G-2Yr'!E54</f>
        <v>0</v>
      </c>
      <c r="F54" s="83">
        <f>+'Tuition-2Yr'!F54+'State Appropriations-2Yr'!F54+'Local Appropriations-2Yr'!F54+'Fed Contracts Grnts-2Yr'!F54+'Other Contracts Grnts-2Yr'!F54+'Investment Income-2Yr'!F54+'All Other E&amp;G-2Yr'!F54</f>
        <v>0</v>
      </c>
      <c r="G54" s="83">
        <f>+'Tuition-2Yr'!G54+'State Appropriations-2Yr'!G54+'Local Appropriations-2Yr'!G54+'Fed Contracts Grnts-2Yr'!G54+'Other Contracts Grnts-2Yr'!G54+'Investment Income-2Yr'!G54+'All Other E&amp;G-2Yr'!G54</f>
        <v>0</v>
      </c>
      <c r="H54" s="83">
        <f>+'Tuition-2Yr'!H54+'State Appropriations-2Yr'!H54+'Local Appropriations-2Yr'!H54+'Fed Contracts Grnts-2Yr'!H54+'Other Contracts Grnts-2Yr'!H54+'Investment Income-2Yr'!H54+'All Other E&amp;G-2Yr'!H54</f>
        <v>0</v>
      </c>
      <c r="I54" s="83">
        <f>+'Tuition-2Yr'!I54+'State Appropriations-2Yr'!I54+'Local Appropriations-2Yr'!I54+'Fed Contracts Grnts-2Yr'!I54+'Other Contracts Grnts-2Yr'!I54+'Investment Income-2Yr'!I54+'All Other E&amp;G-2Yr'!I54</f>
        <v>0</v>
      </c>
      <c r="J54" s="83">
        <f>+'Tuition-2Yr'!J54+'State Appropriations-2Yr'!J54+'Local Appropriations-2Yr'!J54+'Fed Contracts Grnts-2Yr'!J54+'Other Contracts Grnts-2Yr'!J54+'Investment Income-2Yr'!J54+'All Other E&amp;G-2Yr'!J54</f>
        <v>129748.56000000001</v>
      </c>
      <c r="K54" s="83">
        <f>+'Tuition-2Yr'!K54+'State Appropriations-2Yr'!K54+'Local Appropriations-2Yr'!K54+'Fed Contracts Grnts-2Yr'!K54+'Other Contracts Grnts-2Yr'!K54+'Investment Income-2Yr'!K54+'All Other E&amp;G-2Yr'!K54</f>
        <v>0</v>
      </c>
      <c r="L54" s="83">
        <f>+'Tuition-2Yr'!L54+'State Appropriations-2Yr'!L54+'Local Appropriations-2Yr'!L54+'Fed Contracts Grnts-2Yr'!L54+'Other Contracts Grnts-2Yr'!L54+'Investment Income-2Yr'!L54+'All Other E&amp;G-2Yr'!L54</f>
        <v>0</v>
      </c>
      <c r="M54" s="83">
        <f>+'Tuition-2Yr'!M54+'State Appropriations-2Yr'!M54+'Local Appropriations-2Yr'!M54+'Fed Contracts Grnts-2Yr'!M54+'Other Contracts Grnts-2Yr'!M54+'Investment Income-2Yr'!M54+'All Other E&amp;G-2Yr'!M54</f>
        <v>151822.14600000001</v>
      </c>
      <c r="N54" s="83">
        <f>+'Tuition-2Yr'!N54+'State Appropriations-2Yr'!N54+'Local Appropriations-2Yr'!N54+'Fed Contracts Grnts-2Yr'!N54+'Other Contracts Grnts-2Yr'!N54+'Investment Income-2Yr'!N54+'All Other E&amp;G-2Yr'!N54</f>
        <v>0</v>
      </c>
      <c r="O54" s="83">
        <f>+'Tuition-2Yr'!O54+'State Appropriations-2Yr'!O54+'Local Appropriations-2Yr'!O54+'Fed Contracts Grnts-2Yr'!O54+'Other Contracts Grnts-2Yr'!O54+'Investment Income-2Yr'!O54+'All Other E&amp;G-2Yr'!O54</f>
        <v>207197.01521000001</v>
      </c>
      <c r="P54" s="83">
        <f>+'Tuition-2Yr'!P54+'State Appropriations-2Yr'!P54+'Local Appropriations-2Yr'!P54+'Fed Contracts Grnts-2Yr'!P54+'Other Contracts Grnts-2Yr'!P54+'Investment Income-2Yr'!P54+'All Other E&amp;G-2Yr'!P54</f>
        <v>0</v>
      </c>
      <c r="Q54" s="83">
        <f>+'Tuition-2Yr'!Q54+'State Appropriations-2Yr'!Q54+'Local Appropriations-2Yr'!Q54+'Fed Contracts Grnts-2Yr'!Q54+'Other Contracts Grnts-2Yr'!Q54+'Investment Income-2Yr'!Q54+'All Other E&amp;G-2Yr'!Q54</f>
        <v>0</v>
      </c>
      <c r="R54" s="83">
        <f>+'Tuition-2Yr'!R54+'State Appropriations-2Yr'!R54+'Local Appropriations-2Yr'!R54+'Fed Contracts Grnts-2Yr'!R54+'Other Contracts Grnts-2Yr'!R54+'Investment Income-2Yr'!R54+'All Other E&amp;G-2Yr'!R54</f>
        <v>229966.80300000001</v>
      </c>
      <c r="S54" s="83">
        <f>+'Tuition-2Yr'!S54+'State Appropriations-2Yr'!S54+'Local Appropriations-2Yr'!S54+'Fed Contracts Grnts-2Yr'!S54+'Other Contracts Grnts-2Yr'!S54+'Investment Income-2Yr'!S54+'All Other E&amp;G-2Yr'!S54</f>
        <v>244351.212</v>
      </c>
      <c r="T54" s="83">
        <f>+'Tuition-2Yr'!T54+'State Appropriations-2Yr'!T54+'Local Appropriations-2Yr'!T54+'Fed Contracts Grnts-2Yr'!T54+'Other Contracts Grnts-2Yr'!T54+'Investment Income-2Yr'!T54+'All Other E&amp;G-2Yr'!T54</f>
        <v>303874.04400000005</v>
      </c>
      <c r="U54" s="83">
        <f>+'Tuition-2Yr'!U54+'State Appropriations-2Yr'!U54+'Local Appropriations-2Yr'!U54+'Fed Contracts Grnts-2Yr'!U54+'Other Contracts Grnts-2Yr'!U54+'Investment Income-2Yr'!U54+'All Other E&amp;G-2Yr'!U54</f>
        <v>275121.23699999996</v>
      </c>
      <c r="V54" s="83">
        <f>+'Tuition-2Yr'!V54+'State Appropriations-2Yr'!V54+'Local Appropriations-2Yr'!V54+'Fed Contracts Grnts-2Yr'!V54+'Other Contracts Grnts-2Yr'!V54+'Investment Income-2Yr'!V54+'All Other E&amp;G-2Yr'!V54</f>
        <v>292922.94199999998</v>
      </c>
      <c r="W54" s="83">
        <f>+'Tuition-2Yr'!W54+'State Appropriations-2Yr'!W54+'Local Appropriations-2Yr'!W54+'Fed Contracts Grnts-2Yr'!W54+'Other Contracts Grnts-2Yr'!W54+'Investment Income-2Yr'!W54+'All Other E&amp;G-2Yr'!W54</f>
        <v>326359.80999999994</v>
      </c>
      <c r="X54" s="83">
        <f>+'Tuition-2Yr'!X54+'State Appropriations-2Yr'!X54+'Local Appropriations-2Yr'!X54+'Fed Contracts Grnts-2Yr'!X54+'Other Contracts Grnts-2Yr'!X54+'Investment Income-2Yr'!X54+'All Other E&amp;G-2Yr'!X54</f>
        <v>319897.09999999998</v>
      </c>
      <c r="Y54" s="83">
        <f>+'Tuition-2Yr'!Y54+'State Appropriations-2Yr'!Y54+'Local Appropriations-2Yr'!Y54+'Fed Contracts Grnts-2Yr'!Y54+'Other Contracts Grnts-2Yr'!Y54+'Investment Income-2Yr'!Y54+'All Other E&amp;G-2Yr'!Y54</f>
        <v>351406.61100000003</v>
      </c>
      <c r="Z54" s="83">
        <f>+'Tuition-2Yr'!Z54+'State Appropriations-2Yr'!Z54+'Local Appropriations-2Yr'!Z54+'Fed Contracts Grnts-2Yr'!Z54+'Other Contracts Grnts-2Yr'!Z54+'Investment Income-2Yr'!Z54+'All Other E&amp;G-2Yr'!Z54</f>
        <v>375749.38199999993</v>
      </c>
      <c r="AA54" s="83">
        <f>+'Tuition-2Yr'!AA54+'State Appropriations-2Yr'!AA54+'Local Appropriations-2Yr'!AA54+'Fed Contracts Grnts-2Yr'!AA54+'Other Contracts Grnts-2Yr'!AA54+'Investment Income-2Yr'!AA54+'All Other E&amp;G-2Yr'!AA54</f>
        <v>438847.38999999996</v>
      </c>
      <c r="AB54" s="83">
        <f>+'Tuition-2Yr'!AB54+'State Appropriations-2Yr'!AB54+'Local Appropriations-2Yr'!AB54+'Fed Contracts Grnts-2Yr'!AB54+'Other Contracts Grnts-2Yr'!AB54+'Investment Income-2Yr'!AB54+'All Other E&amp;G-2Yr'!AB54</f>
        <v>480979.38199999998</v>
      </c>
      <c r="AC54" s="83">
        <f>+'Tuition-2Yr'!AC54+'State Appropriations-2Yr'!AC54+'Local Appropriations-2Yr'!AC54+'Fed Contracts Grnts-2Yr'!AC54+'Other Contracts Grnts-2Yr'!AC54+'Investment Income-2Yr'!AC54+'All Other E&amp;G-2Yr'!AC54</f>
        <v>508383</v>
      </c>
      <c r="AD54" s="83">
        <f>+'Tuition-2Yr'!AD54+'State Appropriations-2Yr'!AD54+'Local Appropriations-2Yr'!AD54+'Fed Contracts Grnts-2Yr'!AD54+'Other Contracts Grnts-2Yr'!AD54+'Investment Income-2Yr'!AD54+'All Other E&amp;G-2Yr'!AD54</f>
        <v>493797.37899999996</v>
      </c>
      <c r="AE54" s="83">
        <f>+'Tuition-2Yr'!AE54+'State Appropriations-2Yr'!AE54+'Local Appropriations-2Yr'!AE54+'Fed Contracts Grnts-2Yr'!AE54+'Other Contracts Grnts-2Yr'!AE54+'Investment Income-2Yr'!AE54+'All Other E&amp;G-2Yr'!AE54</f>
        <v>520755.34599999996</v>
      </c>
      <c r="AF54" s="83">
        <f>+'Tuition-2Yr'!AF54+'State Appropriations-2Yr'!AF54+'Local Appropriations-2Yr'!AF54+'Fed Contracts Grnts-2Yr'!AF54+'Other Contracts Grnts-2Yr'!AF54+'Investment Income-2Yr'!AF54+'All Other E&amp;G-2Yr'!AF54</f>
        <v>535661.86700000009</v>
      </c>
      <c r="AG54" s="83">
        <f>+'Tuition-2Yr'!AG54+'State Appropriations-2Yr'!AG54+'Local Appropriations-2Yr'!AG54+'Fed Contracts Grnts-2Yr'!AG54+'Other Contracts Grnts-2Yr'!AG54+'Investment Income-2Yr'!AG54+'All Other E&amp;G-2Yr'!AG54</f>
        <v>560042.73600000003</v>
      </c>
      <c r="AH54" s="83">
        <f>+'Tuition-2Yr'!AH54+'State Appropriations-2Yr'!AH54+'Local Appropriations-2Yr'!AH54+'Fed Contracts Grnts-2Yr'!AH54+'Other Contracts Grnts-2Yr'!AH54+'Investment Income-2Yr'!AH54+'All Other E&amp;G-2Yr'!AH54</f>
        <v>573127.79</v>
      </c>
      <c r="AI54" s="83">
        <f>+'Tuition-2Yr'!AI54+'State Appropriations-2Yr'!AI54+'Local Appropriations-2Yr'!AI54+'Fed Contracts Grnts-2Yr'!AI54+'Other Contracts Grnts-2Yr'!AI54+'Investment Income-2Yr'!AI54+'All Other E&amp;G-2Yr'!AI54</f>
        <v>562314.16199999989</v>
      </c>
      <c r="AJ54" s="83">
        <f>+'Tuition-2Yr'!AJ54+'State Appropriations-2Yr'!AJ54+'Local Appropriations-2Yr'!AJ54+'Fed Contracts Grnts-2Yr'!AJ54+'Other Contracts Grnts-2Yr'!AJ54+'Investment Income-2Yr'!AJ54+'All Other E&amp;G-2Yr'!AJ54</f>
        <v>0</v>
      </c>
      <c r="AK54" s="83">
        <f>+'Tuition-2Yr'!AK54+'State Appropriations-2Yr'!AK54+'Local Appropriations-2Yr'!AK54+'Fed Contracts Grnts-2Yr'!AK54+'Other Contracts Grnts-2Yr'!AK54+'Investment Income-2Yr'!AK54+'All Other E&amp;G-2Yr'!AK54</f>
        <v>587610.27099999995</v>
      </c>
      <c r="AL54" s="83">
        <f>+'Tuition-2Yr'!AL54+'State Appropriations-2Yr'!AL54+'Local Appropriations-2Yr'!AL54+'Fed Contracts Grnts-2Yr'!AL54+'Other Contracts Grnts-2Yr'!AL54+'Investment Income-2Yr'!AL54+'All Other E&amp;G-2Yr'!AL54</f>
        <v>378602.54200000002</v>
      </c>
    </row>
    <row r="55" spans="1:38" ht="12.75" customHeight="1">
      <c r="A55" s="1" t="s">
        <v>67</v>
      </c>
      <c r="B55" s="83">
        <f>+'Tuition-2Yr'!B55+'State Appropriations-2Yr'!B55+'Local Appropriations-2Yr'!B55+'Fed Contracts Grnts-2Yr'!B55+'Other Contracts Grnts-2Yr'!B55+'Investment Income-2Yr'!B55+'All Other E&amp;G-2Yr'!B55</f>
        <v>0</v>
      </c>
      <c r="C55" s="83">
        <f>+'Tuition-2Yr'!C55+'State Appropriations-2Yr'!C55+'Local Appropriations-2Yr'!C55+'Fed Contracts Grnts-2Yr'!C55+'Other Contracts Grnts-2Yr'!C55+'Investment Income-2Yr'!C55+'All Other E&amp;G-2Yr'!C55</f>
        <v>0</v>
      </c>
      <c r="D55" s="83">
        <f>+'Tuition-2Yr'!D55+'State Appropriations-2Yr'!D55+'Local Appropriations-2Yr'!D55+'Fed Contracts Grnts-2Yr'!D55+'Other Contracts Grnts-2Yr'!D55+'Investment Income-2Yr'!D55+'All Other E&amp;G-2Yr'!D55</f>
        <v>0</v>
      </c>
      <c r="E55" s="83">
        <f>+'Tuition-2Yr'!E55+'State Appropriations-2Yr'!E55+'Local Appropriations-2Yr'!E55+'Fed Contracts Grnts-2Yr'!E55+'Other Contracts Grnts-2Yr'!E55+'Investment Income-2Yr'!E55+'All Other E&amp;G-2Yr'!E55</f>
        <v>0</v>
      </c>
      <c r="F55" s="83">
        <f>+'Tuition-2Yr'!F55+'State Appropriations-2Yr'!F55+'Local Appropriations-2Yr'!F55+'Fed Contracts Grnts-2Yr'!F55+'Other Contracts Grnts-2Yr'!F55+'Investment Income-2Yr'!F55+'All Other E&amp;G-2Yr'!F55</f>
        <v>0</v>
      </c>
      <c r="G55" s="83">
        <f>+'Tuition-2Yr'!G55+'State Appropriations-2Yr'!G55+'Local Appropriations-2Yr'!G55+'Fed Contracts Grnts-2Yr'!G55+'Other Contracts Grnts-2Yr'!G55+'Investment Income-2Yr'!G55+'All Other E&amp;G-2Yr'!G55</f>
        <v>0</v>
      </c>
      <c r="H55" s="83">
        <f>+'Tuition-2Yr'!H55+'State Appropriations-2Yr'!H55+'Local Appropriations-2Yr'!H55+'Fed Contracts Grnts-2Yr'!H55+'Other Contracts Grnts-2Yr'!H55+'Investment Income-2Yr'!H55+'All Other E&amp;G-2Yr'!H55</f>
        <v>0</v>
      </c>
      <c r="I55" s="83">
        <f>+'Tuition-2Yr'!I55+'State Appropriations-2Yr'!I55+'Local Appropriations-2Yr'!I55+'Fed Contracts Grnts-2Yr'!I55+'Other Contracts Grnts-2Yr'!I55+'Investment Income-2Yr'!I55+'All Other E&amp;G-2Yr'!I55</f>
        <v>0</v>
      </c>
      <c r="J55" s="83">
        <f>+'Tuition-2Yr'!J55+'State Appropriations-2Yr'!J55+'Local Appropriations-2Yr'!J55+'Fed Contracts Grnts-2Yr'!J55+'Other Contracts Grnts-2Yr'!J55+'Investment Income-2Yr'!J55+'All Other E&amp;G-2Yr'!J55</f>
        <v>38745.027999999998</v>
      </c>
      <c r="K55" s="83">
        <f>+'Tuition-2Yr'!K55+'State Appropriations-2Yr'!K55+'Local Appropriations-2Yr'!K55+'Fed Contracts Grnts-2Yr'!K55+'Other Contracts Grnts-2Yr'!K55+'Investment Income-2Yr'!K55+'All Other E&amp;G-2Yr'!K55</f>
        <v>0</v>
      </c>
      <c r="L55" s="83">
        <f>+'Tuition-2Yr'!L55+'State Appropriations-2Yr'!L55+'Local Appropriations-2Yr'!L55+'Fed Contracts Grnts-2Yr'!L55+'Other Contracts Grnts-2Yr'!L55+'Investment Income-2Yr'!L55+'All Other E&amp;G-2Yr'!L55</f>
        <v>0</v>
      </c>
      <c r="M55" s="83">
        <f>+'Tuition-2Yr'!M55+'State Appropriations-2Yr'!M55+'Local Appropriations-2Yr'!M55+'Fed Contracts Grnts-2Yr'!M55+'Other Contracts Grnts-2Yr'!M55+'Investment Income-2Yr'!M55+'All Other E&amp;G-2Yr'!M55</f>
        <v>43591.615000000005</v>
      </c>
      <c r="N55" s="83">
        <f>+'Tuition-2Yr'!N55+'State Appropriations-2Yr'!N55+'Local Appropriations-2Yr'!N55+'Fed Contracts Grnts-2Yr'!N55+'Other Contracts Grnts-2Yr'!N55+'Investment Income-2Yr'!N55+'All Other E&amp;G-2Yr'!N55</f>
        <v>0</v>
      </c>
      <c r="O55" s="83">
        <f>+'Tuition-2Yr'!O55+'State Appropriations-2Yr'!O55+'Local Appropriations-2Yr'!O55+'Fed Contracts Grnts-2Yr'!O55+'Other Contracts Grnts-2Yr'!O55+'Investment Income-2Yr'!O55+'All Other E&amp;G-2Yr'!O55</f>
        <v>48899.395000000004</v>
      </c>
      <c r="P55" s="83">
        <f>+'Tuition-2Yr'!P55+'State Appropriations-2Yr'!P55+'Local Appropriations-2Yr'!P55+'Fed Contracts Grnts-2Yr'!P55+'Other Contracts Grnts-2Yr'!P55+'Investment Income-2Yr'!P55+'All Other E&amp;G-2Yr'!P55</f>
        <v>0</v>
      </c>
      <c r="Q55" s="83">
        <f>+'Tuition-2Yr'!Q55+'State Appropriations-2Yr'!Q55+'Local Appropriations-2Yr'!Q55+'Fed Contracts Grnts-2Yr'!Q55+'Other Contracts Grnts-2Yr'!Q55+'Investment Income-2Yr'!Q55+'All Other E&amp;G-2Yr'!Q55</f>
        <v>0</v>
      </c>
      <c r="R55" s="83">
        <f>+'Tuition-2Yr'!R55+'State Appropriations-2Yr'!R55+'Local Appropriations-2Yr'!R55+'Fed Contracts Grnts-2Yr'!R55+'Other Contracts Grnts-2Yr'!R55+'Investment Income-2Yr'!R55+'All Other E&amp;G-2Yr'!R55</f>
        <v>60051.006999999991</v>
      </c>
      <c r="S55" s="83">
        <f>+'Tuition-2Yr'!S55+'State Appropriations-2Yr'!S55+'Local Appropriations-2Yr'!S55+'Fed Contracts Grnts-2Yr'!S55+'Other Contracts Grnts-2Yr'!S55+'Investment Income-2Yr'!S55+'All Other E&amp;G-2Yr'!S55</f>
        <v>65422.707000000002</v>
      </c>
      <c r="T55" s="83">
        <f>+'Tuition-2Yr'!T55+'State Appropriations-2Yr'!T55+'Local Appropriations-2Yr'!T55+'Fed Contracts Grnts-2Yr'!T55+'Other Contracts Grnts-2Yr'!T55+'Investment Income-2Yr'!T55+'All Other E&amp;G-2Yr'!T55</f>
        <v>85124.067999999999</v>
      </c>
      <c r="U55" s="83">
        <f>+'Tuition-2Yr'!U55+'State Appropriations-2Yr'!U55+'Local Appropriations-2Yr'!U55+'Fed Contracts Grnts-2Yr'!U55+'Other Contracts Grnts-2Yr'!U55+'Investment Income-2Yr'!U55+'All Other E&amp;G-2Yr'!U55</f>
        <v>76192.025000000009</v>
      </c>
      <c r="V55" s="83">
        <f>+'Tuition-2Yr'!V55+'State Appropriations-2Yr'!V55+'Local Appropriations-2Yr'!V55+'Fed Contracts Grnts-2Yr'!V55+'Other Contracts Grnts-2Yr'!V55+'Investment Income-2Yr'!V55+'All Other E&amp;G-2Yr'!V55</f>
        <v>83019.364999999991</v>
      </c>
      <c r="W55" s="83">
        <f>+'Tuition-2Yr'!W55+'State Appropriations-2Yr'!W55+'Local Appropriations-2Yr'!W55+'Fed Contracts Grnts-2Yr'!W55+'Other Contracts Grnts-2Yr'!W55+'Investment Income-2Yr'!W55+'All Other E&amp;G-2Yr'!W55</f>
        <v>96398.494000000006</v>
      </c>
      <c r="X55" s="83">
        <f>+'Tuition-2Yr'!X55+'State Appropriations-2Yr'!X55+'Local Appropriations-2Yr'!X55+'Fed Contracts Grnts-2Yr'!X55+'Other Contracts Grnts-2Yr'!X55+'Investment Income-2Yr'!X55+'All Other E&amp;G-2Yr'!X55</f>
        <v>87569.334000000017</v>
      </c>
      <c r="Y55" s="83">
        <f>+'Tuition-2Yr'!Y55+'State Appropriations-2Yr'!Y55+'Local Appropriations-2Yr'!Y55+'Fed Contracts Grnts-2Yr'!Y55+'Other Contracts Grnts-2Yr'!Y55+'Investment Income-2Yr'!Y55+'All Other E&amp;G-2Yr'!Y55</f>
        <v>89918.274000000005</v>
      </c>
      <c r="Z55" s="83">
        <f>+'Tuition-2Yr'!Z55+'State Appropriations-2Yr'!Z55+'Local Appropriations-2Yr'!Z55+'Fed Contracts Grnts-2Yr'!Z55+'Other Contracts Grnts-2Yr'!Z55+'Investment Income-2Yr'!Z55+'All Other E&amp;G-2Yr'!Z55</f>
        <v>99607.180999999997</v>
      </c>
      <c r="AA55" s="83">
        <f>+'Tuition-2Yr'!AA55+'State Appropriations-2Yr'!AA55+'Local Appropriations-2Yr'!AA55+'Fed Contracts Grnts-2Yr'!AA55+'Other Contracts Grnts-2Yr'!AA55+'Investment Income-2Yr'!AA55+'All Other E&amp;G-2Yr'!AA55</f>
        <v>115748.45299999999</v>
      </c>
      <c r="AB55" s="83">
        <f>+'Tuition-2Yr'!AB55+'State Appropriations-2Yr'!AB55+'Local Appropriations-2Yr'!AB55+'Fed Contracts Grnts-2Yr'!AB55+'Other Contracts Grnts-2Yr'!AB55+'Investment Income-2Yr'!AB55+'All Other E&amp;G-2Yr'!AB55</f>
        <v>136506.96299999996</v>
      </c>
      <c r="AC55" s="83">
        <f>+'Tuition-2Yr'!AC55+'State Appropriations-2Yr'!AC55+'Local Appropriations-2Yr'!AC55+'Fed Contracts Grnts-2Yr'!AC55+'Other Contracts Grnts-2Yr'!AC55+'Investment Income-2Yr'!AC55+'All Other E&amp;G-2Yr'!AC55</f>
        <v>147637</v>
      </c>
      <c r="AD55" s="83">
        <f>+'Tuition-2Yr'!AD55+'State Appropriations-2Yr'!AD55+'Local Appropriations-2Yr'!AD55+'Fed Contracts Grnts-2Yr'!AD55+'Other Contracts Grnts-2Yr'!AD55+'Investment Income-2Yr'!AD55+'All Other E&amp;G-2Yr'!AD55</f>
        <v>158900.723</v>
      </c>
      <c r="AE55" s="83">
        <f>+'Tuition-2Yr'!AE55+'State Appropriations-2Yr'!AE55+'Local Appropriations-2Yr'!AE55+'Fed Contracts Grnts-2Yr'!AE55+'Other Contracts Grnts-2Yr'!AE55+'Investment Income-2Yr'!AE55+'All Other E&amp;G-2Yr'!AE55</f>
        <v>163810.80299999999</v>
      </c>
      <c r="AF55" s="83">
        <f>+'Tuition-2Yr'!AF55+'State Appropriations-2Yr'!AF55+'Local Appropriations-2Yr'!AF55+'Fed Contracts Grnts-2Yr'!AF55+'Other Contracts Grnts-2Yr'!AF55+'Investment Income-2Yr'!AF55+'All Other E&amp;G-2Yr'!AF55</f>
        <v>156678.53900000002</v>
      </c>
      <c r="AG55" s="83">
        <f>+'Tuition-2Yr'!AG55+'State Appropriations-2Yr'!AG55+'Local Appropriations-2Yr'!AG55+'Fed Contracts Grnts-2Yr'!AG55+'Other Contracts Grnts-2Yr'!AG55+'Investment Income-2Yr'!AG55+'All Other E&amp;G-2Yr'!AG55</f>
        <v>160253.83899999998</v>
      </c>
      <c r="AH55" s="83">
        <f>+'Tuition-2Yr'!AH55+'State Appropriations-2Yr'!AH55+'Local Appropriations-2Yr'!AH55+'Fed Contracts Grnts-2Yr'!AH55+'Other Contracts Grnts-2Yr'!AH55+'Investment Income-2Yr'!AH55+'All Other E&amp;G-2Yr'!AH55</f>
        <v>148648.61300000001</v>
      </c>
      <c r="AI55" s="83">
        <f>+'Tuition-2Yr'!AI55+'State Appropriations-2Yr'!AI55+'Local Appropriations-2Yr'!AI55+'Fed Contracts Grnts-2Yr'!AI55+'Other Contracts Grnts-2Yr'!AI55+'Investment Income-2Yr'!AI55+'All Other E&amp;G-2Yr'!AI55</f>
        <v>151288.565</v>
      </c>
      <c r="AJ55" s="83">
        <f>+'Tuition-2Yr'!AJ55+'State Appropriations-2Yr'!AJ55+'Local Appropriations-2Yr'!AJ55+'Fed Contracts Grnts-2Yr'!AJ55+'Other Contracts Grnts-2Yr'!AJ55+'Investment Income-2Yr'!AJ55+'All Other E&amp;G-2Yr'!AJ55</f>
        <v>0</v>
      </c>
      <c r="AK55" s="83">
        <f>+'Tuition-2Yr'!AK55+'State Appropriations-2Yr'!AK55+'Local Appropriations-2Yr'!AK55+'Fed Contracts Grnts-2Yr'!AK55+'Other Contracts Grnts-2Yr'!AK55+'Investment Income-2Yr'!AK55+'All Other E&amp;G-2Yr'!AK55</f>
        <v>168926.85699999999</v>
      </c>
      <c r="AL55" s="83">
        <f>+'Tuition-2Yr'!AL55+'State Appropriations-2Yr'!AL55+'Local Appropriations-2Yr'!AL55+'Fed Contracts Grnts-2Yr'!AL55+'Other Contracts Grnts-2Yr'!AL55+'Investment Income-2Yr'!AL55+'All Other E&amp;G-2Yr'!AL55</f>
        <v>150236.57499999998</v>
      </c>
    </row>
    <row r="56" spans="1:38" ht="12.75" customHeight="1">
      <c r="A56" s="1" t="s">
        <v>68</v>
      </c>
      <c r="B56" s="83">
        <f>+'Tuition-2Yr'!B56+'State Appropriations-2Yr'!B56+'Local Appropriations-2Yr'!B56+'Fed Contracts Grnts-2Yr'!B56+'Other Contracts Grnts-2Yr'!B56+'Investment Income-2Yr'!B56+'All Other E&amp;G-2Yr'!B56</f>
        <v>0</v>
      </c>
      <c r="C56" s="83">
        <f>+'Tuition-2Yr'!C56+'State Appropriations-2Yr'!C56+'Local Appropriations-2Yr'!C56+'Fed Contracts Grnts-2Yr'!C56+'Other Contracts Grnts-2Yr'!C56+'Investment Income-2Yr'!C56+'All Other E&amp;G-2Yr'!C56</f>
        <v>0</v>
      </c>
      <c r="D56" s="83">
        <f>+'Tuition-2Yr'!D56+'State Appropriations-2Yr'!D56+'Local Appropriations-2Yr'!D56+'Fed Contracts Grnts-2Yr'!D56+'Other Contracts Grnts-2Yr'!D56+'Investment Income-2Yr'!D56+'All Other E&amp;G-2Yr'!D56</f>
        <v>0</v>
      </c>
      <c r="E56" s="83">
        <f>+'Tuition-2Yr'!E56+'State Appropriations-2Yr'!E56+'Local Appropriations-2Yr'!E56+'Fed Contracts Grnts-2Yr'!E56+'Other Contracts Grnts-2Yr'!E56+'Investment Income-2Yr'!E56+'All Other E&amp;G-2Yr'!E56</f>
        <v>0</v>
      </c>
      <c r="F56" s="83">
        <f>+'Tuition-2Yr'!F56+'State Appropriations-2Yr'!F56+'Local Appropriations-2Yr'!F56+'Fed Contracts Grnts-2Yr'!F56+'Other Contracts Grnts-2Yr'!F56+'Investment Income-2Yr'!F56+'All Other E&amp;G-2Yr'!F56</f>
        <v>0</v>
      </c>
      <c r="G56" s="83">
        <f>+'Tuition-2Yr'!G56+'State Appropriations-2Yr'!G56+'Local Appropriations-2Yr'!G56+'Fed Contracts Grnts-2Yr'!G56+'Other Contracts Grnts-2Yr'!G56+'Investment Income-2Yr'!G56+'All Other E&amp;G-2Yr'!G56</f>
        <v>0</v>
      </c>
      <c r="H56" s="83">
        <f>+'Tuition-2Yr'!H56+'State Appropriations-2Yr'!H56+'Local Appropriations-2Yr'!H56+'Fed Contracts Grnts-2Yr'!H56+'Other Contracts Grnts-2Yr'!H56+'Investment Income-2Yr'!H56+'All Other E&amp;G-2Yr'!H56</f>
        <v>0</v>
      </c>
      <c r="I56" s="83">
        <f>+'Tuition-2Yr'!I56+'State Appropriations-2Yr'!I56+'Local Appropriations-2Yr'!I56+'Fed Contracts Grnts-2Yr'!I56+'Other Contracts Grnts-2Yr'!I56+'Investment Income-2Yr'!I56+'All Other E&amp;G-2Yr'!I56</f>
        <v>0</v>
      </c>
      <c r="J56" s="83">
        <f>+'Tuition-2Yr'!J56+'State Appropriations-2Yr'!J56+'Local Appropriations-2Yr'!J56+'Fed Contracts Grnts-2Yr'!J56+'Other Contracts Grnts-2Yr'!J56+'Investment Income-2Yr'!J56+'All Other E&amp;G-2Yr'!J56</f>
        <v>258765.28</v>
      </c>
      <c r="K56" s="83">
        <f>+'Tuition-2Yr'!K56+'State Appropriations-2Yr'!K56+'Local Appropriations-2Yr'!K56+'Fed Contracts Grnts-2Yr'!K56+'Other Contracts Grnts-2Yr'!K56+'Investment Income-2Yr'!K56+'All Other E&amp;G-2Yr'!K56</f>
        <v>0</v>
      </c>
      <c r="L56" s="83">
        <f>+'Tuition-2Yr'!L56+'State Appropriations-2Yr'!L56+'Local Appropriations-2Yr'!L56+'Fed Contracts Grnts-2Yr'!L56+'Other Contracts Grnts-2Yr'!L56+'Investment Income-2Yr'!L56+'All Other E&amp;G-2Yr'!L56</f>
        <v>0</v>
      </c>
      <c r="M56" s="83">
        <f>+'Tuition-2Yr'!M56+'State Appropriations-2Yr'!M56+'Local Appropriations-2Yr'!M56+'Fed Contracts Grnts-2Yr'!M56+'Other Contracts Grnts-2Yr'!M56+'Investment Income-2Yr'!M56+'All Other E&amp;G-2Yr'!M56</f>
        <v>351889.31300000002</v>
      </c>
      <c r="N56" s="83">
        <f>+'Tuition-2Yr'!N56+'State Appropriations-2Yr'!N56+'Local Appropriations-2Yr'!N56+'Fed Contracts Grnts-2Yr'!N56+'Other Contracts Grnts-2Yr'!N56+'Investment Income-2Yr'!N56+'All Other E&amp;G-2Yr'!N56</f>
        <v>0</v>
      </c>
      <c r="O56" s="83">
        <f>+'Tuition-2Yr'!O56+'State Appropriations-2Yr'!O56+'Local Appropriations-2Yr'!O56+'Fed Contracts Grnts-2Yr'!O56+'Other Contracts Grnts-2Yr'!O56+'Investment Income-2Yr'!O56+'All Other E&amp;G-2Yr'!O56</f>
        <v>396819.44100000005</v>
      </c>
      <c r="P56" s="83">
        <f>+'Tuition-2Yr'!P56+'State Appropriations-2Yr'!P56+'Local Appropriations-2Yr'!P56+'Fed Contracts Grnts-2Yr'!P56+'Other Contracts Grnts-2Yr'!P56+'Investment Income-2Yr'!P56+'All Other E&amp;G-2Yr'!P56</f>
        <v>0</v>
      </c>
      <c r="Q56" s="83">
        <f>+'Tuition-2Yr'!Q56+'State Appropriations-2Yr'!Q56+'Local Appropriations-2Yr'!Q56+'Fed Contracts Grnts-2Yr'!Q56+'Other Contracts Grnts-2Yr'!Q56+'Investment Income-2Yr'!Q56+'All Other E&amp;G-2Yr'!Q56</f>
        <v>0</v>
      </c>
      <c r="R56" s="83">
        <f>+'Tuition-2Yr'!R56+'State Appropriations-2Yr'!R56+'Local Appropriations-2Yr'!R56+'Fed Contracts Grnts-2Yr'!R56+'Other Contracts Grnts-2Yr'!R56+'Investment Income-2Yr'!R56+'All Other E&amp;G-2Yr'!R56</f>
        <v>487176.34099999996</v>
      </c>
      <c r="S56" s="83">
        <f>+'Tuition-2Yr'!S56+'State Appropriations-2Yr'!S56+'Local Appropriations-2Yr'!S56+'Fed Contracts Grnts-2Yr'!S56+'Other Contracts Grnts-2Yr'!S56+'Investment Income-2Yr'!S56+'All Other E&amp;G-2Yr'!S56</f>
        <v>539753.67600000009</v>
      </c>
      <c r="T56" s="83">
        <f>+'Tuition-2Yr'!T56+'State Appropriations-2Yr'!T56+'Local Appropriations-2Yr'!T56+'Fed Contracts Grnts-2Yr'!T56+'Other Contracts Grnts-2Yr'!T56+'Investment Income-2Yr'!T56+'All Other E&amp;G-2Yr'!T56</f>
        <v>549726.59</v>
      </c>
      <c r="U56" s="83">
        <f>+'Tuition-2Yr'!U56+'State Appropriations-2Yr'!U56+'Local Appropriations-2Yr'!U56+'Fed Contracts Grnts-2Yr'!U56+'Other Contracts Grnts-2Yr'!U56+'Investment Income-2Yr'!U56+'All Other E&amp;G-2Yr'!U56</f>
        <v>521957.47899999999</v>
      </c>
      <c r="V56" s="83">
        <f>+'Tuition-2Yr'!V56+'State Appropriations-2Yr'!V56+'Local Appropriations-2Yr'!V56+'Fed Contracts Grnts-2Yr'!V56+'Other Contracts Grnts-2Yr'!V56+'Investment Income-2Yr'!V56+'All Other E&amp;G-2Yr'!V56</f>
        <v>516543.05799999996</v>
      </c>
      <c r="W56" s="83">
        <f>+'Tuition-2Yr'!W56+'State Appropriations-2Yr'!W56+'Local Appropriations-2Yr'!W56+'Fed Contracts Grnts-2Yr'!W56+'Other Contracts Grnts-2Yr'!W56+'Investment Income-2Yr'!W56+'All Other E&amp;G-2Yr'!W56</f>
        <v>597133.326</v>
      </c>
      <c r="X56" s="83">
        <f>+'Tuition-2Yr'!X56+'State Appropriations-2Yr'!X56+'Local Appropriations-2Yr'!X56+'Fed Contracts Grnts-2Yr'!X56+'Other Contracts Grnts-2Yr'!X56+'Investment Income-2Yr'!X56+'All Other E&amp;G-2Yr'!X56</f>
        <v>584324.60200000007</v>
      </c>
      <c r="Y56" s="83">
        <f>+'Tuition-2Yr'!Y56+'State Appropriations-2Yr'!Y56+'Local Appropriations-2Yr'!Y56+'Fed Contracts Grnts-2Yr'!Y56+'Other Contracts Grnts-2Yr'!Y56+'Investment Income-2Yr'!Y56+'All Other E&amp;G-2Yr'!Y56</f>
        <v>622943.14600000007</v>
      </c>
      <c r="Z56" s="83">
        <f>+'Tuition-2Yr'!Z56+'State Appropriations-2Yr'!Z56+'Local Appropriations-2Yr'!Z56+'Fed Contracts Grnts-2Yr'!Z56+'Other Contracts Grnts-2Yr'!Z56+'Investment Income-2Yr'!Z56+'All Other E&amp;G-2Yr'!Z56</f>
        <v>667297.33899999992</v>
      </c>
      <c r="AA56" s="83">
        <f>+'Tuition-2Yr'!AA56+'State Appropriations-2Yr'!AA56+'Local Appropriations-2Yr'!AA56+'Fed Contracts Grnts-2Yr'!AA56+'Other Contracts Grnts-2Yr'!AA56+'Investment Income-2Yr'!AA56+'All Other E&amp;G-2Yr'!AA56</f>
        <v>740952.23399999994</v>
      </c>
      <c r="AB56" s="83">
        <f>+'Tuition-2Yr'!AB56+'State Appropriations-2Yr'!AB56+'Local Appropriations-2Yr'!AB56+'Fed Contracts Grnts-2Yr'!AB56+'Other Contracts Grnts-2Yr'!AB56+'Investment Income-2Yr'!AB56+'All Other E&amp;G-2Yr'!AB56</f>
        <v>859489.53</v>
      </c>
      <c r="AC56" s="83">
        <f>+'Tuition-2Yr'!AC56+'State Appropriations-2Yr'!AC56+'Local Appropriations-2Yr'!AC56+'Fed Contracts Grnts-2Yr'!AC56+'Other Contracts Grnts-2Yr'!AC56+'Investment Income-2Yr'!AC56+'All Other E&amp;G-2Yr'!AC56</f>
        <v>918155</v>
      </c>
      <c r="AD56" s="83">
        <f>+'Tuition-2Yr'!AD56+'State Appropriations-2Yr'!AD56+'Local Appropriations-2Yr'!AD56+'Fed Contracts Grnts-2Yr'!AD56+'Other Contracts Grnts-2Yr'!AD56+'Investment Income-2Yr'!AD56+'All Other E&amp;G-2Yr'!AD56</f>
        <v>934710.33699999994</v>
      </c>
      <c r="AE56" s="83">
        <f>+'Tuition-2Yr'!AE56+'State Appropriations-2Yr'!AE56+'Local Appropriations-2Yr'!AE56+'Fed Contracts Grnts-2Yr'!AE56+'Other Contracts Grnts-2Yr'!AE56+'Investment Income-2Yr'!AE56+'All Other E&amp;G-2Yr'!AE56</f>
        <v>948090.054</v>
      </c>
      <c r="AF56" s="83">
        <f>+'Tuition-2Yr'!AF56+'State Appropriations-2Yr'!AF56+'Local Appropriations-2Yr'!AF56+'Fed Contracts Grnts-2Yr'!AF56+'Other Contracts Grnts-2Yr'!AF56+'Investment Income-2Yr'!AF56+'All Other E&amp;G-2Yr'!AF56</f>
        <v>996598.68299999996</v>
      </c>
      <c r="AG56" s="83">
        <f>+'Tuition-2Yr'!AG56+'State Appropriations-2Yr'!AG56+'Local Appropriations-2Yr'!AG56+'Fed Contracts Grnts-2Yr'!AG56+'Other Contracts Grnts-2Yr'!AG56+'Investment Income-2Yr'!AG56+'All Other E&amp;G-2Yr'!AG56</f>
        <v>998995.74699999997</v>
      </c>
      <c r="AH56" s="83">
        <f>+'Tuition-2Yr'!AH56+'State Appropriations-2Yr'!AH56+'Local Appropriations-2Yr'!AH56+'Fed Contracts Grnts-2Yr'!AH56+'Other Contracts Grnts-2Yr'!AH56+'Investment Income-2Yr'!AH56+'All Other E&amp;G-2Yr'!AH56</f>
        <v>1009588.275</v>
      </c>
      <c r="AI56" s="83">
        <f>+'Tuition-2Yr'!AI56+'State Appropriations-2Yr'!AI56+'Local Appropriations-2Yr'!AI56+'Fed Contracts Grnts-2Yr'!AI56+'Other Contracts Grnts-2Yr'!AI56+'Investment Income-2Yr'!AI56+'All Other E&amp;G-2Yr'!AI56</f>
        <v>1029669.13</v>
      </c>
      <c r="AJ56" s="83">
        <f>+'Tuition-2Yr'!AJ56+'State Appropriations-2Yr'!AJ56+'Local Appropriations-2Yr'!AJ56+'Fed Contracts Grnts-2Yr'!AJ56+'Other Contracts Grnts-2Yr'!AJ56+'Investment Income-2Yr'!AJ56+'All Other E&amp;G-2Yr'!AJ56</f>
        <v>0</v>
      </c>
      <c r="AK56" s="83">
        <f>+'Tuition-2Yr'!AK56+'State Appropriations-2Yr'!AK56+'Local Appropriations-2Yr'!AK56+'Fed Contracts Grnts-2Yr'!AK56+'Other Contracts Grnts-2Yr'!AK56+'Investment Income-2Yr'!AK56+'All Other E&amp;G-2Yr'!AK56</f>
        <v>1082310.1499999999</v>
      </c>
      <c r="AL56" s="83">
        <f>+'Tuition-2Yr'!AL56+'State Appropriations-2Yr'!AL56+'Local Appropriations-2Yr'!AL56+'Fed Contracts Grnts-2Yr'!AL56+'Other Contracts Grnts-2Yr'!AL56+'Investment Income-2Yr'!AL56+'All Other E&amp;G-2Yr'!AL56</f>
        <v>840130.50000000012</v>
      </c>
    </row>
    <row r="57" spans="1:38" ht="12.75" customHeight="1">
      <c r="A57" s="1" t="s">
        <v>69</v>
      </c>
      <c r="B57" s="83">
        <f>+'Tuition-2Yr'!B57+'State Appropriations-2Yr'!B57+'Local Appropriations-2Yr'!B57+'Fed Contracts Grnts-2Yr'!B57+'Other Contracts Grnts-2Yr'!B57+'Investment Income-2Yr'!B57+'All Other E&amp;G-2Yr'!B57</f>
        <v>0</v>
      </c>
      <c r="C57" s="83">
        <f>+'Tuition-2Yr'!C57+'State Appropriations-2Yr'!C57+'Local Appropriations-2Yr'!C57+'Fed Contracts Grnts-2Yr'!C57+'Other Contracts Grnts-2Yr'!C57+'Investment Income-2Yr'!C57+'All Other E&amp;G-2Yr'!C57</f>
        <v>0</v>
      </c>
      <c r="D57" s="83">
        <f>+'Tuition-2Yr'!D57+'State Appropriations-2Yr'!D57+'Local Appropriations-2Yr'!D57+'Fed Contracts Grnts-2Yr'!D57+'Other Contracts Grnts-2Yr'!D57+'Investment Income-2Yr'!D57+'All Other E&amp;G-2Yr'!D57</f>
        <v>0</v>
      </c>
      <c r="E57" s="83">
        <f>+'Tuition-2Yr'!E57+'State Appropriations-2Yr'!E57+'Local Appropriations-2Yr'!E57+'Fed Contracts Grnts-2Yr'!E57+'Other Contracts Grnts-2Yr'!E57+'Investment Income-2Yr'!E57+'All Other E&amp;G-2Yr'!E57</f>
        <v>0</v>
      </c>
      <c r="F57" s="83">
        <f>+'Tuition-2Yr'!F57+'State Appropriations-2Yr'!F57+'Local Appropriations-2Yr'!F57+'Fed Contracts Grnts-2Yr'!F57+'Other Contracts Grnts-2Yr'!F57+'Investment Income-2Yr'!F57+'All Other E&amp;G-2Yr'!F57</f>
        <v>0</v>
      </c>
      <c r="G57" s="83">
        <f>+'Tuition-2Yr'!G57+'State Appropriations-2Yr'!G57+'Local Appropriations-2Yr'!G57+'Fed Contracts Grnts-2Yr'!G57+'Other Contracts Grnts-2Yr'!G57+'Investment Income-2Yr'!G57+'All Other E&amp;G-2Yr'!G57</f>
        <v>0</v>
      </c>
      <c r="H57" s="83">
        <f>+'Tuition-2Yr'!H57+'State Appropriations-2Yr'!H57+'Local Appropriations-2Yr'!H57+'Fed Contracts Grnts-2Yr'!H57+'Other Contracts Grnts-2Yr'!H57+'Investment Income-2Yr'!H57+'All Other E&amp;G-2Yr'!H57</f>
        <v>0</v>
      </c>
      <c r="I57" s="83">
        <f>+'Tuition-2Yr'!I57+'State Appropriations-2Yr'!I57+'Local Appropriations-2Yr'!I57+'Fed Contracts Grnts-2Yr'!I57+'Other Contracts Grnts-2Yr'!I57+'Investment Income-2Yr'!I57+'All Other E&amp;G-2Yr'!I57</f>
        <v>0</v>
      </c>
      <c r="J57" s="83">
        <f>+'Tuition-2Yr'!J57+'State Appropriations-2Yr'!J57+'Local Appropriations-2Yr'!J57+'Fed Contracts Grnts-2Yr'!J57+'Other Contracts Grnts-2Yr'!J57+'Investment Income-2Yr'!J57+'All Other E&amp;G-2Yr'!J57</f>
        <v>32847.193999999996</v>
      </c>
      <c r="K57" s="83">
        <f>+'Tuition-2Yr'!K57+'State Appropriations-2Yr'!K57+'Local Appropriations-2Yr'!K57+'Fed Contracts Grnts-2Yr'!K57+'Other Contracts Grnts-2Yr'!K57+'Investment Income-2Yr'!K57+'All Other E&amp;G-2Yr'!K57</f>
        <v>0</v>
      </c>
      <c r="L57" s="83">
        <f>+'Tuition-2Yr'!L57+'State Appropriations-2Yr'!L57+'Local Appropriations-2Yr'!L57+'Fed Contracts Grnts-2Yr'!L57+'Other Contracts Grnts-2Yr'!L57+'Investment Income-2Yr'!L57+'All Other E&amp;G-2Yr'!L57</f>
        <v>0</v>
      </c>
      <c r="M57" s="83">
        <f>+'Tuition-2Yr'!M57+'State Appropriations-2Yr'!M57+'Local Appropriations-2Yr'!M57+'Fed Contracts Grnts-2Yr'!M57+'Other Contracts Grnts-2Yr'!M57+'Investment Income-2Yr'!M57+'All Other E&amp;G-2Yr'!M57</f>
        <v>41022.446000000004</v>
      </c>
      <c r="N57" s="83">
        <f>+'Tuition-2Yr'!N57+'State Appropriations-2Yr'!N57+'Local Appropriations-2Yr'!N57+'Fed Contracts Grnts-2Yr'!N57+'Other Contracts Grnts-2Yr'!N57+'Investment Income-2Yr'!N57+'All Other E&amp;G-2Yr'!N57</f>
        <v>0</v>
      </c>
      <c r="O57" s="83">
        <f>+'Tuition-2Yr'!O57+'State Appropriations-2Yr'!O57+'Local Appropriations-2Yr'!O57+'Fed Contracts Grnts-2Yr'!O57+'Other Contracts Grnts-2Yr'!O57+'Investment Income-2Yr'!O57+'All Other E&amp;G-2Yr'!O57</f>
        <v>53657.03398</v>
      </c>
      <c r="P57" s="83">
        <f>+'Tuition-2Yr'!P57+'State Appropriations-2Yr'!P57+'Local Appropriations-2Yr'!P57+'Fed Contracts Grnts-2Yr'!P57+'Other Contracts Grnts-2Yr'!P57+'Investment Income-2Yr'!P57+'All Other E&amp;G-2Yr'!P57</f>
        <v>0</v>
      </c>
      <c r="Q57" s="83">
        <f>+'Tuition-2Yr'!Q57+'State Appropriations-2Yr'!Q57+'Local Appropriations-2Yr'!Q57+'Fed Contracts Grnts-2Yr'!Q57+'Other Contracts Grnts-2Yr'!Q57+'Investment Income-2Yr'!Q57+'All Other E&amp;G-2Yr'!Q57</f>
        <v>0</v>
      </c>
      <c r="R57" s="83">
        <f>+'Tuition-2Yr'!R57+'State Appropriations-2Yr'!R57+'Local Appropriations-2Yr'!R57+'Fed Contracts Grnts-2Yr'!R57+'Other Contracts Grnts-2Yr'!R57+'Investment Income-2Yr'!R57+'All Other E&amp;G-2Yr'!R57</f>
        <v>47907.748</v>
      </c>
      <c r="S57" s="83">
        <f>+'Tuition-2Yr'!S57+'State Appropriations-2Yr'!S57+'Local Appropriations-2Yr'!S57+'Fed Contracts Grnts-2Yr'!S57+'Other Contracts Grnts-2Yr'!S57+'Investment Income-2Yr'!S57+'All Other E&amp;G-2Yr'!S57</f>
        <v>50164.858999999997</v>
      </c>
      <c r="T57" s="83">
        <f>+'Tuition-2Yr'!T57+'State Appropriations-2Yr'!T57+'Local Appropriations-2Yr'!T57+'Fed Contracts Grnts-2Yr'!T57+'Other Contracts Grnts-2Yr'!T57+'Investment Income-2Yr'!T57+'All Other E&amp;G-2Yr'!T57</f>
        <v>55043.409999999996</v>
      </c>
      <c r="U57" s="83">
        <f>+'Tuition-2Yr'!U57+'State Appropriations-2Yr'!U57+'Local Appropriations-2Yr'!U57+'Fed Contracts Grnts-2Yr'!U57+'Other Contracts Grnts-2Yr'!U57+'Investment Income-2Yr'!U57+'All Other E&amp;G-2Yr'!U57</f>
        <v>60955.018000000004</v>
      </c>
      <c r="V57" s="83">
        <f>+'Tuition-2Yr'!V57+'State Appropriations-2Yr'!V57+'Local Appropriations-2Yr'!V57+'Fed Contracts Grnts-2Yr'!V57+'Other Contracts Grnts-2Yr'!V57+'Investment Income-2Yr'!V57+'All Other E&amp;G-2Yr'!V57</f>
        <v>64492.563000000002</v>
      </c>
      <c r="W57" s="83">
        <f>+'Tuition-2Yr'!W57+'State Appropriations-2Yr'!W57+'Local Appropriations-2Yr'!W57+'Fed Contracts Grnts-2Yr'!W57+'Other Contracts Grnts-2Yr'!W57+'Investment Income-2Yr'!W57+'All Other E&amp;G-2Yr'!W57</f>
        <v>70996.664999999994</v>
      </c>
      <c r="X57" s="83">
        <f>+'Tuition-2Yr'!X57+'State Appropriations-2Yr'!X57+'Local Appropriations-2Yr'!X57+'Fed Contracts Grnts-2Yr'!X57+'Other Contracts Grnts-2Yr'!X57+'Investment Income-2Yr'!X57+'All Other E&amp;G-2Yr'!X57</f>
        <v>60962.487999999998</v>
      </c>
      <c r="Y57" s="83">
        <f>+'Tuition-2Yr'!Y57+'State Appropriations-2Yr'!Y57+'Local Appropriations-2Yr'!Y57+'Fed Contracts Grnts-2Yr'!Y57+'Other Contracts Grnts-2Yr'!Y57+'Investment Income-2Yr'!Y57+'All Other E&amp;G-2Yr'!Y57</f>
        <v>85121.65400000001</v>
      </c>
      <c r="Z57" s="83">
        <f>+'Tuition-2Yr'!Z57+'State Appropriations-2Yr'!Z57+'Local Appropriations-2Yr'!Z57+'Fed Contracts Grnts-2Yr'!Z57+'Other Contracts Grnts-2Yr'!Z57+'Investment Income-2Yr'!Z57+'All Other E&amp;G-2Yr'!Z57</f>
        <v>85772.648000000001</v>
      </c>
      <c r="AA57" s="83">
        <f>+'Tuition-2Yr'!AA57+'State Appropriations-2Yr'!AA57+'Local Appropriations-2Yr'!AA57+'Fed Contracts Grnts-2Yr'!AA57+'Other Contracts Grnts-2Yr'!AA57+'Investment Income-2Yr'!AA57+'All Other E&amp;G-2Yr'!AA57</f>
        <v>98602.676999999981</v>
      </c>
      <c r="AB57" s="83">
        <f>+'Tuition-2Yr'!AB57+'State Appropriations-2Yr'!AB57+'Local Appropriations-2Yr'!AB57+'Fed Contracts Grnts-2Yr'!AB57+'Other Contracts Grnts-2Yr'!AB57+'Investment Income-2Yr'!AB57+'All Other E&amp;G-2Yr'!AB57</f>
        <v>110682.738</v>
      </c>
      <c r="AC57" s="83">
        <f>+'Tuition-2Yr'!AC57+'State Appropriations-2Yr'!AC57+'Local Appropriations-2Yr'!AC57+'Fed Contracts Grnts-2Yr'!AC57+'Other Contracts Grnts-2Yr'!AC57+'Investment Income-2Yr'!AC57+'All Other E&amp;G-2Yr'!AC57</f>
        <v>123268</v>
      </c>
      <c r="AD57" s="83">
        <f>+'Tuition-2Yr'!AD57+'State Appropriations-2Yr'!AD57+'Local Appropriations-2Yr'!AD57+'Fed Contracts Grnts-2Yr'!AD57+'Other Contracts Grnts-2Yr'!AD57+'Investment Income-2Yr'!AD57+'All Other E&amp;G-2Yr'!AD57</f>
        <v>118715.92200000001</v>
      </c>
      <c r="AE57" s="83">
        <f>+'Tuition-2Yr'!AE57+'State Appropriations-2Yr'!AE57+'Local Appropriations-2Yr'!AE57+'Fed Contracts Grnts-2Yr'!AE57+'Other Contracts Grnts-2Yr'!AE57+'Investment Income-2Yr'!AE57+'All Other E&amp;G-2Yr'!AE57</f>
        <v>150893.33100000001</v>
      </c>
      <c r="AF57" s="83">
        <f>+'Tuition-2Yr'!AF57+'State Appropriations-2Yr'!AF57+'Local Appropriations-2Yr'!AF57+'Fed Contracts Grnts-2Yr'!AF57+'Other Contracts Grnts-2Yr'!AF57+'Investment Income-2Yr'!AF57+'All Other E&amp;G-2Yr'!AF57</f>
        <v>139675.58300000001</v>
      </c>
      <c r="AG57" s="83">
        <f>+'Tuition-2Yr'!AG57+'State Appropriations-2Yr'!AG57+'Local Appropriations-2Yr'!AG57+'Fed Contracts Grnts-2Yr'!AG57+'Other Contracts Grnts-2Yr'!AG57+'Investment Income-2Yr'!AG57+'All Other E&amp;G-2Yr'!AG57</f>
        <v>126743.81300000002</v>
      </c>
      <c r="AH57" s="83">
        <f>+'Tuition-2Yr'!AH57+'State Appropriations-2Yr'!AH57+'Local Appropriations-2Yr'!AH57+'Fed Contracts Grnts-2Yr'!AH57+'Other Contracts Grnts-2Yr'!AH57+'Investment Income-2Yr'!AH57+'All Other E&amp;G-2Yr'!AH57</f>
        <v>142003.36299999998</v>
      </c>
      <c r="AI57" s="83">
        <f>+'Tuition-2Yr'!AI57+'State Appropriations-2Yr'!AI57+'Local Appropriations-2Yr'!AI57+'Fed Contracts Grnts-2Yr'!AI57+'Other Contracts Grnts-2Yr'!AI57+'Investment Income-2Yr'!AI57+'All Other E&amp;G-2Yr'!AI57</f>
        <v>135001.196</v>
      </c>
      <c r="AJ57" s="83">
        <f>+'Tuition-2Yr'!AJ57+'State Appropriations-2Yr'!AJ57+'Local Appropriations-2Yr'!AJ57+'Fed Contracts Grnts-2Yr'!AJ57+'Other Contracts Grnts-2Yr'!AJ57+'Investment Income-2Yr'!AJ57+'All Other E&amp;G-2Yr'!AJ57</f>
        <v>0</v>
      </c>
      <c r="AK57" s="83">
        <f>+'Tuition-2Yr'!AK57+'State Appropriations-2Yr'!AK57+'Local Appropriations-2Yr'!AK57+'Fed Contracts Grnts-2Yr'!AK57+'Other Contracts Grnts-2Yr'!AK57+'Investment Income-2Yr'!AK57+'All Other E&amp;G-2Yr'!AK57</f>
        <v>155288.723</v>
      </c>
      <c r="AL57" s="83">
        <f>+'Tuition-2Yr'!AL57+'State Appropriations-2Yr'!AL57+'Local Appropriations-2Yr'!AL57+'Fed Contracts Grnts-2Yr'!AL57+'Other Contracts Grnts-2Yr'!AL57+'Investment Income-2Yr'!AL57+'All Other E&amp;G-2Yr'!AL57</f>
        <v>108463.53199999999</v>
      </c>
    </row>
    <row r="58" spans="1:38" ht="12.75" customHeight="1">
      <c r="A58" s="1" t="s">
        <v>70</v>
      </c>
      <c r="B58" s="83">
        <f>+'Tuition-2Yr'!B58+'State Appropriations-2Yr'!B58+'Local Appropriations-2Yr'!B58+'Fed Contracts Grnts-2Yr'!B58+'Other Contracts Grnts-2Yr'!B58+'Investment Income-2Yr'!B58+'All Other E&amp;G-2Yr'!B58</f>
        <v>0</v>
      </c>
      <c r="C58" s="83">
        <f>+'Tuition-2Yr'!C58+'State Appropriations-2Yr'!C58+'Local Appropriations-2Yr'!C58+'Fed Contracts Grnts-2Yr'!C58+'Other Contracts Grnts-2Yr'!C58+'Investment Income-2Yr'!C58+'All Other E&amp;G-2Yr'!C58</f>
        <v>0</v>
      </c>
      <c r="D58" s="83">
        <f>+'Tuition-2Yr'!D58+'State Appropriations-2Yr'!D58+'Local Appropriations-2Yr'!D58+'Fed Contracts Grnts-2Yr'!D58+'Other Contracts Grnts-2Yr'!D58+'Investment Income-2Yr'!D58+'All Other E&amp;G-2Yr'!D58</f>
        <v>0</v>
      </c>
      <c r="E58" s="83">
        <f>+'Tuition-2Yr'!E58+'State Appropriations-2Yr'!E58+'Local Appropriations-2Yr'!E58+'Fed Contracts Grnts-2Yr'!E58+'Other Contracts Grnts-2Yr'!E58+'Investment Income-2Yr'!E58+'All Other E&amp;G-2Yr'!E58</f>
        <v>0</v>
      </c>
      <c r="F58" s="83">
        <f>+'Tuition-2Yr'!F58+'State Appropriations-2Yr'!F58+'Local Appropriations-2Yr'!F58+'Fed Contracts Grnts-2Yr'!F58+'Other Contracts Grnts-2Yr'!F58+'Investment Income-2Yr'!F58+'All Other E&amp;G-2Yr'!F58</f>
        <v>0</v>
      </c>
      <c r="G58" s="83">
        <f>+'Tuition-2Yr'!G58+'State Appropriations-2Yr'!G58+'Local Appropriations-2Yr'!G58+'Fed Contracts Grnts-2Yr'!G58+'Other Contracts Grnts-2Yr'!G58+'Investment Income-2Yr'!G58+'All Other E&amp;G-2Yr'!G58</f>
        <v>0</v>
      </c>
      <c r="H58" s="83">
        <f>+'Tuition-2Yr'!H58+'State Appropriations-2Yr'!H58+'Local Appropriations-2Yr'!H58+'Fed Contracts Grnts-2Yr'!H58+'Other Contracts Grnts-2Yr'!H58+'Investment Income-2Yr'!H58+'All Other E&amp;G-2Yr'!H58</f>
        <v>0</v>
      </c>
      <c r="I58" s="83">
        <f>+'Tuition-2Yr'!I58+'State Appropriations-2Yr'!I58+'Local Appropriations-2Yr'!I58+'Fed Contracts Grnts-2Yr'!I58+'Other Contracts Grnts-2Yr'!I58+'Investment Income-2Yr'!I58+'All Other E&amp;G-2Yr'!I58</f>
        <v>0</v>
      </c>
      <c r="J58" s="83">
        <f>+'Tuition-2Yr'!J58+'State Appropriations-2Yr'!J58+'Local Appropriations-2Yr'!J58+'Fed Contracts Grnts-2Yr'!J58+'Other Contracts Grnts-2Yr'!J58+'Investment Income-2Yr'!J58+'All Other E&amp;G-2Yr'!J58</f>
        <v>484658.95500000007</v>
      </c>
      <c r="K58" s="83">
        <f>+'Tuition-2Yr'!K58+'State Appropriations-2Yr'!K58+'Local Appropriations-2Yr'!K58+'Fed Contracts Grnts-2Yr'!K58+'Other Contracts Grnts-2Yr'!K58+'Investment Income-2Yr'!K58+'All Other E&amp;G-2Yr'!K58</f>
        <v>0</v>
      </c>
      <c r="L58" s="83">
        <f>+'Tuition-2Yr'!L58+'State Appropriations-2Yr'!L58+'Local Appropriations-2Yr'!L58+'Fed Contracts Grnts-2Yr'!L58+'Other Contracts Grnts-2Yr'!L58+'Investment Income-2Yr'!L58+'All Other E&amp;G-2Yr'!L58</f>
        <v>0</v>
      </c>
      <c r="M58" s="83">
        <f>+'Tuition-2Yr'!M58+'State Appropriations-2Yr'!M58+'Local Appropriations-2Yr'!M58+'Fed Contracts Grnts-2Yr'!M58+'Other Contracts Grnts-2Yr'!M58+'Investment Income-2Yr'!M58+'All Other E&amp;G-2Yr'!M58</f>
        <v>570361.76100000006</v>
      </c>
      <c r="N58" s="83">
        <f>+'Tuition-2Yr'!N58+'State Appropriations-2Yr'!N58+'Local Appropriations-2Yr'!N58+'Fed Contracts Grnts-2Yr'!N58+'Other Contracts Grnts-2Yr'!N58+'Investment Income-2Yr'!N58+'All Other E&amp;G-2Yr'!N58</f>
        <v>0</v>
      </c>
      <c r="O58" s="83">
        <f>+'Tuition-2Yr'!O58+'State Appropriations-2Yr'!O58+'Local Appropriations-2Yr'!O58+'Fed Contracts Grnts-2Yr'!O58+'Other Contracts Grnts-2Yr'!O58+'Investment Income-2Yr'!O58+'All Other E&amp;G-2Yr'!O58</f>
        <v>600120.78200000001</v>
      </c>
      <c r="P58" s="83">
        <f>+'Tuition-2Yr'!P58+'State Appropriations-2Yr'!P58+'Local Appropriations-2Yr'!P58+'Fed Contracts Grnts-2Yr'!P58+'Other Contracts Grnts-2Yr'!P58+'Investment Income-2Yr'!P58+'All Other E&amp;G-2Yr'!P58</f>
        <v>0</v>
      </c>
      <c r="Q58" s="83">
        <f>+'Tuition-2Yr'!Q58+'State Appropriations-2Yr'!Q58+'Local Appropriations-2Yr'!Q58+'Fed Contracts Grnts-2Yr'!Q58+'Other Contracts Grnts-2Yr'!Q58+'Investment Income-2Yr'!Q58+'All Other E&amp;G-2Yr'!Q58</f>
        <v>0</v>
      </c>
      <c r="R58" s="83">
        <f>+'Tuition-2Yr'!R58+'State Appropriations-2Yr'!R58+'Local Appropriations-2Yr'!R58+'Fed Contracts Grnts-2Yr'!R58+'Other Contracts Grnts-2Yr'!R58+'Investment Income-2Yr'!R58+'All Other E&amp;G-2Yr'!R58</f>
        <v>666944.16799999995</v>
      </c>
      <c r="S58" s="83">
        <f>+'Tuition-2Yr'!S58+'State Appropriations-2Yr'!S58+'Local Appropriations-2Yr'!S58+'Fed Contracts Grnts-2Yr'!S58+'Other Contracts Grnts-2Yr'!S58+'Investment Income-2Yr'!S58+'All Other E&amp;G-2Yr'!S58</f>
        <v>725865.83100000012</v>
      </c>
      <c r="T58" s="83">
        <f>+'Tuition-2Yr'!T58+'State Appropriations-2Yr'!T58+'Local Appropriations-2Yr'!T58+'Fed Contracts Grnts-2Yr'!T58+'Other Contracts Grnts-2Yr'!T58+'Investment Income-2Yr'!T58+'All Other E&amp;G-2Yr'!T58</f>
        <v>799700.55499999993</v>
      </c>
      <c r="U58" s="83">
        <f>+'Tuition-2Yr'!U58+'State Appropriations-2Yr'!U58+'Local Appropriations-2Yr'!U58+'Fed Contracts Grnts-2Yr'!U58+'Other Contracts Grnts-2Yr'!U58+'Investment Income-2Yr'!U58+'All Other E&amp;G-2Yr'!U58</f>
        <v>779601.41399999987</v>
      </c>
      <c r="V58" s="83">
        <f>+'Tuition-2Yr'!V58+'State Appropriations-2Yr'!V58+'Local Appropriations-2Yr'!V58+'Fed Contracts Grnts-2Yr'!V58+'Other Contracts Grnts-2Yr'!V58+'Investment Income-2Yr'!V58+'All Other E&amp;G-2Yr'!V58</f>
        <v>848284.147</v>
      </c>
      <c r="W58" s="83">
        <f>+'Tuition-2Yr'!W58+'State Appropriations-2Yr'!W58+'Local Appropriations-2Yr'!W58+'Fed Contracts Grnts-2Yr'!W58+'Other Contracts Grnts-2Yr'!W58+'Investment Income-2Yr'!W58+'All Other E&amp;G-2Yr'!W58</f>
        <v>980830.98600000015</v>
      </c>
      <c r="X58" s="83">
        <f>+'Tuition-2Yr'!X58+'State Appropriations-2Yr'!X58+'Local Appropriations-2Yr'!X58+'Fed Contracts Grnts-2Yr'!X58+'Other Contracts Grnts-2Yr'!X58+'Investment Income-2Yr'!X58+'All Other E&amp;G-2Yr'!X58</f>
        <v>908313.18599999999</v>
      </c>
      <c r="Y58" s="83">
        <f>+'Tuition-2Yr'!Y58+'State Appropriations-2Yr'!Y58+'Local Appropriations-2Yr'!Y58+'Fed Contracts Grnts-2Yr'!Y58+'Other Contracts Grnts-2Yr'!Y58+'Investment Income-2Yr'!Y58+'All Other E&amp;G-2Yr'!Y58</f>
        <v>952799.17299999995</v>
      </c>
      <c r="Z58" s="83">
        <f>+'Tuition-2Yr'!Z58+'State Appropriations-2Yr'!Z58+'Local Appropriations-2Yr'!Z58+'Fed Contracts Grnts-2Yr'!Z58+'Other Contracts Grnts-2Yr'!Z58+'Investment Income-2Yr'!Z58+'All Other E&amp;G-2Yr'!Z58</f>
        <v>1047312.3189999999</v>
      </c>
      <c r="AA58" s="83">
        <f>+'Tuition-2Yr'!AA58+'State Appropriations-2Yr'!AA58+'Local Appropriations-2Yr'!AA58+'Fed Contracts Grnts-2Yr'!AA58+'Other Contracts Grnts-2Yr'!AA58+'Investment Income-2Yr'!AA58+'All Other E&amp;G-2Yr'!AA58</f>
        <v>1230692.7650000001</v>
      </c>
      <c r="AB58" s="83">
        <f>+'Tuition-2Yr'!AB58+'State Appropriations-2Yr'!AB58+'Local Appropriations-2Yr'!AB58+'Fed Contracts Grnts-2Yr'!AB58+'Other Contracts Grnts-2Yr'!AB58+'Investment Income-2Yr'!AB58+'All Other E&amp;G-2Yr'!AB58</f>
        <v>1447695.909</v>
      </c>
      <c r="AC58" s="83">
        <f>+'Tuition-2Yr'!AC58+'State Appropriations-2Yr'!AC58+'Local Appropriations-2Yr'!AC58+'Fed Contracts Grnts-2Yr'!AC58+'Other Contracts Grnts-2Yr'!AC58+'Investment Income-2Yr'!AC58+'All Other E&amp;G-2Yr'!AC58</f>
        <v>1468208</v>
      </c>
      <c r="AD58" s="83">
        <f>+'Tuition-2Yr'!AD58+'State Appropriations-2Yr'!AD58+'Local Appropriations-2Yr'!AD58+'Fed Contracts Grnts-2Yr'!AD58+'Other Contracts Grnts-2Yr'!AD58+'Investment Income-2Yr'!AD58+'All Other E&amp;G-2Yr'!AD58</f>
        <v>1528591.5149999999</v>
      </c>
      <c r="AE58" s="83">
        <f>+'Tuition-2Yr'!AE58+'State Appropriations-2Yr'!AE58+'Local Appropriations-2Yr'!AE58+'Fed Contracts Grnts-2Yr'!AE58+'Other Contracts Grnts-2Yr'!AE58+'Investment Income-2Yr'!AE58+'All Other E&amp;G-2Yr'!AE58</f>
        <v>1461900.51</v>
      </c>
      <c r="AF58" s="83">
        <f>+'Tuition-2Yr'!AF58+'State Appropriations-2Yr'!AF58+'Local Appropriations-2Yr'!AF58+'Fed Contracts Grnts-2Yr'!AF58+'Other Contracts Grnts-2Yr'!AF58+'Investment Income-2Yr'!AF58+'All Other E&amp;G-2Yr'!AF58</f>
        <v>1463157.9589999998</v>
      </c>
      <c r="AG58" s="83">
        <f>+'Tuition-2Yr'!AG58+'State Appropriations-2Yr'!AG58+'Local Appropriations-2Yr'!AG58+'Fed Contracts Grnts-2Yr'!AG58+'Other Contracts Grnts-2Yr'!AG58+'Investment Income-2Yr'!AG58+'All Other E&amp;G-2Yr'!AG58</f>
        <v>1449990.3979999998</v>
      </c>
      <c r="AH58" s="83">
        <f>+'Tuition-2Yr'!AH58+'State Appropriations-2Yr'!AH58+'Local Appropriations-2Yr'!AH58+'Fed Contracts Grnts-2Yr'!AH58+'Other Contracts Grnts-2Yr'!AH58+'Investment Income-2Yr'!AH58+'All Other E&amp;G-2Yr'!AH58</f>
        <v>1446836.7520000001</v>
      </c>
      <c r="AI58" s="83">
        <f>+'Tuition-2Yr'!AI58+'State Appropriations-2Yr'!AI58+'Local Appropriations-2Yr'!AI58+'Fed Contracts Grnts-2Yr'!AI58+'Other Contracts Grnts-2Yr'!AI58+'Investment Income-2Yr'!AI58+'All Other E&amp;G-2Yr'!AI58</f>
        <v>1397939.8420000002</v>
      </c>
      <c r="AJ58" s="83">
        <f>+'Tuition-2Yr'!AJ58+'State Appropriations-2Yr'!AJ58+'Local Appropriations-2Yr'!AJ58+'Fed Contracts Grnts-2Yr'!AJ58+'Other Contracts Grnts-2Yr'!AJ58+'Investment Income-2Yr'!AJ58+'All Other E&amp;G-2Yr'!AJ58</f>
        <v>0</v>
      </c>
      <c r="AK58" s="83">
        <f>+'Tuition-2Yr'!AK58+'State Appropriations-2Yr'!AK58+'Local Appropriations-2Yr'!AK58+'Fed Contracts Grnts-2Yr'!AK58+'Other Contracts Grnts-2Yr'!AK58+'Investment Income-2Yr'!AK58+'All Other E&amp;G-2Yr'!AK58</f>
        <v>1536483.4949999999</v>
      </c>
      <c r="AL58" s="83">
        <f>+'Tuition-2Yr'!AL58+'State Appropriations-2Yr'!AL58+'Local Appropriations-2Yr'!AL58+'Fed Contracts Grnts-2Yr'!AL58+'Other Contracts Grnts-2Yr'!AL58+'Investment Income-2Yr'!AL58+'All Other E&amp;G-2Yr'!AL58</f>
        <v>1639742.6640000001</v>
      </c>
    </row>
    <row r="59" spans="1:38" ht="12.75" customHeight="1">
      <c r="A59" s="1" t="s">
        <v>71</v>
      </c>
      <c r="B59" s="83">
        <f>+'Tuition-2Yr'!B59+'State Appropriations-2Yr'!B59+'Local Appropriations-2Yr'!B59+'Fed Contracts Grnts-2Yr'!B59+'Other Contracts Grnts-2Yr'!B59+'Investment Income-2Yr'!B59+'All Other E&amp;G-2Yr'!B59</f>
        <v>0</v>
      </c>
      <c r="C59" s="83">
        <f>+'Tuition-2Yr'!C59+'State Appropriations-2Yr'!C59+'Local Appropriations-2Yr'!C59+'Fed Contracts Grnts-2Yr'!C59+'Other Contracts Grnts-2Yr'!C59+'Investment Income-2Yr'!C59+'All Other E&amp;G-2Yr'!C59</f>
        <v>0</v>
      </c>
      <c r="D59" s="83">
        <f>+'Tuition-2Yr'!D59+'State Appropriations-2Yr'!D59+'Local Appropriations-2Yr'!D59+'Fed Contracts Grnts-2Yr'!D59+'Other Contracts Grnts-2Yr'!D59+'Investment Income-2Yr'!D59+'All Other E&amp;G-2Yr'!D59</f>
        <v>0</v>
      </c>
      <c r="E59" s="83">
        <f>+'Tuition-2Yr'!E59+'State Appropriations-2Yr'!E59+'Local Appropriations-2Yr'!E59+'Fed Contracts Grnts-2Yr'!E59+'Other Contracts Grnts-2Yr'!E59+'Investment Income-2Yr'!E59+'All Other E&amp;G-2Yr'!E59</f>
        <v>0</v>
      </c>
      <c r="F59" s="83">
        <f>+'Tuition-2Yr'!F59+'State Appropriations-2Yr'!F59+'Local Appropriations-2Yr'!F59+'Fed Contracts Grnts-2Yr'!F59+'Other Contracts Grnts-2Yr'!F59+'Investment Income-2Yr'!F59+'All Other E&amp;G-2Yr'!F59</f>
        <v>0</v>
      </c>
      <c r="G59" s="83">
        <f>+'Tuition-2Yr'!G59+'State Appropriations-2Yr'!G59+'Local Appropriations-2Yr'!G59+'Fed Contracts Grnts-2Yr'!G59+'Other Contracts Grnts-2Yr'!G59+'Investment Income-2Yr'!G59+'All Other E&amp;G-2Yr'!G59</f>
        <v>0</v>
      </c>
      <c r="H59" s="83">
        <f>+'Tuition-2Yr'!H59+'State Appropriations-2Yr'!H59+'Local Appropriations-2Yr'!H59+'Fed Contracts Grnts-2Yr'!H59+'Other Contracts Grnts-2Yr'!H59+'Investment Income-2Yr'!H59+'All Other E&amp;G-2Yr'!H59</f>
        <v>0</v>
      </c>
      <c r="I59" s="83">
        <f>+'Tuition-2Yr'!I59+'State Appropriations-2Yr'!I59+'Local Appropriations-2Yr'!I59+'Fed Contracts Grnts-2Yr'!I59+'Other Contracts Grnts-2Yr'!I59+'Investment Income-2Yr'!I59+'All Other E&amp;G-2Yr'!I59</f>
        <v>0</v>
      </c>
      <c r="J59" s="83">
        <f>+'Tuition-2Yr'!J59+'State Appropriations-2Yr'!J59+'Local Appropriations-2Yr'!J59+'Fed Contracts Grnts-2Yr'!J59+'Other Contracts Grnts-2Yr'!J59+'Investment Income-2Yr'!J59+'All Other E&amp;G-2Yr'!J59</f>
        <v>1125327.31</v>
      </c>
      <c r="K59" s="83">
        <f>+'Tuition-2Yr'!K59+'State Appropriations-2Yr'!K59+'Local Appropriations-2Yr'!K59+'Fed Contracts Grnts-2Yr'!K59+'Other Contracts Grnts-2Yr'!K59+'Investment Income-2Yr'!K59+'All Other E&amp;G-2Yr'!K59</f>
        <v>0</v>
      </c>
      <c r="L59" s="83">
        <f>+'Tuition-2Yr'!L59+'State Appropriations-2Yr'!L59+'Local Appropriations-2Yr'!L59+'Fed Contracts Grnts-2Yr'!L59+'Other Contracts Grnts-2Yr'!L59+'Investment Income-2Yr'!L59+'All Other E&amp;G-2Yr'!L59</f>
        <v>0</v>
      </c>
      <c r="M59" s="83">
        <f>+'Tuition-2Yr'!M59+'State Appropriations-2Yr'!M59+'Local Appropriations-2Yr'!M59+'Fed Contracts Grnts-2Yr'!M59+'Other Contracts Grnts-2Yr'!M59+'Investment Income-2Yr'!M59+'All Other E&amp;G-2Yr'!M59</f>
        <v>1379800.5880000002</v>
      </c>
      <c r="N59" s="83">
        <f>+'Tuition-2Yr'!N59+'State Appropriations-2Yr'!N59+'Local Appropriations-2Yr'!N59+'Fed Contracts Grnts-2Yr'!N59+'Other Contracts Grnts-2Yr'!N59+'Investment Income-2Yr'!N59+'All Other E&amp;G-2Yr'!N59</f>
        <v>0</v>
      </c>
      <c r="O59" s="83">
        <f>+'Tuition-2Yr'!O59+'State Appropriations-2Yr'!O59+'Local Appropriations-2Yr'!O59+'Fed Contracts Grnts-2Yr'!O59+'Other Contracts Grnts-2Yr'!O59+'Investment Income-2Yr'!O59+'All Other E&amp;G-2Yr'!O59</f>
        <v>1516697.23</v>
      </c>
      <c r="P59" s="83">
        <f>+'Tuition-2Yr'!P59+'State Appropriations-2Yr'!P59+'Local Appropriations-2Yr'!P59+'Fed Contracts Grnts-2Yr'!P59+'Other Contracts Grnts-2Yr'!P59+'Investment Income-2Yr'!P59+'All Other E&amp;G-2Yr'!P59</f>
        <v>0</v>
      </c>
      <c r="Q59" s="83">
        <f>+'Tuition-2Yr'!Q59+'State Appropriations-2Yr'!Q59+'Local Appropriations-2Yr'!Q59+'Fed Contracts Grnts-2Yr'!Q59+'Other Contracts Grnts-2Yr'!Q59+'Investment Income-2Yr'!Q59+'All Other E&amp;G-2Yr'!Q59</f>
        <v>0</v>
      </c>
      <c r="R59" s="83">
        <f>+'Tuition-2Yr'!R59+'State Appropriations-2Yr'!R59+'Local Appropriations-2Yr'!R59+'Fed Contracts Grnts-2Yr'!R59+'Other Contracts Grnts-2Yr'!R59+'Investment Income-2Yr'!R59+'All Other E&amp;G-2Yr'!R59</f>
        <v>1429187.3910000001</v>
      </c>
      <c r="S59" s="83">
        <f>+'Tuition-2Yr'!S59+'State Appropriations-2Yr'!S59+'Local Appropriations-2Yr'!S59+'Fed Contracts Grnts-2Yr'!S59+'Other Contracts Grnts-2Yr'!S59+'Investment Income-2Yr'!S59+'All Other E&amp;G-2Yr'!S59</f>
        <v>1723110.702</v>
      </c>
      <c r="T59" s="83">
        <f>+'Tuition-2Yr'!T59+'State Appropriations-2Yr'!T59+'Local Appropriations-2Yr'!T59+'Fed Contracts Grnts-2Yr'!T59+'Other Contracts Grnts-2Yr'!T59+'Investment Income-2Yr'!T59+'All Other E&amp;G-2Yr'!T59</f>
        <v>1930442.5499999998</v>
      </c>
      <c r="U59" s="83">
        <f>+'Tuition-2Yr'!U59+'State Appropriations-2Yr'!U59+'Local Appropriations-2Yr'!U59+'Fed Contracts Grnts-2Yr'!U59+'Other Contracts Grnts-2Yr'!U59+'Investment Income-2Yr'!U59+'All Other E&amp;G-2Yr'!U59</f>
        <v>1870543.7069999999</v>
      </c>
      <c r="V59" s="83">
        <f>+'Tuition-2Yr'!V59+'State Appropriations-2Yr'!V59+'Local Appropriations-2Yr'!V59+'Fed Contracts Grnts-2Yr'!V59+'Other Contracts Grnts-2Yr'!V59+'Investment Income-2Yr'!V59+'All Other E&amp;G-2Yr'!V59</f>
        <v>1957125.7519999999</v>
      </c>
      <c r="W59" s="83">
        <f>+'Tuition-2Yr'!W59+'State Appropriations-2Yr'!W59+'Local Appropriations-2Yr'!W59+'Fed Contracts Grnts-2Yr'!W59+'Other Contracts Grnts-2Yr'!W59+'Investment Income-2Yr'!W59+'All Other E&amp;G-2Yr'!W59</f>
        <v>2287353.0259999996</v>
      </c>
      <c r="X59" s="83">
        <f>+'Tuition-2Yr'!X59+'State Appropriations-2Yr'!X59+'Local Appropriations-2Yr'!X59+'Fed Contracts Grnts-2Yr'!X59+'Other Contracts Grnts-2Yr'!X59+'Investment Income-2Yr'!X59+'All Other E&amp;G-2Yr'!X59</f>
        <v>2152585.84</v>
      </c>
      <c r="Y59" s="83">
        <f>+'Tuition-2Yr'!Y59+'State Appropriations-2Yr'!Y59+'Local Appropriations-2Yr'!Y59+'Fed Contracts Grnts-2Yr'!Y59+'Other Contracts Grnts-2Yr'!Y59+'Investment Income-2Yr'!Y59+'All Other E&amp;G-2Yr'!Y59</f>
        <v>2226190.929</v>
      </c>
      <c r="Z59" s="83">
        <f>+'Tuition-2Yr'!Z59+'State Appropriations-2Yr'!Z59+'Local Appropriations-2Yr'!Z59+'Fed Contracts Grnts-2Yr'!Z59+'Other Contracts Grnts-2Yr'!Z59+'Investment Income-2Yr'!Z59+'All Other E&amp;G-2Yr'!Z59</f>
        <v>2420323.4169999999</v>
      </c>
      <c r="AA59" s="83">
        <f>+'Tuition-2Yr'!AA59+'State Appropriations-2Yr'!AA59+'Local Appropriations-2Yr'!AA59+'Fed Contracts Grnts-2Yr'!AA59+'Other Contracts Grnts-2Yr'!AA59+'Investment Income-2Yr'!AA59+'All Other E&amp;G-2Yr'!AA59</f>
        <v>2932649.8470000001</v>
      </c>
      <c r="AB59" s="83">
        <f>+'Tuition-2Yr'!AB59+'State Appropriations-2Yr'!AB59+'Local Appropriations-2Yr'!AB59+'Fed Contracts Grnts-2Yr'!AB59+'Other Contracts Grnts-2Yr'!AB59+'Investment Income-2Yr'!AB59+'All Other E&amp;G-2Yr'!AB59</f>
        <v>3249252.58</v>
      </c>
      <c r="AC59" s="83">
        <f>+'Tuition-2Yr'!AC59+'State Appropriations-2Yr'!AC59+'Local Appropriations-2Yr'!AC59+'Fed Contracts Grnts-2Yr'!AC59+'Other Contracts Grnts-2Yr'!AC59+'Investment Income-2Yr'!AC59+'All Other E&amp;G-2Yr'!AC59</f>
        <v>3402305</v>
      </c>
      <c r="AD59" s="83">
        <f>+'Tuition-2Yr'!AD59+'State Appropriations-2Yr'!AD59+'Local Appropriations-2Yr'!AD59+'Fed Contracts Grnts-2Yr'!AD59+'Other Contracts Grnts-2Yr'!AD59+'Investment Income-2Yr'!AD59+'All Other E&amp;G-2Yr'!AD59</f>
        <v>3553499.9960000003</v>
      </c>
      <c r="AE59" s="83">
        <f>+'Tuition-2Yr'!AE59+'State Appropriations-2Yr'!AE59+'Local Appropriations-2Yr'!AE59+'Fed Contracts Grnts-2Yr'!AE59+'Other Contracts Grnts-2Yr'!AE59+'Investment Income-2Yr'!AE59+'All Other E&amp;G-2Yr'!AE59</f>
        <v>3677872.9130000002</v>
      </c>
      <c r="AF59" s="83">
        <f>+'Tuition-2Yr'!AF59+'State Appropriations-2Yr'!AF59+'Local Appropriations-2Yr'!AF59+'Fed Contracts Grnts-2Yr'!AF59+'Other Contracts Grnts-2Yr'!AF59+'Investment Income-2Yr'!AF59+'All Other E&amp;G-2Yr'!AF59</f>
        <v>3768154.1700000004</v>
      </c>
      <c r="AG59" s="83">
        <f>+'Tuition-2Yr'!AG59+'State Appropriations-2Yr'!AG59+'Local Appropriations-2Yr'!AG59+'Fed Contracts Grnts-2Yr'!AG59+'Other Contracts Grnts-2Yr'!AG59+'Investment Income-2Yr'!AG59+'All Other E&amp;G-2Yr'!AG59</f>
        <v>3838865.2659999998</v>
      </c>
      <c r="AH59" s="83">
        <f>+'Tuition-2Yr'!AH59+'State Appropriations-2Yr'!AH59+'Local Appropriations-2Yr'!AH59+'Fed Contracts Grnts-2Yr'!AH59+'Other Contracts Grnts-2Yr'!AH59+'Investment Income-2Yr'!AH59+'All Other E&amp;G-2Yr'!AH59</f>
        <v>3836808.3829999994</v>
      </c>
      <c r="AI59" s="83">
        <f>+'Tuition-2Yr'!AI59+'State Appropriations-2Yr'!AI59+'Local Appropriations-2Yr'!AI59+'Fed Contracts Grnts-2Yr'!AI59+'Other Contracts Grnts-2Yr'!AI59+'Investment Income-2Yr'!AI59+'All Other E&amp;G-2Yr'!AI59</f>
        <v>3801603.6350000002</v>
      </c>
      <c r="AJ59" s="83">
        <f>+'Tuition-2Yr'!AJ59+'State Appropriations-2Yr'!AJ59+'Local Appropriations-2Yr'!AJ59+'Fed Contracts Grnts-2Yr'!AJ59+'Other Contracts Grnts-2Yr'!AJ59+'Investment Income-2Yr'!AJ59+'All Other E&amp;G-2Yr'!AJ59</f>
        <v>0</v>
      </c>
      <c r="AK59" s="83">
        <f>+'Tuition-2Yr'!AK59+'State Appropriations-2Yr'!AK59+'Local Appropriations-2Yr'!AK59+'Fed Contracts Grnts-2Yr'!AK59+'Other Contracts Grnts-2Yr'!AK59+'Investment Income-2Yr'!AK59+'All Other E&amp;G-2Yr'!AK59</f>
        <v>4115216.0359999998</v>
      </c>
      <c r="AL59" s="83">
        <f>+'Tuition-2Yr'!AL59+'State Appropriations-2Yr'!AL59+'Local Appropriations-2Yr'!AL59+'Fed Contracts Grnts-2Yr'!AL59+'Other Contracts Grnts-2Yr'!AL59+'Investment Income-2Yr'!AL59+'All Other E&amp;G-2Yr'!AL59</f>
        <v>3923520.5839999998</v>
      </c>
    </row>
    <row r="60" spans="1:38" ht="12.75" customHeight="1">
      <c r="A60" s="1" t="s">
        <v>72</v>
      </c>
      <c r="B60" s="83">
        <f>+'Tuition-2Yr'!B60+'State Appropriations-2Yr'!B60+'Local Appropriations-2Yr'!B60+'Fed Contracts Grnts-2Yr'!B60+'Other Contracts Grnts-2Yr'!B60+'Investment Income-2Yr'!B60+'All Other E&amp;G-2Yr'!B60</f>
        <v>0</v>
      </c>
      <c r="C60" s="83">
        <f>+'Tuition-2Yr'!C60+'State Appropriations-2Yr'!C60+'Local Appropriations-2Yr'!C60+'Fed Contracts Grnts-2Yr'!C60+'Other Contracts Grnts-2Yr'!C60+'Investment Income-2Yr'!C60+'All Other E&amp;G-2Yr'!C60</f>
        <v>0</v>
      </c>
      <c r="D60" s="83">
        <f>+'Tuition-2Yr'!D60+'State Appropriations-2Yr'!D60+'Local Appropriations-2Yr'!D60+'Fed Contracts Grnts-2Yr'!D60+'Other Contracts Grnts-2Yr'!D60+'Investment Income-2Yr'!D60+'All Other E&amp;G-2Yr'!D60</f>
        <v>0</v>
      </c>
      <c r="E60" s="83">
        <f>+'Tuition-2Yr'!E60+'State Appropriations-2Yr'!E60+'Local Appropriations-2Yr'!E60+'Fed Contracts Grnts-2Yr'!E60+'Other Contracts Grnts-2Yr'!E60+'Investment Income-2Yr'!E60+'All Other E&amp;G-2Yr'!E60</f>
        <v>0</v>
      </c>
      <c r="F60" s="83">
        <f>+'Tuition-2Yr'!F60+'State Appropriations-2Yr'!F60+'Local Appropriations-2Yr'!F60+'Fed Contracts Grnts-2Yr'!F60+'Other Contracts Grnts-2Yr'!F60+'Investment Income-2Yr'!F60+'All Other E&amp;G-2Yr'!F60</f>
        <v>0</v>
      </c>
      <c r="G60" s="83">
        <f>+'Tuition-2Yr'!G60+'State Appropriations-2Yr'!G60+'Local Appropriations-2Yr'!G60+'Fed Contracts Grnts-2Yr'!G60+'Other Contracts Grnts-2Yr'!G60+'Investment Income-2Yr'!G60+'All Other E&amp;G-2Yr'!G60</f>
        <v>0</v>
      </c>
      <c r="H60" s="83">
        <f>+'Tuition-2Yr'!H60+'State Appropriations-2Yr'!H60+'Local Appropriations-2Yr'!H60+'Fed Contracts Grnts-2Yr'!H60+'Other Contracts Grnts-2Yr'!H60+'Investment Income-2Yr'!H60+'All Other E&amp;G-2Yr'!H60</f>
        <v>0</v>
      </c>
      <c r="I60" s="83">
        <f>+'Tuition-2Yr'!I60+'State Appropriations-2Yr'!I60+'Local Appropriations-2Yr'!I60+'Fed Contracts Grnts-2Yr'!I60+'Other Contracts Grnts-2Yr'!I60+'Investment Income-2Yr'!I60+'All Other E&amp;G-2Yr'!I60</f>
        <v>0</v>
      </c>
      <c r="J60" s="83">
        <f>+'Tuition-2Yr'!J60+'State Appropriations-2Yr'!J60+'Local Appropriations-2Yr'!J60+'Fed Contracts Grnts-2Yr'!J60+'Other Contracts Grnts-2Yr'!J60+'Investment Income-2Yr'!J60+'All Other E&amp;G-2Yr'!J60</f>
        <v>401949.53399999999</v>
      </c>
      <c r="K60" s="83">
        <f>+'Tuition-2Yr'!K60+'State Appropriations-2Yr'!K60+'Local Appropriations-2Yr'!K60+'Fed Contracts Grnts-2Yr'!K60+'Other Contracts Grnts-2Yr'!K60+'Investment Income-2Yr'!K60+'All Other E&amp;G-2Yr'!K60</f>
        <v>0</v>
      </c>
      <c r="L60" s="83">
        <f>+'Tuition-2Yr'!L60+'State Appropriations-2Yr'!L60+'Local Appropriations-2Yr'!L60+'Fed Contracts Grnts-2Yr'!L60+'Other Contracts Grnts-2Yr'!L60+'Investment Income-2Yr'!L60+'All Other E&amp;G-2Yr'!L60</f>
        <v>0</v>
      </c>
      <c r="M60" s="83">
        <f>+'Tuition-2Yr'!M60+'State Appropriations-2Yr'!M60+'Local Appropriations-2Yr'!M60+'Fed Contracts Grnts-2Yr'!M60+'Other Contracts Grnts-2Yr'!M60+'Investment Income-2Yr'!M60+'All Other E&amp;G-2Yr'!M60</f>
        <v>461273.17800000007</v>
      </c>
      <c r="N60" s="83">
        <f>+'Tuition-2Yr'!N60+'State Appropriations-2Yr'!N60+'Local Appropriations-2Yr'!N60+'Fed Contracts Grnts-2Yr'!N60+'Other Contracts Grnts-2Yr'!N60+'Investment Income-2Yr'!N60+'All Other E&amp;G-2Yr'!N60</f>
        <v>0</v>
      </c>
      <c r="O60" s="83">
        <f>+'Tuition-2Yr'!O60+'State Appropriations-2Yr'!O60+'Local Appropriations-2Yr'!O60+'Fed Contracts Grnts-2Yr'!O60+'Other Contracts Grnts-2Yr'!O60+'Investment Income-2Yr'!O60+'All Other E&amp;G-2Yr'!O60</f>
        <v>485308.32619000005</v>
      </c>
      <c r="P60" s="83">
        <f>+'Tuition-2Yr'!P60+'State Appropriations-2Yr'!P60+'Local Appropriations-2Yr'!P60+'Fed Contracts Grnts-2Yr'!P60+'Other Contracts Grnts-2Yr'!P60+'Investment Income-2Yr'!P60+'All Other E&amp;G-2Yr'!P60</f>
        <v>0</v>
      </c>
      <c r="Q60" s="83">
        <f>+'Tuition-2Yr'!Q60+'State Appropriations-2Yr'!Q60+'Local Appropriations-2Yr'!Q60+'Fed Contracts Grnts-2Yr'!Q60+'Other Contracts Grnts-2Yr'!Q60+'Investment Income-2Yr'!Q60+'All Other E&amp;G-2Yr'!Q60</f>
        <v>0</v>
      </c>
      <c r="R60" s="83">
        <f>+'Tuition-2Yr'!R60+'State Appropriations-2Yr'!R60+'Local Appropriations-2Yr'!R60+'Fed Contracts Grnts-2Yr'!R60+'Other Contracts Grnts-2Yr'!R60+'Investment Income-2Yr'!R60+'All Other E&amp;G-2Yr'!R60</f>
        <v>537710.66500000004</v>
      </c>
      <c r="S60" s="83">
        <f>+'Tuition-2Yr'!S60+'State Appropriations-2Yr'!S60+'Local Appropriations-2Yr'!S60+'Fed Contracts Grnts-2Yr'!S60+'Other Contracts Grnts-2Yr'!S60+'Investment Income-2Yr'!S60+'All Other E&amp;G-2Yr'!S60</f>
        <v>574046.20100000012</v>
      </c>
      <c r="T60" s="83">
        <f>+'Tuition-2Yr'!T60+'State Appropriations-2Yr'!T60+'Local Appropriations-2Yr'!T60+'Fed Contracts Grnts-2Yr'!T60+'Other Contracts Grnts-2Yr'!T60+'Investment Income-2Yr'!T60+'All Other E&amp;G-2Yr'!T60</f>
        <v>651564.95499999996</v>
      </c>
      <c r="U60" s="83">
        <f>+'Tuition-2Yr'!U60+'State Appropriations-2Yr'!U60+'Local Appropriations-2Yr'!U60+'Fed Contracts Grnts-2Yr'!U60+'Other Contracts Grnts-2Yr'!U60+'Investment Income-2Yr'!U60+'All Other E&amp;G-2Yr'!U60</f>
        <v>675299.44299999997</v>
      </c>
      <c r="V60" s="83">
        <f>+'Tuition-2Yr'!V60+'State Appropriations-2Yr'!V60+'Local Appropriations-2Yr'!V60+'Fed Contracts Grnts-2Yr'!V60+'Other Contracts Grnts-2Yr'!V60+'Investment Income-2Yr'!V60+'All Other E&amp;G-2Yr'!V60</f>
        <v>723231.76400000008</v>
      </c>
      <c r="W60" s="83">
        <f>+'Tuition-2Yr'!W60+'State Appropriations-2Yr'!W60+'Local Appropriations-2Yr'!W60+'Fed Contracts Grnts-2Yr'!W60+'Other Contracts Grnts-2Yr'!W60+'Investment Income-2Yr'!W60+'All Other E&amp;G-2Yr'!W60</f>
        <v>823674.75399999996</v>
      </c>
      <c r="X60" s="83">
        <f>+'Tuition-2Yr'!X60+'State Appropriations-2Yr'!X60+'Local Appropriations-2Yr'!X60+'Fed Contracts Grnts-2Yr'!X60+'Other Contracts Grnts-2Yr'!X60+'Investment Income-2Yr'!X60+'All Other E&amp;G-2Yr'!X60</f>
        <v>825802.75499999989</v>
      </c>
      <c r="Y60" s="83">
        <f>+'Tuition-2Yr'!Y60+'State Appropriations-2Yr'!Y60+'Local Appropriations-2Yr'!Y60+'Fed Contracts Grnts-2Yr'!Y60+'Other Contracts Grnts-2Yr'!Y60+'Investment Income-2Yr'!Y60+'All Other E&amp;G-2Yr'!Y60</f>
        <v>865346.65299999993</v>
      </c>
      <c r="Z60" s="83">
        <f>+'Tuition-2Yr'!Z60+'State Appropriations-2Yr'!Z60+'Local Appropriations-2Yr'!Z60+'Fed Contracts Grnts-2Yr'!Z60+'Other Contracts Grnts-2Yr'!Z60+'Investment Income-2Yr'!Z60+'All Other E&amp;G-2Yr'!Z60</f>
        <v>910215.87899999996</v>
      </c>
      <c r="AA60" s="83">
        <f>+'Tuition-2Yr'!AA60+'State Appropriations-2Yr'!AA60+'Local Appropriations-2Yr'!AA60+'Fed Contracts Grnts-2Yr'!AA60+'Other Contracts Grnts-2Yr'!AA60+'Investment Income-2Yr'!AA60+'All Other E&amp;G-2Yr'!AA60</f>
        <v>1045864.769</v>
      </c>
      <c r="AB60" s="83">
        <f>+'Tuition-2Yr'!AB60+'State Appropriations-2Yr'!AB60+'Local Appropriations-2Yr'!AB60+'Fed Contracts Grnts-2Yr'!AB60+'Other Contracts Grnts-2Yr'!AB60+'Investment Income-2Yr'!AB60+'All Other E&amp;G-2Yr'!AB60</f>
        <v>1187414.8160000001</v>
      </c>
      <c r="AC60" s="83">
        <f>+'Tuition-2Yr'!AC60+'State Appropriations-2Yr'!AC60+'Local Appropriations-2Yr'!AC60+'Fed Contracts Grnts-2Yr'!AC60+'Other Contracts Grnts-2Yr'!AC60+'Investment Income-2Yr'!AC60+'All Other E&amp;G-2Yr'!AC60</f>
        <v>1272693</v>
      </c>
      <c r="AD60" s="83">
        <f>+'Tuition-2Yr'!AD60+'State Appropriations-2Yr'!AD60+'Local Appropriations-2Yr'!AD60+'Fed Contracts Grnts-2Yr'!AD60+'Other Contracts Grnts-2Yr'!AD60+'Investment Income-2Yr'!AD60+'All Other E&amp;G-2Yr'!AD60</f>
        <v>1261270.1470000001</v>
      </c>
      <c r="AE60" s="83">
        <f>+'Tuition-2Yr'!AE60+'State Appropriations-2Yr'!AE60+'Local Appropriations-2Yr'!AE60+'Fed Contracts Grnts-2Yr'!AE60+'Other Contracts Grnts-2Yr'!AE60+'Investment Income-2Yr'!AE60+'All Other E&amp;G-2Yr'!AE60</f>
        <v>1280437.1680000001</v>
      </c>
      <c r="AF60" s="83">
        <f>+'Tuition-2Yr'!AF60+'State Appropriations-2Yr'!AF60+'Local Appropriations-2Yr'!AF60+'Fed Contracts Grnts-2Yr'!AF60+'Other Contracts Grnts-2Yr'!AF60+'Investment Income-2Yr'!AF60+'All Other E&amp;G-2Yr'!AF60</f>
        <v>1258415.3469999998</v>
      </c>
      <c r="AG60" s="83">
        <f>+'Tuition-2Yr'!AG60+'State Appropriations-2Yr'!AG60+'Local Appropriations-2Yr'!AG60+'Fed Contracts Grnts-2Yr'!AG60+'Other Contracts Grnts-2Yr'!AG60+'Investment Income-2Yr'!AG60+'All Other E&amp;G-2Yr'!AG60</f>
        <v>1266849.9990000001</v>
      </c>
      <c r="AH60" s="83">
        <f>+'Tuition-2Yr'!AH60+'State Appropriations-2Yr'!AH60+'Local Appropriations-2Yr'!AH60+'Fed Contracts Grnts-2Yr'!AH60+'Other Contracts Grnts-2Yr'!AH60+'Investment Income-2Yr'!AH60+'All Other E&amp;G-2Yr'!AH60</f>
        <v>1255546.406</v>
      </c>
      <c r="AI60" s="83">
        <f>+'Tuition-2Yr'!AI60+'State Appropriations-2Yr'!AI60+'Local Appropriations-2Yr'!AI60+'Fed Contracts Grnts-2Yr'!AI60+'Other Contracts Grnts-2Yr'!AI60+'Investment Income-2Yr'!AI60+'All Other E&amp;G-2Yr'!AI60</f>
        <v>1269911.176</v>
      </c>
      <c r="AJ60" s="83">
        <f>+'Tuition-2Yr'!AJ60+'State Appropriations-2Yr'!AJ60+'Local Appropriations-2Yr'!AJ60+'Fed Contracts Grnts-2Yr'!AJ60+'Other Contracts Grnts-2Yr'!AJ60+'Investment Income-2Yr'!AJ60+'All Other E&amp;G-2Yr'!AJ60</f>
        <v>0</v>
      </c>
      <c r="AK60" s="83">
        <f>+'Tuition-2Yr'!AK60+'State Appropriations-2Yr'!AK60+'Local Appropriations-2Yr'!AK60+'Fed Contracts Grnts-2Yr'!AK60+'Other Contracts Grnts-2Yr'!AK60+'Investment Income-2Yr'!AK60+'All Other E&amp;G-2Yr'!AK60</f>
        <v>1385816.0899999999</v>
      </c>
      <c r="AL60" s="83">
        <f>+'Tuition-2Yr'!AL60+'State Appropriations-2Yr'!AL60+'Local Appropriations-2Yr'!AL60+'Fed Contracts Grnts-2Yr'!AL60+'Other Contracts Grnts-2Yr'!AL60+'Investment Income-2Yr'!AL60+'All Other E&amp;G-2Yr'!AL60</f>
        <v>1289377.5050000001</v>
      </c>
    </row>
    <row r="61" spans="1:38" ht="12.75" customHeight="1">
      <c r="A61" s="1" t="s">
        <v>73</v>
      </c>
      <c r="B61" s="83">
        <f>+'Tuition-2Yr'!B61+'State Appropriations-2Yr'!B61+'Local Appropriations-2Yr'!B61+'Fed Contracts Grnts-2Yr'!B61+'Other Contracts Grnts-2Yr'!B61+'Investment Income-2Yr'!B61+'All Other E&amp;G-2Yr'!B61</f>
        <v>0</v>
      </c>
      <c r="C61" s="83">
        <f>+'Tuition-2Yr'!C61+'State Appropriations-2Yr'!C61+'Local Appropriations-2Yr'!C61+'Fed Contracts Grnts-2Yr'!C61+'Other Contracts Grnts-2Yr'!C61+'Investment Income-2Yr'!C61+'All Other E&amp;G-2Yr'!C61</f>
        <v>0</v>
      </c>
      <c r="D61" s="83">
        <f>+'Tuition-2Yr'!D61+'State Appropriations-2Yr'!D61+'Local Appropriations-2Yr'!D61+'Fed Contracts Grnts-2Yr'!D61+'Other Contracts Grnts-2Yr'!D61+'Investment Income-2Yr'!D61+'All Other E&amp;G-2Yr'!D61</f>
        <v>0</v>
      </c>
      <c r="E61" s="83">
        <f>+'Tuition-2Yr'!E61+'State Appropriations-2Yr'!E61+'Local Appropriations-2Yr'!E61+'Fed Contracts Grnts-2Yr'!E61+'Other Contracts Grnts-2Yr'!E61+'Investment Income-2Yr'!E61+'All Other E&amp;G-2Yr'!E61</f>
        <v>0</v>
      </c>
      <c r="F61" s="83">
        <f>+'Tuition-2Yr'!F61+'State Appropriations-2Yr'!F61+'Local Appropriations-2Yr'!F61+'Fed Contracts Grnts-2Yr'!F61+'Other Contracts Grnts-2Yr'!F61+'Investment Income-2Yr'!F61+'All Other E&amp;G-2Yr'!F61</f>
        <v>0</v>
      </c>
      <c r="G61" s="83">
        <f>+'Tuition-2Yr'!G61+'State Appropriations-2Yr'!G61+'Local Appropriations-2Yr'!G61+'Fed Contracts Grnts-2Yr'!G61+'Other Contracts Grnts-2Yr'!G61+'Investment Income-2Yr'!G61+'All Other E&amp;G-2Yr'!G61</f>
        <v>0</v>
      </c>
      <c r="H61" s="83">
        <f>+'Tuition-2Yr'!H61+'State Appropriations-2Yr'!H61+'Local Appropriations-2Yr'!H61+'Fed Contracts Grnts-2Yr'!H61+'Other Contracts Grnts-2Yr'!H61+'Investment Income-2Yr'!H61+'All Other E&amp;G-2Yr'!H61</f>
        <v>0</v>
      </c>
      <c r="I61" s="83">
        <f>+'Tuition-2Yr'!I61+'State Appropriations-2Yr'!I61+'Local Appropriations-2Yr'!I61+'Fed Contracts Grnts-2Yr'!I61+'Other Contracts Grnts-2Yr'!I61+'Investment Income-2Yr'!I61+'All Other E&amp;G-2Yr'!I61</f>
        <v>0</v>
      </c>
      <c r="J61" s="83">
        <f>+'Tuition-2Yr'!J61+'State Appropriations-2Yr'!J61+'Local Appropriations-2Yr'!J61+'Fed Contracts Grnts-2Yr'!J61+'Other Contracts Grnts-2Yr'!J61+'Investment Income-2Yr'!J61+'All Other E&amp;G-2Yr'!J61</f>
        <v>52629.353000000003</v>
      </c>
      <c r="K61" s="83">
        <f>+'Tuition-2Yr'!K61+'State Appropriations-2Yr'!K61+'Local Appropriations-2Yr'!K61+'Fed Contracts Grnts-2Yr'!K61+'Other Contracts Grnts-2Yr'!K61+'Investment Income-2Yr'!K61+'All Other E&amp;G-2Yr'!K61</f>
        <v>0</v>
      </c>
      <c r="L61" s="83">
        <f>+'Tuition-2Yr'!L61+'State Appropriations-2Yr'!L61+'Local Appropriations-2Yr'!L61+'Fed Contracts Grnts-2Yr'!L61+'Other Contracts Grnts-2Yr'!L61+'Investment Income-2Yr'!L61+'All Other E&amp;G-2Yr'!L61</f>
        <v>0</v>
      </c>
      <c r="M61" s="83">
        <f>+'Tuition-2Yr'!M61+'State Appropriations-2Yr'!M61+'Local Appropriations-2Yr'!M61+'Fed Contracts Grnts-2Yr'!M61+'Other Contracts Grnts-2Yr'!M61+'Investment Income-2Yr'!M61+'All Other E&amp;G-2Yr'!M61</f>
        <v>58053.100999999995</v>
      </c>
      <c r="N61" s="83">
        <f>+'Tuition-2Yr'!N61+'State Appropriations-2Yr'!N61+'Local Appropriations-2Yr'!N61+'Fed Contracts Grnts-2Yr'!N61+'Other Contracts Grnts-2Yr'!N61+'Investment Income-2Yr'!N61+'All Other E&amp;G-2Yr'!N61</f>
        <v>0</v>
      </c>
      <c r="O61" s="83">
        <f>+'Tuition-2Yr'!O61+'State Appropriations-2Yr'!O61+'Local Appropriations-2Yr'!O61+'Fed Contracts Grnts-2Yr'!O61+'Other Contracts Grnts-2Yr'!O61+'Investment Income-2Yr'!O61+'All Other E&amp;G-2Yr'!O61</f>
        <v>58993.1</v>
      </c>
      <c r="P61" s="83">
        <f>+'Tuition-2Yr'!P61+'State Appropriations-2Yr'!P61+'Local Appropriations-2Yr'!P61+'Fed Contracts Grnts-2Yr'!P61+'Other Contracts Grnts-2Yr'!P61+'Investment Income-2Yr'!P61+'All Other E&amp;G-2Yr'!P61</f>
        <v>0</v>
      </c>
      <c r="Q61" s="83">
        <f>+'Tuition-2Yr'!Q61+'State Appropriations-2Yr'!Q61+'Local Appropriations-2Yr'!Q61+'Fed Contracts Grnts-2Yr'!Q61+'Other Contracts Grnts-2Yr'!Q61+'Investment Income-2Yr'!Q61+'All Other E&amp;G-2Yr'!Q61</f>
        <v>0</v>
      </c>
      <c r="R61" s="83">
        <f>+'Tuition-2Yr'!R61+'State Appropriations-2Yr'!R61+'Local Appropriations-2Yr'!R61+'Fed Contracts Grnts-2Yr'!R61+'Other Contracts Grnts-2Yr'!R61+'Investment Income-2Yr'!R61+'All Other E&amp;G-2Yr'!R61</f>
        <v>65087.056000000011</v>
      </c>
      <c r="S61" s="83">
        <f>+'Tuition-2Yr'!S61+'State Appropriations-2Yr'!S61+'Local Appropriations-2Yr'!S61+'Fed Contracts Grnts-2Yr'!S61+'Other Contracts Grnts-2Yr'!S61+'Investment Income-2Yr'!S61+'All Other E&amp;G-2Yr'!S61</f>
        <v>68539.887000000002</v>
      </c>
      <c r="T61" s="83">
        <f>+'Tuition-2Yr'!T61+'State Appropriations-2Yr'!T61+'Local Appropriations-2Yr'!T61+'Fed Contracts Grnts-2Yr'!T61+'Other Contracts Grnts-2Yr'!T61+'Investment Income-2Yr'!T61+'All Other E&amp;G-2Yr'!T61</f>
        <v>74636.877000000008</v>
      </c>
      <c r="U61" s="83">
        <f>+'Tuition-2Yr'!U61+'State Appropriations-2Yr'!U61+'Local Appropriations-2Yr'!U61+'Fed Contracts Grnts-2Yr'!U61+'Other Contracts Grnts-2Yr'!U61+'Investment Income-2Yr'!U61+'All Other E&amp;G-2Yr'!U61</f>
        <v>72377.593999999997</v>
      </c>
      <c r="V61" s="83">
        <f>+'Tuition-2Yr'!V61+'State Appropriations-2Yr'!V61+'Local Appropriations-2Yr'!V61+'Fed Contracts Grnts-2Yr'!V61+'Other Contracts Grnts-2Yr'!V61+'Investment Income-2Yr'!V61+'All Other E&amp;G-2Yr'!V61</f>
        <v>76872.830999999991</v>
      </c>
      <c r="W61" s="83">
        <f>+'Tuition-2Yr'!W61+'State Appropriations-2Yr'!W61+'Local Appropriations-2Yr'!W61+'Fed Contracts Grnts-2Yr'!W61+'Other Contracts Grnts-2Yr'!W61+'Investment Income-2Yr'!W61+'All Other E&amp;G-2Yr'!W61</f>
        <v>86714.111000000004</v>
      </c>
      <c r="X61" s="83">
        <f>+'Tuition-2Yr'!X61+'State Appropriations-2Yr'!X61+'Local Appropriations-2Yr'!X61+'Fed Contracts Grnts-2Yr'!X61+'Other Contracts Grnts-2Yr'!X61+'Investment Income-2Yr'!X61+'All Other E&amp;G-2Yr'!X61</f>
        <v>85215.668999999994</v>
      </c>
      <c r="Y61" s="83">
        <f>+'Tuition-2Yr'!Y61+'State Appropriations-2Yr'!Y61+'Local Appropriations-2Yr'!Y61+'Fed Contracts Grnts-2Yr'!Y61+'Other Contracts Grnts-2Yr'!Y61+'Investment Income-2Yr'!Y61+'All Other E&amp;G-2Yr'!Y61</f>
        <v>90988.959000000003</v>
      </c>
      <c r="Z61" s="83">
        <f>+'Tuition-2Yr'!Z61+'State Appropriations-2Yr'!Z61+'Local Appropriations-2Yr'!Z61+'Fed Contracts Grnts-2Yr'!Z61+'Other Contracts Grnts-2Yr'!Z61+'Investment Income-2Yr'!Z61+'All Other E&amp;G-2Yr'!Z61</f>
        <v>98502.294999999998</v>
      </c>
      <c r="AA61" s="83">
        <f>+'Tuition-2Yr'!AA61+'State Appropriations-2Yr'!AA61+'Local Appropriations-2Yr'!AA61+'Fed Contracts Grnts-2Yr'!AA61+'Other Contracts Grnts-2Yr'!AA61+'Investment Income-2Yr'!AA61+'All Other E&amp;G-2Yr'!AA61</f>
        <v>111734.29800000001</v>
      </c>
      <c r="AB61" s="83">
        <f>+'Tuition-2Yr'!AB61+'State Appropriations-2Yr'!AB61+'Local Appropriations-2Yr'!AB61+'Fed Contracts Grnts-2Yr'!AB61+'Other Contracts Grnts-2Yr'!AB61+'Investment Income-2Yr'!AB61+'All Other E&amp;G-2Yr'!AB61</f>
        <v>116922.364</v>
      </c>
      <c r="AC61" s="83">
        <f>+'Tuition-2Yr'!AC61+'State Appropriations-2Yr'!AC61+'Local Appropriations-2Yr'!AC61+'Fed Contracts Grnts-2Yr'!AC61+'Other Contracts Grnts-2Yr'!AC61+'Investment Income-2Yr'!AC61+'All Other E&amp;G-2Yr'!AC61</f>
        <v>128954</v>
      </c>
      <c r="AD61" s="83">
        <f>+'Tuition-2Yr'!AD61+'State Appropriations-2Yr'!AD61+'Local Appropriations-2Yr'!AD61+'Fed Contracts Grnts-2Yr'!AD61+'Other Contracts Grnts-2Yr'!AD61+'Investment Income-2Yr'!AD61+'All Other E&amp;G-2Yr'!AD61</f>
        <v>138522.625</v>
      </c>
      <c r="AE61" s="83">
        <f>+'Tuition-2Yr'!AE61+'State Appropriations-2Yr'!AE61+'Local Appropriations-2Yr'!AE61+'Fed Contracts Grnts-2Yr'!AE61+'Other Contracts Grnts-2Yr'!AE61+'Investment Income-2Yr'!AE61+'All Other E&amp;G-2Yr'!AE61</f>
        <v>137348.83000000002</v>
      </c>
      <c r="AF61" s="83">
        <f>+'Tuition-2Yr'!AF61+'State Appropriations-2Yr'!AF61+'Local Appropriations-2Yr'!AF61+'Fed Contracts Grnts-2Yr'!AF61+'Other Contracts Grnts-2Yr'!AF61+'Investment Income-2Yr'!AF61+'All Other E&amp;G-2Yr'!AF61</f>
        <v>137500.23400000003</v>
      </c>
      <c r="AG61" s="83">
        <f>+'Tuition-2Yr'!AG61+'State Appropriations-2Yr'!AG61+'Local Appropriations-2Yr'!AG61+'Fed Contracts Grnts-2Yr'!AG61+'Other Contracts Grnts-2Yr'!AG61+'Investment Income-2Yr'!AG61+'All Other E&amp;G-2Yr'!AG61</f>
        <v>136159.93299999999</v>
      </c>
      <c r="AH61" s="83">
        <f>+'Tuition-2Yr'!AH61+'State Appropriations-2Yr'!AH61+'Local Appropriations-2Yr'!AH61+'Fed Contracts Grnts-2Yr'!AH61+'Other Contracts Grnts-2Yr'!AH61+'Investment Income-2Yr'!AH61+'All Other E&amp;G-2Yr'!AH61</f>
        <v>139343.32599999997</v>
      </c>
      <c r="AI61" s="83">
        <f>+'Tuition-2Yr'!AI61+'State Appropriations-2Yr'!AI61+'Local Appropriations-2Yr'!AI61+'Fed Contracts Grnts-2Yr'!AI61+'Other Contracts Grnts-2Yr'!AI61+'Investment Income-2Yr'!AI61+'All Other E&amp;G-2Yr'!AI61</f>
        <v>136134.10399999999</v>
      </c>
      <c r="AJ61" s="83">
        <f>+'Tuition-2Yr'!AJ61+'State Appropriations-2Yr'!AJ61+'Local Appropriations-2Yr'!AJ61+'Fed Contracts Grnts-2Yr'!AJ61+'Other Contracts Grnts-2Yr'!AJ61+'Investment Income-2Yr'!AJ61+'All Other E&amp;G-2Yr'!AJ61</f>
        <v>0</v>
      </c>
      <c r="AK61" s="83">
        <f>+'Tuition-2Yr'!AK61+'State Appropriations-2Yr'!AK61+'Local Appropriations-2Yr'!AK61+'Fed Contracts Grnts-2Yr'!AK61+'Other Contracts Grnts-2Yr'!AK61+'Investment Income-2Yr'!AK61+'All Other E&amp;G-2Yr'!AK61</f>
        <v>156895.84800000003</v>
      </c>
      <c r="AL61" s="83">
        <f>+'Tuition-2Yr'!AL61+'State Appropriations-2Yr'!AL61+'Local Appropriations-2Yr'!AL61+'Fed Contracts Grnts-2Yr'!AL61+'Other Contracts Grnts-2Yr'!AL61+'Investment Income-2Yr'!AL61+'All Other E&amp;G-2Yr'!AL61</f>
        <v>144043.61599999998</v>
      </c>
    </row>
    <row r="62" spans="1:38" ht="12.75" customHeight="1">
      <c r="A62" s="27" t="s">
        <v>74</v>
      </c>
      <c r="B62" s="84">
        <f>+'Tuition-2Yr'!B62+'State Appropriations-2Yr'!B62+'Local Appropriations-2Yr'!B62+'Fed Contracts Grnts-2Yr'!B62+'Other Contracts Grnts-2Yr'!B62+'Investment Income-2Yr'!B62+'All Other E&amp;G-2Yr'!B62</f>
        <v>0</v>
      </c>
      <c r="C62" s="84">
        <f>+'Tuition-2Yr'!C62+'State Appropriations-2Yr'!C62+'Local Appropriations-2Yr'!C62+'Fed Contracts Grnts-2Yr'!C62+'Other Contracts Grnts-2Yr'!C62+'Investment Income-2Yr'!C62+'All Other E&amp;G-2Yr'!C62</f>
        <v>0</v>
      </c>
      <c r="D62" s="84">
        <f>+'Tuition-2Yr'!D62+'State Appropriations-2Yr'!D62+'Local Appropriations-2Yr'!D62+'Fed Contracts Grnts-2Yr'!D62+'Other Contracts Grnts-2Yr'!D62+'Investment Income-2Yr'!D62+'All Other E&amp;G-2Yr'!D62</f>
        <v>0</v>
      </c>
      <c r="E62" s="84">
        <f>+'Tuition-2Yr'!E62+'State Appropriations-2Yr'!E62+'Local Appropriations-2Yr'!E62+'Fed Contracts Grnts-2Yr'!E62+'Other Contracts Grnts-2Yr'!E62+'Investment Income-2Yr'!E62+'All Other E&amp;G-2Yr'!E62</f>
        <v>0</v>
      </c>
      <c r="F62" s="84">
        <f>+'Tuition-2Yr'!F62+'State Appropriations-2Yr'!F62+'Local Appropriations-2Yr'!F62+'Fed Contracts Grnts-2Yr'!F62+'Other Contracts Grnts-2Yr'!F62+'Investment Income-2Yr'!F62+'All Other E&amp;G-2Yr'!F62</f>
        <v>0</v>
      </c>
      <c r="G62" s="84">
        <f>+'Tuition-2Yr'!G62+'State Appropriations-2Yr'!G62+'Local Appropriations-2Yr'!G62+'Fed Contracts Grnts-2Yr'!G62+'Other Contracts Grnts-2Yr'!G62+'Investment Income-2Yr'!G62+'All Other E&amp;G-2Yr'!G62</f>
        <v>0</v>
      </c>
      <c r="H62" s="84">
        <f>+'Tuition-2Yr'!H62+'State Appropriations-2Yr'!H62+'Local Appropriations-2Yr'!H62+'Fed Contracts Grnts-2Yr'!H62+'Other Contracts Grnts-2Yr'!H62+'Investment Income-2Yr'!H62+'All Other E&amp;G-2Yr'!H62</f>
        <v>0</v>
      </c>
      <c r="I62" s="84">
        <f>+'Tuition-2Yr'!I62+'State Appropriations-2Yr'!I62+'Local Appropriations-2Yr'!I62+'Fed Contracts Grnts-2Yr'!I62+'Other Contracts Grnts-2Yr'!I62+'Investment Income-2Yr'!I62+'All Other E&amp;G-2Yr'!I62</f>
        <v>0</v>
      </c>
      <c r="J62" s="84">
        <f>+'Tuition-2Yr'!J62+'State Appropriations-2Yr'!J62+'Local Appropriations-2Yr'!J62+'Fed Contracts Grnts-2Yr'!J62+'Other Contracts Grnts-2Yr'!J62+'Investment Income-2Yr'!J62+'All Other E&amp;G-2Yr'!J62</f>
        <v>18343.902000000002</v>
      </c>
      <c r="K62" s="84">
        <f>+'Tuition-2Yr'!K62+'State Appropriations-2Yr'!K62+'Local Appropriations-2Yr'!K62+'Fed Contracts Grnts-2Yr'!K62+'Other Contracts Grnts-2Yr'!K62+'Investment Income-2Yr'!K62+'All Other E&amp;G-2Yr'!K62</f>
        <v>0</v>
      </c>
      <c r="L62" s="84">
        <f>+'Tuition-2Yr'!L62+'State Appropriations-2Yr'!L62+'Local Appropriations-2Yr'!L62+'Fed Contracts Grnts-2Yr'!L62+'Other Contracts Grnts-2Yr'!L62+'Investment Income-2Yr'!L62+'All Other E&amp;G-2Yr'!L62</f>
        <v>0</v>
      </c>
      <c r="M62" s="84">
        <f>+'Tuition-2Yr'!M62+'State Appropriations-2Yr'!M62+'Local Appropriations-2Yr'!M62+'Fed Contracts Grnts-2Yr'!M62+'Other Contracts Grnts-2Yr'!M62+'Investment Income-2Yr'!M62+'All Other E&amp;G-2Yr'!M62</f>
        <v>11627.577000000001</v>
      </c>
      <c r="N62" s="84">
        <f>+'Tuition-2Yr'!N62+'State Appropriations-2Yr'!N62+'Local Appropriations-2Yr'!N62+'Fed Contracts Grnts-2Yr'!N62+'Other Contracts Grnts-2Yr'!N62+'Investment Income-2Yr'!N62+'All Other E&amp;G-2Yr'!N62</f>
        <v>0</v>
      </c>
      <c r="O62" s="84">
        <f>+'Tuition-2Yr'!O62+'State Appropriations-2Yr'!O62+'Local Appropriations-2Yr'!O62+'Fed Contracts Grnts-2Yr'!O62+'Other Contracts Grnts-2Yr'!O62+'Investment Income-2Yr'!O62+'All Other E&amp;G-2Yr'!O62</f>
        <v>13113.904999999999</v>
      </c>
      <c r="P62" s="84">
        <f>+'Tuition-2Yr'!P62+'State Appropriations-2Yr'!P62+'Local Appropriations-2Yr'!P62+'Fed Contracts Grnts-2Yr'!P62+'Other Contracts Grnts-2Yr'!P62+'Investment Income-2Yr'!P62+'All Other E&amp;G-2Yr'!P62</f>
        <v>0</v>
      </c>
      <c r="Q62" s="84">
        <f>+'Tuition-2Yr'!Q62+'State Appropriations-2Yr'!Q62+'Local Appropriations-2Yr'!Q62+'Fed Contracts Grnts-2Yr'!Q62+'Other Contracts Grnts-2Yr'!Q62+'Investment Income-2Yr'!Q62+'All Other E&amp;G-2Yr'!Q62</f>
        <v>0</v>
      </c>
      <c r="R62" s="84">
        <f>+'Tuition-2Yr'!R62+'State Appropriations-2Yr'!R62+'Local Appropriations-2Yr'!R62+'Fed Contracts Grnts-2Yr'!R62+'Other Contracts Grnts-2Yr'!R62+'Investment Income-2Yr'!R62+'All Other E&amp;G-2Yr'!R62</f>
        <v>15197.29</v>
      </c>
      <c r="S62" s="84">
        <f>+'Tuition-2Yr'!S62+'State Appropriations-2Yr'!S62+'Local Appropriations-2Yr'!S62+'Fed Contracts Grnts-2Yr'!S62+'Other Contracts Grnts-2Yr'!S62+'Investment Income-2Yr'!S62+'All Other E&amp;G-2Yr'!S62</f>
        <v>17186.483</v>
      </c>
      <c r="T62" s="84">
        <f>+'Tuition-2Yr'!T62+'State Appropriations-2Yr'!T62+'Local Appropriations-2Yr'!T62+'Fed Contracts Grnts-2Yr'!T62+'Other Contracts Grnts-2Yr'!T62+'Investment Income-2Yr'!T62+'All Other E&amp;G-2Yr'!T62</f>
        <v>20252.958999999999</v>
      </c>
      <c r="U62" s="84">
        <f>+'Tuition-2Yr'!U62+'State Appropriations-2Yr'!U62+'Local Appropriations-2Yr'!U62+'Fed Contracts Grnts-2Yr'!U62+'Other Contracts Grnts-2Yr'!U62+'Investment Income-2Yr'!U62+'All Other E&amp;G-2Yr'!U62</f>
        <v>19603.701000000001</v>
      </c>
      <c r="V62" s="84">
        <f>+'Tuition-2Yr'!V62+'State Appropriations-2Yr'!V62+'Local Appropriations-2Yr'!V62+'Fed Contracts Grnts-2Yr'!V62+'Other Contracts Grnts-2Yr'!V62+'Investment Income-2Yr'!V62+'All Other E&amp;G-2Yr'!V62</f>
        <v>23253.525999999998</v>
      </c>
      <c r="W62" s="84">
        <f>+'Tuition-2Yr'!W62+'State Appropriations-2Yr'!W62+'Local Appropriations-2Yr'!W62+'Fed Contracts Grnts-2Yr'!W62+'Other Contracts Grnts-2Yr'!W62+'Investment Income-2Yr'!W62+'All Other E&amp;G-2Yr'!W62</f>
        <v>27653.841</v>
      </c>
      <c r="X62" s="84">
        <f>+'Tuition-2Yr'!X62+'State Appropriations-2Yr'!X62+'Local Appropriations-2Yr'!X62+'Fed Contracts Grnts-2Yr'!X62+'Other Contracts Grnts-2Yr'!X62+'Investment Income-2Yr'!X62+'All Other E&amp;G-2Yr'!X62</f>
        <v>23662.178</v>
      </c>
      <c r="Y62" s="84">
        <f>+'Tuition-2Yr'!Y62+'State Appropriations-2Yr'!Y62+'Local Appropriations-2Yr'!Y62+'Fed Contracts Grnts-2Yr'!Y62+'Other Contracts Grnts-2Yr'!Y62+'Investment Income-2Yr'!Y62+'All Other E&amp;G-2Yr'!Y62</f>
        <v>25122.591</v>
      </c>
      <c r="Z62" s="84">
        <f>+'Tuition-2Yr'!Z62+'State Appropriations-2Yr'!Z62+'Local Appropriations-2Yr'!Z62+'Fed Contracts Grnts-2Yr'!Z62+'Other Contracts Grnts-2Yr'!Z62+'Investment Income-2Yr'!Z62+'All Other E&amp;G-2Yr'!Z62</f>
        <v>26447.005999999998</v>
      </c>
      <c r="AA62" s="84">
        <f>+'Tuition-2Yr'!AA62+'State Appropriations-2Yr'!AA62+'Local Appropriations-2Yr'!AA62+'Fed Contracts Grnts-2Yr'!AA62+'Other Contracts Grnts-2Yr'!AA62+'Investment Income-2Yr'!AA62+'All Other E&amp;G-2Yr'!AA62</f>
        <v>65875.201000000001</v>
      </c>
      <c r="AB62" s="84">
        <f>+'Tuition-2Yr'!AB62+'State Appropriations-2Yr'!AB62+'Local Appropriations-2Yr'!AB62+'Fed Contracts Grnts-2Yr'!AB62+'Other Contracts Grnts-2Yr'!AB62+'Investment Income-2Yr'!AB62+'All Other E&amp;G-2Yr'!AB62</f>
        <v>40158.886999999995</v>
      </c>
      <c r="AC62" s="84">
        <f>+'Tuition-2Yr'!AC62+'State Appropriations-2Yr'!AC62+'Local Appropriations-2Yr'!AC62+'Fed Contracts Grnts-2Yr'!AC62+'Other Contracts Grnts-2Yr'!AC62+'Investment Income-2Yr'!AC62+'All Other E&amp;G-2Yr'!AC62</f>
        <v>44574</v>
      </c>
      <c r="AD62" s="84">
        <f>+'Tuition-2Yr'!AD62+'State Appropriations-2Yr'!AD62+'Local Appropriations-2Yr'!AD62+'Fed Contracts Grnts-2Yr'!AD62+'Other Contracts Grnts-2Yr'!AD62+'Investment Income-2Yr'!AD62+'All Other E&amp;G-2Yr'!AD62</f>
        <v>43083.341999999997</v>
      </c>
      <c r="AE62" s="84">
        <f>+'Tuition-2Yr'!AE62+'State Appropriations-2Yr'!AE62+'Local Appropriations-2Yr'!AE62+'Fed Contracts Grnts-2Yr'!AE62+'Other Contracts Grnts-2Yr'!AE62+'Investment Income-2Yr'!AE62+'All Other E&amp;G-2Yr'!AE62</f>
        <v>81677.991999999998</v>
      </c>
      <c r="AF62" s="84">
        <f>+'Tuition-2Yr'!AF62+'State Appropriations-2Yr'!AF62+'Local Appropriations-2Yr'!AF62+'Fed Contracts Grnts-2Yr'!AF62+'Other Contracts Grnts-2Yr'!AF62+'Investment Income-2Yr'!AF62+'All Other E&amp;G-2Yr'!AF62</f>
        <v>79873.435999999987</v>
      </c>
      <c r="AG62" s="84">
        <f>+'Tuition-2Yr'!AG62+'State Appropriations-2Yr'!AG62+'Local Appropriations-2Yr'!AG62+'Fed Contracts Grnts-2Yr'!AG62+'Other Contracts Grnts-2Yr'!AG62+'Investment Income-2Yr'!AG62+'All Other E&amp;G-2Yr'!AG62</f>
        <v>82877.180000000008</v>
      </c>
      <c r="AH62" s="84">
        <f>+'Tuition-2Yr'!AH62+'State Appropriations-2Yr'!AH62+'Local Appropriations-2Yr'!AH62+'Fed Contracts Grnts-2Yr'!AH62+'Other Contracts Grnts-2Yr'!AH62+'Investment Income-2Yr'!AH62+'All Other E&amp;G-2Yr'!AH62</f>
        <v>40319.488999999994</v>
      </c>
      <c r="AI62" s="84">
        <f>+'Tuition-2Yr'!AI62+'State Appropriations-2Yr'!AI62+'Local Appropriations-2Yr'!AI62+'Fed Contracts Grnts-2Yr'!AI62+'Other Contracts Grnts-2Yr'!AI62+'Investment Income-2Yr'!AI62+'All Other E&amp;G-2Yr'!AI62</f>
        <v>37880.569000000003</v>
      </c>
      <c r="AJ62" s="84">
        <f>+'Tuition-2Yr'!AJ62+'State Appropriations-2Yr'!AJ62+'Local Appropriations-2Yr'!AJ62+'Fed Contracts Grnts-2Yr'!AJ62+'Other Contracts Grnts-2Yr'!AJ62+'Investment Income-2Yr'!AJ62+'All Other E&amp;G-2Yr'!AJ62</f>
        <v>0</v>
      </c>
      <c r="AK62" s="84">
        <f>+'Tuition-2Yr'!AK62+'State Appropriations-2Yr'!AK62+'Local Appropriations-2Yr'!AK62+'Fed Contracts Grnts-2Yr'!AK62+'Other Contracts Grnts-2Yr'!AK62+'Investment Income-2Yr'!AK62+'All Other E&amp;G-2Yr'!AK62</f>
        <v>40264.34599999999</v>
      </c>
      <c r="AL62" s="84">
        <f>+'Tuition-2Yr'!AL62+'State Appropriations-2Yr'!AL62+'Local Appropriations-2Yr'!AL62+'Fed Contracts Grnts-2Yr'!AL62+'Other Contracts Grnts-2Yr'!AL62+'Investment Income-2Yr'!AL62+'All Other E&amp;G-2Yr'!AL62</f>
        <v>43183.502</v>
      </c>
    </row>
    <row r="63" spans="1:38">
      <c r="A63" s="49" t="s">
        <v>75</v>
      </c>
      <c r="B63" s="85">
        <f>+'Tuition-2Yr'!B63+'State Appropriations-2Yr'!B63+'Local Appropriations-2Yr'!B63+'Fed Contracts Grnts-2Yr'!B63+'Other Contracts Grnts-2Yr'!B63+'Investment Income-2Yr'!B63+'All Other E&amp;G-2Yr'!B63</f>
        <v>0</v>
      </c>
      <c r="C63" s="85">
        <f>+'Tuition-2Yr'!C63+'State Appropriations-2Yr'!C63+'Local Appropriations-2Yr'!C63+'Fed Contracts Grnts-2Yr'!C63+'Other Contracts Grnts-2Yr'!C63+'Investment Income-2Yr'!C63+'All Other E&amp;G-2Yr'!C63</f>
        <v>0</v>
      </c>
      <c r="D63" s="85">
        <f>+'Tuition-2Yr'!D63+'State Appropriations-2Yr'!D63+'Local Appropriations-2Yr'!D63+'Fed Contracts Grnts-2Yr'!D63+'Other Contracts Grnts-2Yr'!D63+'Investment Income-2Yr'!D63+'All Other E&amp;G-2Yr'!D63</f>
        <v>0</v>
      </c>
      <c r="E63" s="85">
        <f>+'Tuition-2Yr'!E63+'State Appropriations-2Yr'!E63+'Local Appropriations-2Yr'!E63+'Fed Contracts Grnts-2Yr'!E63+'Other Contracts Grnts-2Yr'!E63+'Investment Income-2Yr'!E63+'All Other E&amp;G-2Yr'!E63</f>
        <v>0</v>
      </c>
      <c r="F63" s="85">
        <f>+'Tuition-2Yr'!F63+'State Appropriations-2Yr'!F63+'Local Appropriations-2Yr'!F63+'Fed Contracts Grnts-2Yr'!F63+'Other Contracts Grnts-2Yr'!F63+'Investment Income-2Yr'!F63+'All Other E&amp;G-2Yr'!F63</f>
        <v>0</v>
      </c>
      <c r="G63" s="85">
        <f>+'Tuition-2Yr'!G63+'State Appropriations-2Yr'!G63+'Local Appropriations-2Yr'!G63+'Fed Contracts Grnts-2Yr'!G63+'Other Contracts Grnts-2Yr'!G63+'Investment Income-2Yr'!G63+'All Other E&amp;G-2Yr'!G63</f>
        <v>0</v>
      </c>
      <c r="H63" s="85">
        <f>+'Tuition-2Yr'!H63+'State Appropriations-2Yr'!H63+'Local Appropriations-2Yr'!H63+'Fed Contracts Grnts-2Yr'!H63+'Other Contracts Grnts-2Yr'!H63+'Investment Income-2Yr'!H63+'All Other E&amp;G-2Yr'!H63</f>
        <v>0</v>
      </c>
      <c r="I63" s="85">
        <f>+'Tuition-2Yr'!I63+'State Appropriations-2Yr'!I63+'Local Appropriations-2Yr'!I63+'Fed Contracts Grnts-2Yr'!I63+'Other Contracts Grnts-2Yr'!I63+'Investment Income-2Yr'!I63+'All Other E&amp;G-2Yr'!I63</f>
        <v>0</v>
      </c>
      <c r="J63" s="85">
        <f>+'Tuition-2Yr'!J63+'State Appropriations-2Yr'!J63+'Local Appropriations-2Yr'!J63+'Fed Contracts Grnts-2Yr'!J63+'Other Contracts Grnts-2Yr'!J63+'Investment Income-2Yr'!J63+'All Other E&amp;G-2Yr'!J63</f>
        <v>0</v>
      </c>
      <c r="K63" s="85">
        <f>+'Tuition-2Yr'!K63+'State Appropriations-2Yr'!K63+'Local Appropriations-2Yr'!K63+'Fed Contracts Grnts-2Yr'!K63+'Other Contracts Grnts-2Yr'!K63+'Investment Income-2Yr'!K63+'All Other E&amp;G-2Yr'!K63</f>
        <v>0</v>
      </c>
      <c r="L63" s="85">
        <f>+'Tuition-2Yr'!L63+'State Appropriations-2Yr'!L63+'Local Appropriations-2Yr'!L63+'Fed Contracts Grnts-2Yr'!L63+'Other Contracts Grnts-2Yr'!L63+'Investment Income-2Yr'!L63+'All Other E&amp;G-2Yr'!L63</f>
        <v>0</v>
      </c>
      <c r="M63" s="85">
        <f>+'Tuition-2Yr'!M63+'State Appropriations-2Yr'!M63+'Local Appropriations-2Yr'!M63+'Fed Contracts Grnts-2Yr'!M63+'Other Contracts Grnts-2Yr'!M63+'Investment Income-2Yr'!M63+'All Other E&amp;G-2Yr'!M63</f>
        <v>0</v>
      </c>
      <c r="N63" s="85">
        <f>+'Tuition-2Yr'!N63+'State Appropriations-2Yr'!N63+'Local Appropriations-2Yr'!N63+'Fed Contracts Grnts-2Yr'!N63+'Other Contracts Grnts-2Yr'!N63+'Investment Income-2Yr'!N63+'All Other E&amp;G-2Yr'!N63</f>
        <v>0</v>
      </c>
      <c r="O63" s="85">
        <f>+'Tuition-2Yr'!O63+'State Appropriations-2Yr'!O63+'Local Appropriations-2Yr'!O63+'Fed Contracts Grnts-2Yr'!O63+'Other Contracts Grnts-2Yr'!O63+'Investment Income-2Yr'!O63+'All Other E&amp;G-2Yr'!O63</f>
        <v>0</v>
      </c>
      <c r="P63" s="85">
        <f>+'Tuition-2Yr'!P63+'State Appropriations-2Yr'!P63+'Local Appropriations-2Yr'!P63+'Fed Contracts Grnts-2Yr'!P63+'Other Contracts Grnts-2Yr'!P63+'Investment Income-2Yr'!P63+'All Other E&amp;G-2Yr'!P63</f>
        <v>0</v>
      </c>
      <c r="Q63" s="85">
        <f>+'Tuition-2Yr'!Q63+'State Appropriations-2Yr'!Q63+'Local Appropriations-2Yr'!Q63+'Fed Contracts Grnts-2Yr'!Q63+'Other Contracts Grnts-2Yr'!Q63+'Investment Income-2Yr'!Q63+'All Other E&amp;G-2Yr'!Q63</f>
        <v>0</v>
      </c>
      <c r="R63" s="85">
        <f>+'Tuition-2Yr'!R63+'State Appropriations-2Yr'!R63+'Local Appropriations-2Yr'!R63+'Fed Contracts Grnts-2Yr'!R63+'Other Contracts Grnts-2Yr'!R63+'Investment Income-2Yr'!R63+'All Other E&amp;G-2Yr'!R63</f>
        <v>0</v>
      </c>
      <c r="S63" s="85">
        <f>+'Tuition-2Yr'!S63+'State Appropriations-2Yr'!S63+'Local Appropriations-2Yr'!S63+'Fed Contracts Grnts-2Yr'!S63+'Other Contracts Grnts-2Yr'!S63+'Investment Income-2Yr'!S63+'All Other E&amp;G-2Yr'!S63</f>
        <v>0</v>
      </c>
      <c r="T63" s="85">
        <f>+'Tuition-2Yr'!T63+'State Appropriations-2Yr'!T63+'Local Appropriations-2Yr'!T63+'Fed Contracts Grnts-2Yr'!T63+'Other Contracts Grnts-2Yr'!T63+'Investment Income-2Yr'!T63+'All Other E&amp;G-2Yr'!T63</f>
        <v>0</v>
      </c>
      <c r="U63" s="85">
        <f>+'Tuition-2Yr'!U63+'State Appropriations-2Yr'!U63+'Local Appropriations-2Yr'!U63+'Fed Contracts Grnts-2Yr'!U63+'Other Contracts Grnts-2Yr'!U63+'Investment Income-2Yr'!U63+'All Other E&amp;G-2Yr'!U63</f>
        <v>0</v>
      </c>
      <c r="V63" s="85">
        <f>+'Tuition-2Yr'!V63+'State Appropriations-2Yr'!V63+'Local Appropriations-2Yr'!V63+'Fed Contracts Grnts-2Yr'!V63+'Other Contracts Grnts-2Yr'!V63+'Investment Income-2Yr'!V63+'All Other E&amp;G-2Yr'!V63</f>
        <v>0</v>
      </c>
      <c r="W63" s="85">
        <f>+'Tuition-2Yr'!W63+'State Appropriations-2Yr'!W63+'Local Appropriations-2Yr'!W63+'Fed Contracts Grnts-2Yr'!W63+'Other Contracts Grnts-2Yr'!W63+'Investment Income-2Yr'!W63+'All Other E&amp;G-2Yr'!W63</f>
        <v>0</v>
      </c>
      <c r="X63" s="85">
        <f>+'Tuition-2Yr'!X63+'State Appropriations-2Yr'!X63+'Local Appropriations-2Yr'!X63+'Fed Contracts Grnts-2Yr'!X63+'Other Contracts Grnts-2Yr'!X63+'Investment Income-2Yr'!X63+'All Other E&amp;G-2Yr'!X63</f>
        <v>0</v>
      </c>
      <c r="Y63" s="85">
        <f>+'Tuition-2Yr'!Y63+'State Appropriations-2Yr'!Y63+'Local Appropriations-2Yr'!Y63+'Fed Contracts Grnts-2Yr'!Y63+'Other Contracts Grnts-2Yr'!Y63+'Investment Income-2Yr'!Y63+'All Other E&amp;G-2Yr'!Y63</f>
        <v>0</v>
      </c>
      <c r="Z63" s="85">
        <f>+'Tuition-2Yr'!Z63+'State Appropriations-2Yr'!Z63+'Local Appropriations-2Yr'!Z63+'Fed Contracts Grnts-2Yr'!Z63+'Other Contracts Grnts-2Yr'!Z63+'Investment Income-2Yr'!Z63+'All Other E&amp;G-2Yr'!Z63</f>
        <v>0</v>
      </c>
      <c r="AA63" s="85">
        <f>+'Tuition-2Yr'!AA63+'State Appropriations-2Yr'!AA63+'Local Appropriations-2Yr'!AA63+'Fed Contracts Grnts-2Yr'!AA63+'Other Contracts Grnts-2Yr'!AA63+'Investment Income-2Yr'!AA63+'All Other E&amp;G-2Yr'!AA63</f>
        <v>0</v>
      </c>
      <c r="AB63" s="85">
        <f>+'Tuition-2Yr'!AB63+'State Appropriations-2Yr'!AB63+'Local Appropriations-2Yr'!AB63+'Fed Contracts Grnts-2Yr'!AB63+'Other Contracts Grnts-2Yr'!AB63+'Investment Income-2Yr'!AB63+'All Other E&amp;G-2Yr'!AB63</f>
        <v>0</v>
      </c>
      <c r="AC63" s="85">
        <f>+'Tuition-2Yr'!AC63+'State Appropriations-2Yr'!AC63+'Local Appropriations-2Yr'!AC63+'Fed Contracts Grnts-2Yr'!AC63+'Other Contracts Grnts-2Yr'!AC63+'Investment Income-2Yr'!AC63+'All Other E&amp;G-2Yr'!AC63</f>
        <v>0</v>
      </c>
      <c r="AD63" s="85">
        <f>+'Tuition-2Yr'!AD63+'State Appropriations-2Yr'!AD63+'Local Appropriations-2Yr'!AD63+'Fed Contracts Grnts-2Yr'!AD63+'Other Contracts Grnts-2Yr'!AD63+'Investment Income-2Yr'!AD63+'All Other E&amp;G-2Yr'!AD63</f>
        <v>0</v>
      </c>
      <c r="AE63" s="85">
        <f>+'Tuition-2Yr'!AE63+'State Appropriations-2Yr'!AE63+'Local Appropriations-2Yr'!AE63+'Fed Contracts Grnts-2Yr'!AE63+'Other Contracts Grnts-2Yr'!AE63+'Investment Income-2Yr'!AE63+'All Other E&amp;G-2Yr'!AE63</f>
        <v>0</v>
      </c>
      <c r="AF63" s="27"/>
      <c r="AG63" s="27"/>
      <c r="AH63" s="27"/>
      <c r="AI63" s="27"/>
      <c r="AJ63" s="27"/>
      <c r="AK63" s="27"/>
      <c r="AL63" s="27"/>
    </row>
    <row r="64" spans="1:38" ht="12.75" customHeight="1"/>
    <row r="65" spans="1:29" ht="12.75" customHeight="1">
      <c r="A65" s="6" t="s">
        <v>95</v>
      </c>
    </row>
    <row r="66" spans="1:29" ht="12.75" customHeight="1">
      <c r="AC66" s="38"/>
    </row>
    <row r="67" spans="1:29" ht="12.75" customHeight="1"/>
    <row r="68" spans="1:29" ht="12.75" customHeight="1"/>
    <row r="69" spans="1:29" ht="12.75" customHeight="1"/>
    <row r="70" spans="1:29" ht="12.75" customHeight="1"/>
    <row r="71" spans="1:29" ht="12.75" customHeight="1"/>
    <row r="72" spans="1:29" ht="12.75" customHeight="1"/>
    <row r="73" spans="1:29" ht="12.75" customHeight="1"/>
    <row r="74" spans="1:29" ht="12.75" customHeight="1"/>
    <row r="75" spans="1:29" ht="12.75" customHeight="1"/>
    <row r="76" spans="1:29" ht="12.75" customHeight="1"/>
    <row r="77" spans="1:29" ht="12.75" customHeight="1"/>
    <row r="78" spans="1:29" ht="12.75" customHeight="1"/>
    <row r="79" spans="1:29" ht="12.75" customHeight="1"/>
    <row r="80" spans="1:29" ht="12.75" customHeight="1"/>
    <row r="81" spans="205:215" ht="9.9499999999999993" customHeight="1"/>
    <row r="82" spans="205:215" ht="9.9499999999999993" customHeight="1">
      <c r="GY82" s="4"/>
      <c r="GZ82" s="4"/>
      <c r="HA82" s="4"/>
      <c r="HB82" s="4"/>
      <c r="HC82" s="4"/>
      <c r="HD82" s="4"/>
      <c r="HE82" s="4"/>
      <c r="HF82" s="4"/>
      <c r="HG82" s="4"/>
    </row>
    <row r="83" spans="205:215">
      <c r="GW83" s="4"/>
      <c r="GX83" s="4"/>
      <c r="GY83" s="4"/>
      <c r="GZ83" s="4"/>
      <c r="HA83" s="4"/>
      <c r="HB83" s="4"/>
      <c r="HC83" s="4"/>
      <c r="HD83" s="4"/>
      <c r="HE83" s="4"/>
      <c r="HF83" s="4"/>
      <c r="HG83" s="4"/>
    </row>
    <row r="84" spans="205:215">
      <c r="GW84" s="4"/>
      <c r="GX84" s="4"/>
      <c r="GY84" s="4"/>
      <c r="GZ84" s="4"/>
      <c r="HA84" s="4"/>
      <c r="HB84" s="4"/>
      <c r="HC84" s="4"/>
      <c r="HD84" s="4"/>
      <c r="HE84" s="4"/>
      <c r="HF84" s="4"/>
      <c r="HG84" s="4"/>
    </row>
    <row r="85" spans="205:215">
      <c r="GY85" s="4"/>
      <c r="GZ85" s="4"/>
      <c r="HA85" s="4"/>
      <c r="HB85" s="4"/>
      <c r="HC85" s="4"/>
      <c r="HD85" s="4"/>
      <c r="HE85" s="4"/>
    </row>
    <row r="86" spans="205:215">
      <c r="GY86" s="4"/>
      <c r="GZ86" s="4"/>
      <c r="HA86" s="4"/>
      <c r="HB86" s="4"/>
      <c r="HC86" s="4"/>
      <c r="HD86" s="4"/>
      <c r="HE86" s="4"/>
    </row>
    <row r="87" spans="205:215">
      <c r="GY87" s="4"/>
      <c r="GZ87" s="4"/>
      <c r="HA87" s="4"/>
      <c r="HB87" s="4"/>
      <c r="HC87" s="4"/>
      <c r="HD87" s="4"/>
      <c r="HE87" s="4"/>
    </row>
  </sheetData>
  <phoneticPr fontId="8"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
    <tabColor indexed="62"/>
  </sheetPr>
  <dimension ref="A1:GX92"/>
  <sheetViews>
    <sheetView zoomScale="90" zoomScaleNormal="90" workbookViewId="0">
      <pane xSplit="1" ySplit="3" topLeftCell="X4" activePane="bottomRight" state="frozen"/>
      <selection pane="bottomRight" activeCell="AM1" sqref="AM1"/>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8" width="13.85546875" style="10" customWidth="1"/>
    <col min="29" max="29" width="15.5703125" style="10" bestFit="1" customWidth="1"/>
    <col min="30" max="30" width="11.5703125" style="1" bestFit="1" customWidth="1"/>
    <col min="31" max="32" width="14.28515625" style="1" bestFit="1" customWidth="1"/>
    <col min="33" max="38" width="14.28515625" style="1" customWidth="1"/>
    <col min="39" max="170" width="9.7109375" style="1"/>
    <col min="171" max="171" width="11.7109375" style="1" customWidth="1"/>
    <col min="172" max="195" width="9.7109375" style="1"/>
    <col min="196" max="196" width="5.7109375" style="1" customWidth="1"/>
    <col min="197" max="197" width="6.7109375" style="1" customWidth="1"/>
    <col min="198" max="199" width="8.7109375" style="1" customWidth="1"/>
    <col min="200" max="201" width="6.7109375" style="1" customWidth="1"/>
    <col min="202" max="203" width="8.7109375" style="1" customWidth="1"/>
    <col min="204" max="205" width="6.7109375" style="1" customWidth="1"/>
    <col min="206" max="206" width="1.7109375" style="1" customWidth="1"/>
    <col min="207" max="16384" width="9.7109375" style="1"/>
  </cols>
  <sheetData>
    <row r="1" spans="1:38">
      <c r="A1" s="36" t="s">
        <v>92</v>
      </c>
      <c r="B1" s="11"/>
      <c r="C1" s="11"/>
      <c r="D1" s="11"/>
      <c r="E1" s="11"/>
      <c r="F1" s="11"/>
      <c r="G1" s="11"/>
      <c r="H1" s="11"/>
      <c r="I1" s="11"/>
      <c r="J1" s="11"/>
      <c r="K1" s="11"/>
      <c r="L1" s="11"/>
    </row>
    <row r="2" spans="1:38">
      <c r="A2" s="1" t="s">
        <v>8</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15">
        <v>2020</v>
      </c>
    </row>
    <row r="4" spans="1:38" ht="12.75" customHeight="1">
      <c r="A4" s="46" t="s">
        <v>20</v>
      </c>
      <c r="B4" s="46">
        <f>2787763+3631276</f>
        <v>6419039</v>
      </c>
      <c r="C4" s="46">
        <f>2969199+3880282</f>
        <v>6849481</v>
      </c>
      <c r="D4" s="46">
        <f>3283112+4256604</f>
        <v>7539716</v>
      </c>
      <c r="E4" s="46"/>
      <c r="F4" s="46"/>
      <c r="G4" s="46"/>
      <c r="H4" s="46"/>
      <c r="I4" s="46">
        <v>12188448.927999999</v>
      </c>
      <c r="J4" s="54">
        <f t="shared" ref="J4" si="0">+J5+J23+J38+J52+J63</f>
        <v>13605051.145</v>
      </c>
      <c r="K4" s="58">
        <f>(($M$4-$J$4)/3)+J4</f>
        <v>14781963.446333334</v>
      </c>
      <c r="L4" s="58">
        <f>(($M$4-$J$4)/3)+K4</f>
        <v>15958875.747666668</v>
      </c>
      <c r="M4" s="54">
        <f t="shared" ref="M4" si="1">+M5+M23+M38+M52+M63</f>
        <v>17135788.049000002</v>
      </c>
      <c r="N4" s="58">
        <f>((O4-M4)/2)+M4</f>
        <v>19477554.63775</v>
      </c>
      <c r="O4" s="54">
        <f t="shared" ref="O4" si="2">+O5+O23+O38+O52+O63</f>
        <v>21819321.226500001</v>
      </c>
      <c r="P4" s="46"/>
      <c r="Q4" s="46"/>
      <c r="R4" s="54">
        <f t="shared" ref="R4:AA4" si="3">+R5+R23+R38+R52+R63</f>
        <v>23024000.831</v>
      </c>
      <c r="S4" s="54">
        <f t="shared" si="3"/>
        <v>24294144.561000001</v>
      </c>
      <c r="T4" s="59">
        <f t="shared" si="3"/>
        <v>26208286.563000001</v>
      </c>
      <c r="U4" s="54">
        <f t="shared" si="3"/>
        <v>23549639.512000002</v>
      </c>
      <c r="V4" s="54">
        <f t="shared" si="3"/>
        <v>26877101.342999998</v>
      </c>
      <c r="W4" s="54">
        <f t="shared" si="3"/>
        <v>37325185.089000002</v>
      </c>
      <c r="X4" s="54">
        <f t="shared" si="3"/>
        <v>32699882.618999999</v>
      </c>
      <c r="Y4" s="54">
        <f t="shared" si="3"/>
        <v>35130461.035999998</v>
      </c>
      <c r="Z4" s="54">
        <f t="shared" si="3"/>
        <v>37827023.851000004</v>
      </c>
      <c r="AA4" s="54">
        <f t="shared" si="3"/>
        <v>49815011.791999996</v>
      </c>
      <c r="AB4" s="54">
        <f t="shared" ref="AB4:AC4" si="4">+AB5+AB23+AB38+AB52+AB63</f>
        <v>56325388.692999996</v>
      </c>
      <c r="AC4" s="54">
        <f t="shared" si="4"/>
        <v>62053948</v>
      </c>
      <c r="AD4" s="54">
        <f t="shared" ref="AD4:AE4" si="5">+AD5+AD23+AD38+AD52+AD63</f>
        <v>67714338.951000005</v>
      </c>
      <c r="AE4" s="54">
        <f t="shared" si="5"/>
        <v>76427090.887999997</v>
      </c>
      <c r="AF4" s="54">
        <f t="shared" ref="AF4:AG4" si="6">+AF5+AF23+AF38+AF52+AF63</f>
        <v>73986110.205000013</v>
      </c>
      <c r="AG4" s="54">
        <f t="shared" si="6"/>
        <v>78070646.614999995</v>
      </c>
      <c r="AH4" s="54">
        <f t="shared" ref="AH4:AI4" si="7">+AH5+AH23+AH38+AH52+AH63</f>
        <v>82415445.954000011</v>
      </c>
      <c r="AI4" s="54">
        <f t="shared" si="7"/>
        <v>85039790.685000002</v>
      </c>
      <c r="AJ4" s="54">
        <f t="shared" ref="AJ4:AK4" si="8">+AJ5+AJ23+AJ38+AJ52+AJ63</f>
        <v>0</v>
      </c>
      <c r="AK4" s="54">
        <f t="shared" si="8"/>
        <v>104592268.42</v>
      </c>
      <c r="AL4" s="54">
        <f t="shared" ref="AL4" si="9">+AL5+AL23+AL38+AL52+AL63</f>
        <v>94589734.282000005</v>
      </c>
    </row>
    <row r="5" spans="1:38" ht="12.75" customHeight="1">
      <c r="A5" s="1" t="s">
        <v>21</v>
      </c>
      <c r="J5" s="51">
        <f t="shared" ref="J5" si="10">SUM(J7:J22)</f>
        <v>4045345.639</v>
      </c>
      <c r="M5" s="51">
        <f t="shared" ref="M5" si="11">SUM(M7:M22)</f>
        <v>5169379.7260000007</v>
      </c>
      <c r="O5" s="51">
        <f t="shared" ref="O5" si="12">SUM(O7:O22)</f>
        <v>6756616.4893500004</v>
      </c>
      <c r="R5" s="51">
        <f t="shared" ref="R5:AA5" si="13">SUM(R7:R22)</f>
        <v>7301373.7639999995</v>
      </c>
      <c r="S5" s="51">
        <f t="shared" si="13"/>
        <v>7818092.9270000011</v>
      </c>
      <c r="T5" s="60">
        <f t="shared" si="13"/>
        <v>8972413.0540000014</v>
      </c>
      <c r="U5" s="51">
        <f t="shared" si="13"/>
        <v>8302586.4140000008</v>
      </c>
      <c r="V5" s="51">
        <f t="shared" si="13"/>
        <v>9378009.4100000001</v>
      </c>
      <c r="W5" s="51">
        <f t="shared" si="13"/>
        <v>13114550.909000002</v>
      </c>
      <c r="X5" s="51">
        <f t="shared" si="13"/>
        <v>11357385.085999999</v>
      </c>
      <c r="Y5" s="51">
        <f t="shared" si="13"/>
        <v>12233748.123000002</v>
      </c>
      <c r="Z5" s="51">
        <f t="shared" si="13"/>
        <v>13229994.131999997</v>
      </c>
      <c r="AA5" s="51">
        <f t="shared" si="13"/>
        <v>17599148.142999999</v>
      </c>
      <c r="AB5" s="51">
        <f t="shared" ref="AB5:AC5" si="14">SUM(AB7:AB22)</f>
        <v>20010364.766999997</v>
      </c>
      <c r="AC5" s="51">
        <f t="shared" si="14"/>
        <v>22189402</v>
      </c>
      <c r="AD5" s="51">
        <f t="shared" ref="AD5:AE5" si="15">SUM(AD7:AD22)</f>
        <v>24096687.873</v>
      </c>
      <c r="AE5" s="51">
        <f t="shared" si="15"/>
        <v>25363109.890000001</v>
      </c>
      <c r="AF5" s="51">
        <f t="shared" ref="AF5:AG5" si="16">SUM(AF7:AF22)</f>
        <v>26687261.703000005</v>
      </c>
      <c r="AG5" s="51">
        <f t="shared" si="16"/>
        <v>28388238.013999999</v>
      </c>
      <c r="AH5" s="51">
        <f t="shared" ref="AH5:AI5" si="17">SUM(AH7:AH22)</f>
        <v>30094469.185000006</v>
      </c>
      <c r="AI5" s="51">
        <f t="shared" si="17"/>
        <v>31021708.909000006</v>
      </c>
      <c r="AJ5" s="51">
        <f t="shared" ref="AJ5:AK5" si="18">SUM(AJ7:AJ22)</f>
        <v>0</v>
      </c>
      <c r="AK5" s="51">
        <f t="shared" si="18"/>
        <v>39110473.573999994</v>
      </c>
      <c r="AL5" s="51">
        <f t="shared" ref="AL5" si="19">SUM(AL7:AL22)</f>
        <v>34846458.733999997</v>
      </c>
    </row>
    <row r="6" spans="1:38" ht="12.75" customHeight="1">
      <c r="A6" s="6" t="s">
        <v>94</v>
      </c>
      <c r="J6" s="126"/>
      <c r="R6" s="18"/>
      <c r="T6" s="44"/>
    </row>
    <row r="7" spans="1:38" ht="12.75" customHeight="1">
      <c r="A7" s="1" t="s">
        <v>22</v>
      </c>
      <c r="B7" s="1">
        <f>46321+76355</f>
        <v>122676</v>
      </c>
      <c r="C7" s="1">
        <f>50415+79490</f>
        <v>129905</v>
      </c>
      <c r="D7" s="1">
        <f>53098+82057</f>
        <v>135155</v>
      </c>
      <c r="I7" s="1">
        <v>228159.49100000001</v>
      </c>
      <c r="J7" s="126">
        <v>255782.88699999999</v>
      </c>
      <c r="K7" s="1">
        <v>285686.78899999999</v>
      </c>
      <c r="L7" s="1">
        <v>306509.902</v>
      </c>
      <c r="M7" s="1">
        <v>312352.66100000002</v>
      </c>
      <c r="N7" s="1">
        <v>334903.09899999999</v>
      </c>
      <c r="O7" s="1">
        <v>395076.44400000002</v>
      </c>
      <c r="R7" s="24">
        <v>481702.53100000002</v>
      </c>
      <c r="S7" s="1">
        <v>511427.93800000002</v>
      </c>
      <c r="T7" s="44">
        <v>564143.01599999995</v>
      </c>
      <c r="U7" s="1">
        <v>520937.766</v>
      </c>
      <c r="V7" s="1">
        <v>572487.29700000002</v>
      </c>
      <c r="W7" s="126">
        <v>822856.98100000003</v>
      </c>
      <c r="X7" s="126">
        <v>733887.36899999995</v>
      </c>
      <c r="Y7" s="126">
        <v>792406.23499999999</v>
      </c>
      <c r="Z7" s="126">
        <v>874516.80500000005</v>
      </c>
      <c r="AA7" s="126">
        <v>1214428.6229999999</v>
      </c>
      <c r="AB7" s="126">
        <v>1391130.01</v>
      </c>
      <c r="AC7" s="126">
        <v>1526751</v>
      </c>
      <c r="AD7" s="1">
        <v>1649123.2720000001</v>
      </c>
      <c r="AE7" s="1">
        <v>1798908.4650000001</v>
      </c>
      <c r="AF7" s="1">
        <v>1915409.71</v>
      </c>
      <c r="AG7" s="1">
        <v>2042701.773</v>
      </c>
      <c r="AH7" s="1">
        <v>2178372.693</v>
      </c>
      <c r="AI7" s="1">
        <v>2327097.7930000001</v>
      </c>
      <c r="AK7" s="129">
        <v>2822910.9180000001</v>
      </c>
      <c r="AL7" s="1">
        <v>2648958.6940000001</v>
      </c>
    </row>
    <row r="8" spans="1:38" ht="12.75" customHeight="1">
      <c r="A8" s="1" t="s">
        <v>23</v>
      </c>
      <c r="B8" s="1">
        <f>17881+34592</f>
        <v>52473</v>
      </c>
      <c r="C8" s="1">
        <f>17874+36047</f>
        <v>53921</v>
      </c>
      <c r="D8" s="1">
        <f>17494+35723</f>
        <v>53217</v>
      </c>
      <c r="I8" s="1">
        <v>101750.333</v>
      </c>
      <c r="J8" s="126">
        <v>111246.981</v>
      </c>
      <c r="K8" s="1">
        <v>124368.33500000001</v>
      </c>
      <c r="L8" s="1">
        <v>134954.193</v>
      </c>
      <c r="M8" s="1">
        <v>139176.818</v>
      </c>
      <c r="N8" s="1">
        <v>143438.15</v>
      </c>
      <c r="O8" s="1">
        <v>187026.315</v>
      </c>
      <c r="R8" s="24">
        <v>197717.70300000001</v>
      </c>
      <c r="S8" s="1">
        <v>220992.58</v>
      </c>
      <c r="T8" s="44">
        <v>252116.106</v>
      </c>
      <c r="U8" s="1">
        <v>175001.70300000001</v>
      </c>
      <c r="V8" s="1">
        <v>200069.67</v>
      </c>
      <c r="W8" s="126">
        <v>346600.10600000003</v>
      </c>
      <c r="X8" s="126">
        <v>256568.92600000001</v>
      </c>
      <c r="Y8" s="126">
        <v>260653.98</v>
      </c>
      <c r="Z8" s="126">
        <v>285408.50599999999</v>
      </c>
      <c r="AA8" s="126">
        <v>453244.43199999997</v>
      </c>
      <c r="AB8" s="126">
        <v>514546.13500000001</v>
      </c>
      <c r="AC8" s="126">
        <v>563736</v>
      </c>
      <c r="AD8" s="1">
        <v>617349.321</v>
      </c>
      <c r="AE8" s="1">
        <v>651045.16799999995</v>
      </c>
      <c r="AF8" s="1">
        <v>682346.29799999995</v>
      </c>
      <c r="AG8" s="1">
        <v>729711.51800000004</v>
      </c>
      <c r="AH8" s="1">
        <v>769312.68</v>
      </c>
      <c r="AI8" s="1">
        <v>810583.62300000002</v>
      </c>
      <c r="AK8" s="1">
        <v>1017805.313</v>
      </c>
      <c r="AL8" s="1">
        <v>856676.20200000005</v>
      </c>
    </row>
    <row r="9" spans="1:38" ht="12.75" customHeight="1">
      <c r="A9" s="1" t="s">
        <v>24</v>
      </c>
      <c r="D9" s="1">
        <f>61567+2555</f>
        <v>64122</v>
      </c>
      <c r="I9" s="1">
        <v>117266.459</v>
      </c>
      <c r="J9" s="126">
        <v>128612.641</v>
      </c>
      <c r="M9" s="1">
        <v>155921.818</v>
      </c>
      <c r="N9" s="1">
        <v>163625.57</v>
      </c>
      <c r="O9" s="1">
        <v>177696.62100000001</v>
      </c>
      <c r="R9" s="24">
        <v>206168.27299999999</v>
      </c>
      <c r="S9" s="35">
        <v>172842.59700000001</v>
      </c>
      <c r="T9" s="45">
        <v>228106.23300000001</v>
      </c>
      <c r="U9" s="35">
        <v>190460.927</v>
      </c>
      <c r="V9" s="35">
        <v>202953.973</v>
      </c>
      <c r="W9" s="126">
        <v>218446.13099999999</v>
      </c>
      <c r="X9" s="126">
        <v>230542.09899999999</v>
      </c>
      <c r="Y9" s="126">
        <v>239456.41</v>
      </c>
      <c r="Z9" s="126">
        <v>255975.08300000001</v>
      </c>
      <c r="AA9" s="126">
        <v>368177.49900000001</v>
      </c>
      <c r="AB9" s="126">
        <v>421529.73</v>
      </c>
      <c r="AC9" s="126">
        <v>461506</v>
      </c>
      <c r="AD9" s="1">
        <v>505598.85200000001</v>
      </c>
      <c r="AE9" s="1">
        <v>537542.17200000002</v>
      </c>
      <c r="AF9" s="1">
        <v>561622.58299999998</v>
      </c>
      <c r="AG9" s="1">
        <v>598852.24600000004</v>
      </c>
      <c r="AH9" s="1">
        <v>609423.09299999999</v>
      </c>
      <c r="AI9" s="1">
        <v>51624.275000000001</v>
      </c>
      <c r="AK9" s="1">
        <v>516822.26500000001</v>
      </c>
      <c r="AL9" s="1">
        <v>521000.63199999998</v>
      </c>
    </row>
    <row r="10" spans="1:38" ht="12.75" customHeight="1">
      <c r="A10" s="1" t="s">
        <v>25</v>
      </c>
      <c r="B10" s="1">
        <f>45269+58597</f>
        <v>103866</v>
      </c>
      <c r="C10" s="1">
        <f>51408+69119</f>
        <v>120527</v>
      </c>
      <c r="D10" s="1">
        <f>56209+79239</f>
        <v>135448</v>
      </c>
      <c r="I10" s="1">
        <v>237218.96900000001</v>
      </c>
      <c r="J10" s="126">
        <v>289644.69300000003</v>
      </c>
      <c r="K10" s="1">
        <v>332967.24800000002</v>
      </c>
      <c r="L10" s="1">
        <v>344693.00900000002</v>
      </c>
      <c r="M10" s="1">
        <v>349983.902</v>
      </c>
      <c r="N10" s="1">
        <v>364870.33299999998</v>
      </c>
      <c r="O10" s="1">
        <v>458363.01899999997</v>
      </c>
      <c r="R10" s="24">
        <v>557114.45900000003</v>
      </c>
      <c r="S10" s="1">
        <v>618342.19200000004</v>
      </c>
      <c r="T10" s="44">
        <v>836332.65899999999</v>
      </c>
      <c r="U10" s="1">
        <v>765894.42599999998</v>
      </c>
      <c r="V10" s="1">
        <v>865157.549</v>
      </c>
      <c r="W10" s="126">
        <v>1304364.2790000001</v>
      </c>
      <c r="X10" s="126">
        <v>907343.06</v>
      </c>
      <c r="Y10" s="126">
        <v>925434.03599999996</v>
      </c>
      <c r="Z10" s="126">
        <v>1010715.454</v>
      </c>
      <c r="AA10" s="126">
        <v>1539633.2749999999</v>
      </c>
      <c r="AB10" s="126">
        <v>1751506.817</v>
      </c>
      <c r="AC10" s="126">
        <v>1992572</v>
      </c>
      <c r="AD10" s="1">
        <v>2219748.5490000001</v>
      </c>
      <c r="AE10" s="1">
        <v>2453601.15</v>
      </c>
      <c r="AF10" s="1">
        <v>2547504.8739999998</v>
      </c>
      <c r="AG10" s="1">
        <v>2631832.2149999999</v>
      </c>
      <c r="AH10" s="1">
        <v>2648495.7080000001</v>
      </c>
      <c r="AI10" s="1">
        <v>2857830.0490000001</v>
      </c>
      <c r="AK10" s="1">
        <v>3824175.6290000002</v>
      </c>
      <c r="AL10" s="1">
        <v>3125688.3080000002</v>
      </c>
    </row>
    <row r="11" spans="1:38" ht="12.75" customHeight="1">
      <c r="A11" s="1" t="s">
        <v>26</v>
      </c>
      <c r="B11" s="1">
        <f>31307+84942</f>
        <v>116249</v>
      </c>
      <c r="C11" s="1">
        <f>35648+95126</f>
        <v>130774</v>
      </c>
      <c r="D11" s="1">
        <f>40563+109247</f>
        <v>149810</v>
      </c>
      <c r="I11" s="1">
        <v>230168.52299999999</v>
      </c>
      <c r="J11" s="126">
        <v>245562.54300000001</v>
      </c>
      <c r="K11" s="1">
        <v>288922.14899999998</v>
      </c>
      <c r="L11" s="1">
        <v>321492.20299999998</v>
      </c>
      <c r="M11" s="1">
        <v>337872.04499999998</v>
      </c>
      <c r="N11" s="1">
        <v>366027.11099999998</v>
      </c>
      <c r="O11" s="1">
        <v>467359.522</v>
      </c>
      <c r="R11" s="24">
        <v>495847.54200000002</v>
      </c>
      <c r="S11" s="1">
        <v>537002.58400000003</v>
      </c>
      <c r="T11" s="44">
        <v>546892.72400000005</v>
      </c>
      <c r="U11" s="1">
        <v>528971.25800000003</v>
      </c>
      <c r="V11" s="1">
        <v>604231.11100000003</v>
      </c>
      <c r="W11" s="126">
        <v>781472.1</v>
      </c>
      <c r="X11" s="126">
        <v>706756.81200000003</v>
      </c>
      <c r="Y11" s="126">
        <v>774719.87699999998</v>
      </c>
      <c r="Z11" s="126">
        <v>862840.04799999995</v>
      </c>
      <c r="AA11" s="126">
        <v>1142883.3910000001</v>
      </c>
      <c r="AB11" s="126">
        <v>1420257.7279999999</v>
      </c>
      <c r="AC11" s="126">
        <v>1658186</v>
      </c>
      <c r="AD11" s="1">
        <v>1861062.7320000001</v>
      </c>
      <c r="AE11" s="1">
        <v>2017079.3230000001</v>
      </c>
      <c r="AF11" s="1">
        <v>2091267.68</v>
      </c>
      <c r="AG11" s="1">
        <v>2225950.523</v>
      </c>
      <c r="AH11" s="1">
        <v>2379649.2390000001</v>
      </c>
      <c r="AI11" s="1">
        <v>2454925.7910000002</v>
      </c>
      <c r="AK11" s="1">
        <v>2949442.0129999998</v>
      </c>
      <c r="AL11" s="1">
        <v>2686191.2779999999</v>
      </c>
    </row>
    <row r="12" spans="1:38" ht="12.75" customHeight="1">
      <c r="A12" s="1" t="s">
        <v>27</v>
      </c>
      <c r="B12" s="1">
        <f>48697+48173</f>
        <v>96870</v>
      </c>
      <c r="C12" s="1">
        <f>53989+49991</f>
        <v>103980</v>
      </c>
      <c r="D12" s="1">
        <f>60357+51805</f>
        <v>112162</v>
      </c>
      <c r="I12" s="1">
        <v>188241.20499999999</v>
      </c>
      <c r="J12" s="126">
        <v>213819.24400000001</v>
      </c>
      <c r="K12" s="1">
        <v>230739.72899999999</v>
      </c>
      <c r="L12" s="1">
        <v>253003.723</v>
      </c>
      <c r="M12" s="1">
        <v>271451.45299999998</v>
      </c>
      <c r="N12" s="1">
        <v>284981.21399999998</v>
      </c>
      <c r="O12" s="1">
        <v>335187.61200000002</v>
      </c>
      <c r="R12" s="18">
        <v>350981.22499999998</v>
      </c>
      <c r="S12" s="1">
        <v>372859.13900000002</v>
      </c>
      <c r="T12" s="44">
        <v>424554.03</v>
      </c>
      <c r="U12" s="1">
        <v>339652.93900000001</v>
      </c>
      <c r="V12" s="1">
        <v>384277.304</v>
      </c>
      <c r="W12" s="126">
        <v>635907.81900000002</v>
      </c>
      <c r="X12" s="126">
        <v>502200.61200000002</v>
      </c>
      <c r="Y12" s="126">
        <v>567718.26800000004</v>
      </c>
      <c r="Z12" s="126">
        <v>626025.11899999995</v>
      </c>
      <c r="AA12" s="126">
        <v>962838.14599999995</v>
      </c>
      <c r="AB12" s="126">
        <v>1034632.2659999999</v>
      </c>
      <c r="AC12" s="126">
        <v>1118635</v>
      </c>
      <c r="AD12" s="1">
        <v>1195317.7830000001</v>
      </c>
      <c r="AE12" s="1">
        <v>1272164.932</v>
      </c>
      <c r="AF12" s="1">
        <v>1333980.375</v>
      </c>
      <c r="AG12" s="1">
        <v>1410926.0660000001</v>
      </c>
      <c r="AH12" s="1">
        <v>1465157.5889999999</v>
      </c>
      <c r="AI12" s="1">
        <v>1511580.4380000001</v>
      </c>
      <c r="AK12" s="1">
        <v>1710767.42</v>
      </c>
      <c r="AL12" s="1">
        <v>1570027.8459999999</v>
      </c>
    </row>
    <row r="13" spans="1:38" ht="12.75" customHeight="1">
      <c r="A13" s="1" t="s">
        <v>28</v>
      </c>
      <c r="B13" s="1">
        <f>35121+81197</f>
        <v>116318</v>
      </c>
      <c r="C13" s="1">
        <f>35508+87202</f>
        <v>122710</v>
      </c>
      <c r="D13" s="1">
        <f>45162+102615</f>
        <v>147777</v>
      </c>
      <c r="I13" s="1">
        <v>245663.71599999999</v>
      </c>
      <c r="J13" s="126">
        <v>264814.69799999997</v>
      </c>
      <c r="K13" s="1">
        <v>295947.179</v>
      </c>
      <c r="L13" s="1">
        <v>328399.94799999997</v>
      </c>
      <c r="M13" s="1">
        <v>335046.10100000002</v>
      </c>
      <c r="N13" s="1">
        <v>347112.19400000002</v>
      </c>
      <c r="O13" s="1">
        <v>431528.505</v>
      </c>
      <c r="R13" s="18">
        <v>392129.56599999999</v>
      </c>
      <c r="S13" s="1">
        <v>433038.61</v>
      </c>
      <c r="T13" s="44">
        <v>467565.87199999997</v>
      </c>
      <c r="U13" s="1">
        <v>399053.83299999998</v>
      </c>
      <c r="V13" s="1">
        <v>455720.20799999998</v>
      </c>
      <c r="W13" s="126">
        <v>631816.09299999999</v>
      </c>
      <c r="X13" s="126">
        <v>515915.136</v>
      </c>
      <c r="Y13" s="126">
        <v>501619.32799999998</v>
      </c>
      <c r="Z13" s="126">
        <v>493188.27500000002</v>
      </c>
      <c r="AA13" s="126">
        <v>631986.07799999998</v>
      </c>
      <c r="AB13" s="126">
        <v>724351.82400000002</v>
      </c>
      <c r="AC13" s="126">
        <v>799598</v>
      </c>
      <c r="AD13" s="1">
        <v>891347.98600000003</v>
      </c>
      <c r="AE13" s="1">
        <v>969313.076</v>
      </c>
      <c r="AF13" s="1">
        <v>1082622.7069999999</v>
      </c>
      <c r="AG13" s="1">
        <v>1180865.1310000001</v>
      </c>
      <c r="AH13" s="1">
        <v>1297751.2220000001</v>
      </c>
      <c r="AI13" s="1">
        <v>1372749.851</v>
      </c>
      <c r="AK13" s="1">
        <v>1651282.3359999999</v>
      </c>
      <c r="AL13" s="1">
        <v>1490068.1140000001</v>
      </c>
    </row>
    <row r="14" spans="1:38" ht="12.75" customHeight="1">
      <c r="A14" s="1" t="s">
        <v>29</v>
      </c>
      <c r="B14" s="1">
        <v>140413</v>
      </c>
      <c r="C14" s="1">
        <f>0+181386</f>
        <v>181386</v>
      </c>
      <c r="D14" s="1">
        <f>0+167384</f>
        <v>167384</v>
      </c>
      <c r="I14" s="1">
        <v>263314.141</v>
      </c>
      <c r="J14" s="126">
        <v>305362.109</v>
      </c>
      <c r="K14" s="1">
        <v>337474.89500000002</v>
      </c>
      <c r="L14" s="1">
        <v>363773.20799999998</v>
      </c>
      <c r="M14" s="1">
        <v>390991.23100000003</v>
      </c>
      <c r="N14" s="1">
        <v>411723.86300000001</v>
      </c>
      <c r="O14" s="1">
        <v>517314.81699999998</v>
      </c>
      <c r="R14" s="18">
        <v>541872.52300000004</v>
      </c>
      <c r="S14" s="1">
        <v>589657.22499999998</v>
      </c>
      <c r="T14" s="44">
        <v>720293.40099999995</v>
      </c>
      <c r="U14" s="1">
        <v>674433.35400000005</v>
      </c>
      <c r="V14" s="1">
        <v>750084.64300000004</v>
      </c>
      <c r="W14" s="126">
        <v>977226.65800000005</v>
      </c>
      <c r="X14" s="126">
        <v>870852.58600000001</v>
      </c>
      <c r="Y14" s="126">
        <v>929039.63500000001</v>
      </c>
      <c r="Z14" s="126">
        <v>1002358.561</v>
      </c>
      <c r="AA14" s="126">
        <v>1145077.1680000001</v>
      </c>
      <c r="AB14" s="126">
        <v>1334710.433</v>
      </c>
      <c r="AC14" s="126">
        <v>1401334</v>
      </c>
      <c r="AD14" s="1">
        <v>1491582.371</v>
      </c>
      <c r="AE14" s="1">
        <v>1519137.307</v>
      </c>
      <c r="AF14" s="1">
        <v>1516008.615</v>
      </c>
      <c r="AG14" s="1">
        <v>1585918.811</v>
      </c>
      <c r="AH14" s="1">
        <v>1656971.517</v>
      </c>
      <c r="AI14" s="1">
        <v>1719990.531</v>
      </c>
      <c r="AK14" s="1">
        <v>2001379.4069999999</v>
      </c>
      <c r="AL14" s="1">
        <v>1857530.0859999999</v>
      </c>
    </row>
    <row r="15" spans="1:38" ht="12.75" customHeight="1">
      <c r="A15" s="1" t="s">
        <v>30</v>
      </c>
      <c r="B15" s="1">
        <f>14963+52951</f>
        <v>67914</v>
      </c>
      <c r="C15" s="1">
        <f>15459+56644</f>
        <v>72103</v>
      </c>
      <c r="D15" s="1">
        <f>17297+61232</f>
        <v>78529</v>
      </c>
      <c r="I15" s="1">
        <v>121075.39599999999</v>
      </c>
      <c r="J15" s="126">
        <v>140443.28099999999</v>
      </c>
      <c r="K15" s="1">
        <v>153924.85500000001</v>
      </c>
      <c r="L15" s="1">
        <v>160582.96400000001</v>
      </c>
      <c r="M15" s="1">
        <v>161830.51500000001</v>
      </c>
      <c r="N15" s="1">
        <v>170577.30300000001</v>
      </c>
      <c r="O15" s="1">
        <v>213570.628</v>
      </c>
      <c r="R15" s="18">
        <v>217465.53599999999</v>
      </c>
      <c r="S15" s="1">
        <v>237503.25399999999</v>
      </c>
      <c r="T15" s="44">
        <v>292849.25400000002</v>
      </c>
      <c r="U15" s="1">
        <v>249503.95699999999</v>
      </c>
      <c r="V15" s="1">
        <v>253473.10399999999</v>
      </c>
      <c r="W15" s="126">
        <v>355415.13799999998</v>
      </c>
      <c r="X15" s="126">
        <v>285081.201</v>
      </c>
      <c r="Y15" s="126">
        <v>301259.978</v>
      </c>
      <c r="Z15" s="126">
        <v>328079.54200000002</v>
      </c>
      <c r="AA15" s="126">
        <v>460826.93199999997</v>
      </c>
      <c r="AB15" s="126">
        <v>501143.64500000002</v>
      </c>
      <c r="AC15" s="126">
        <v>561897</v>
      </c>
      <c r="AD15" s="1">
        <v>625021.62100000004</v>
      </c>
      <c r="AE15" s="1">
        <v>675432.00300000003</v>
      </c>
      <c r="AF15" s="1">
        <v>734169.56200000003</v>
      </c>
      <c r="AG15" s="1">
        <v>790699.60100000002</v>
      </c>
      <c r="AH15" s="1">
        <v>850981.84600000002</v>
      </c>
      <c r="AI15" s="1">
        <v>909649.17500000005</v>
      </c>
      <c r="AK15" s="1">
        <v>1152522.3740000001</v>
      </c>
      <c r="AL15" s="1">
        <v>988241.81400000001</v>
      </c>
    </row>
    <row r="16" spans="1:38" ht="12.75" customHeight="1">
      <c r="A16" s="1" t="s">
        <v>31</v>
      </c>
      <c r="B16" s="1">
        <f>29371+84223</f>
        <v>113594</v>
      </c>
      <c r="C16" s="1">
        <f>27908+89979</f>
        <v>117887</v>
      </c>
      <c r="D16" s="1">
        <f>30697+100013</f>
        <v>130710</v>
      </c>
      <c r="I16" s="1">
        <v>207418.628</v>
      </c>
      <c r="J16" s="126">
        <v>245476.83300000001</v>
      </c>
      <c r="K16" s="1">
        <v>278058.09700000001</v>
      </c>
      <c r="L16" s="1">
        <v>302858.06699999998</v>
      </c>
      <c r="M16" s="1">
        <v>320887.277</v>
      </c>
      <c r="N16" s="1">
        <v>343577.34499999997</v>
      </c>
      <c r="O16" s="1">
        <v>422788.69400000002</v>
      </c>
      <c r="R16" s="18">
        <v>466423.7</v>
      </c>
      <c r="S16" s="1">
        <v>501641.64399999997</v>
      </c>
      <c r="T16" s="44">
        <v>593637.63300000003</v>
      </c>
      <c r="U16" s="1">
        <v>644142.65700000001</v>
      </c>
      <c r="V16" s="1">
        <v>694600.26399999997</v>
      </c>
      <c r="W16" s="126">
        <v>937316.09100000001</v>
      </c>
      <c r="X16" s="126">
        <v>864331.79799999995</v>
      </c>
      <c r="Y16" s="126">
        <v>956946.33499999996</v>
      </c>
      <c r="Z16" s="126">
        <v>1013942.5060000001</v>
      </c>
      <c r="AA16" s="126">
        <v>1270134.1129999999</v>
      </c>
      <c r="AB16" s="126">
        <v>1368193.747</v>
      </c>
      <c r="AC16" s="126">
        <v>1564059</v>
      </c>
      <c r="AD16" s="1">
        <v>1687857.36</v>
      </c>
      <c r="AE16" s="1">
        <v>1842920.906</v>
      </c>
      <c r="AF16" s="1">
        <v>1924483.618</v>
      </c>
      <c r="AG16" s="1">
        <v>2032930.862</v>
      </c>
      <c r="AH16" s="1">
        <v>2138559.2960000001</v>
      </c>
      <c r="AI16" s="1">
        <v>2257232.9759999998</v>
      </c>
      <c r="AK16" s="1">
        <v>2928808.5920000002</v>
      </c>
      <c r="AL16" s="1">
        <v>2359781.0839999998</v>
      </c>
    </row>
    <row r="17" spans="1:38" ht="12.75" customHeight="1">
      <c r="A17" s="1" t="s">
        <v>32</v>
      </c>
      <c r="B17" s="1">
        <v>53033</v>
      </c>
      <c r="C17" s="1">
        <f>0+55220</f>
        <v>55220</v>
      </c>
      <c r="D17" s="1">
        <f>0+59185</f>
        <v>59185</v>
      </c>
      <c r="I17" s="1">
        <v>117477.826</v>
      </c>
      <c r="J17" s="126">
        <v>142136.02499999999</v>
      </c>
      <c r="K17" s="1">
        <v>150383.13500000001</v>
      </c>
      <c r="L17" s="1">
        <v>163226.39499999999</v>
      </c>
      <c r="M17" s="1">
        <v>175341.96799999999</v>
      </c>
      <c r="N17" s="1">
        <v>188358.875</v>
      </c>
      <c r="O17" s="1">
        <v>235420.78643000001</v>
      </c>
      <c r="R17" s="18">
        <v>243054.89600000001</v>
      </c>
      <c r="S17" s="1">
        <v>247447.446</v>
      </c>
      <c r="T17" s="44">
        <v>278228.73499999999</v>
      </c>
      <c r="U17" s="1">
        <v>240438.54699999999</v>
      </c>
      <c r="V17" s="1">
        <v>319478.56199999998</v>
      </c>
      <c r="W17" s="126">
        <v>481931.87599999999</v>
      </c>
      <c r="X17" s="126">
        <v>434993.40500000003</v>
      </c>
      <c r="Y17" s="126">
        <v>474567.44300000003</v>
      </c>
      <c r="Z17" s="126">
        <v>533416.94799999997</v>
      </c>
      <c r="AA17" s="126">
        <v>636540.71699999995</v>
      </c>
      <c r="AB17" s="126">
        <v>737837.77099999995</v>
      </c>
      <c r="AC17" s="126">
        <v>804411</v>
      </c>
      <c r="AD17" s="1">
        <v>869966.35800000001</v>
      </c>
      <c r="AE17" s="1">
        <v>929396.174</v>
      </c>
      <c r="AF17" s="1">
        <v>983187.38</v>
      </c>
      <c r="AG17" s="1">
        <v>1039675.573</v>
      </c>
      <c r="AH17" s="1">
        <v>1084038.453</v>
      </c>
      <c r="AI17" s="1">
        <v>1166946.618</v>
      </c>
      <c r="AK17" s="1">
        <v>1504170.754</v>
      </c>
      <c r="AL17" s="1">
        <v>1314048.4169999999</v>
      </c>
    </row>
    <row r="18" spans="1:38" ht="12.75" customHeight="1">
      <c r="A18" s="1" t="s">
        <v>33</v>
      </c>
      <c r="B18" s="1">
        <f>53463+34867</f>
        <v>88330</v>
      </c>
      <c r="C18" s="1">
        <f>53056+36632</f>
        <v>89688</v>
      </c>
      <c r="D18" s="1">
        <f>59822+42789</f>
        <v>102611</v>
      </c>
      <c r="I18" s="1">
        <v>207812.45600000001</v>
      </c>
      <c r="J18" s="126">
        <v>228893.15400000001</v>
      </c>
      <c r="K18" s="1">
        <v>249649.25700000001</v>
      </c>
      <c r="L18" s="1">
        <v>272411.78499999997</v>
      </c>
      <c r="M18" s="1">
        <v>286117.98700000002</v>
      </c>
      <c r="N18" s="1">
        <v>299158.80129999999</v>
      </c>
      <c r="O18" s="1">
        <v>351604.35100000002</v>
      </c>
      <c r="R18" s="18">
        <v>375060.55200000003</v>
      </c>
      <c r="S18" s="1">
        <v>397221.17700000003</v>
      </c>
      <c r="T18" s="44">
        <v>470724.14899999998</v>
      </c>
      <c r="U18" s="1">
        <v>443171.86599999998</v>
      </c>
      <c r="V18" s="1">
        <v>525465.326</v>
      </c>
      <c r="W18" s="126">
        <v>771192.31099999999</v>
      </c>
      <c r="X18" s="126">
        <v>684726.01699999999</v>
      </c>
      <c r="Y18" s="126">
        <v>748655.33400000003</v>
      </c>
      <c r="Z18" s="126">
        <v>815020.46499999997</v>
      </c>
      <c r="AA18" s="126">
        <v>1100140.0160000001</v>
      </c>
      <c r="AB18" s="126">
        <v>1279662.4410000001</v>
      </c>
      <c r="AC18" s="126">
        <v>1392171</v>
      </c>
      <c r="AD18" s="1">
        <v>1484795.0330000001</v>
      </c>
      <c r="AE18" s="1">
        <v>1560095.496</v>
      </c>
      <c r="AF18" s="1">
        <v>1639239.6880000001</v>
      </c>
      <c r="AG18" s="1">
        <v>1745100.149</v>
      </c>
      <c r="AH18" s="1">
        <v>1843936.344</v>
      </c>
      <c r="AI18" s="1">
        <v>1945696.567</v>
      </c>
      <c r="AK18" s="1">
        <v>2307063.9819999998</v>
      </c>
      <c r="AL18" s="1">
        <v>2214270.8309999998</v>
      </c>
    </row>
    <row r="19" spans="1:38" ht="12.75" customHeight="1">
      <c r="A19" s="1" t="s">
        <v>34</v>
      </c>
      <c r="B19" s="1">
        <f>34935+74391</f>
        <v>109326</v>
      </c>
      <c r="C19" s="1">
        <f>37561+79404</f>
        <v>116965</v>
      </c>
      <c r="D19" s="1">
        <f>40337+85973</f>
        <v>126310</v>
      </c>
      <c r="I19" s="1">
        <v>202436.31200000001</v>
      </c>
      <c r="J19" s="126">
        <v>217268.83199999999</v>
      </c>
      <c r="K19" s="1">
        <v>234030.636</v>
      </c>
      <c r="L19" s="1">
        <v>248010.26500000001</v>
      </c>
      <c r="M19" s="1">
        <v>256566.99</v>
      </c>
      <c r="N19" s="1">
        <v>271318.20799999998</v>
      </c>
      <c r="O19" s="1">
        <v>330299.49702999997</v>
      </c>
      <c r="R19" s="24">
        <v>406242.484</v>
      </c>
      <c r="S19" s="1">
        <v>439153.41</v>
      </c>
      <c r="T19" s="44">
        <v>492519.38299999997</v>
      </c>
      <c r="U19" s="1">
        <v>478836.47200000001</v>
      </c>
      <c r="V19" s="1">
        <v>499782.62599999999</v>
      </c>
      <c r="W19" s="126">
        <v>648427.86699999997</v>
      </c>
      <c r="X19" s="126">
        <v>558228.60199999996</v>
      </c>
      <c r="Y19" s="126">
        <v>558648.58200000005</v>
      </c>
      <c r="Z19" s="126">
        <v>580905.89099999995</v>
      </c>
      <c r="AA19" s="126">
        <v>888561.299</v>
      </c>
      <c r="AB19" s="126">
        <v>989594.58100000001</v>
      </c>
      <c r="AC19" s="126">
        <v>1090733</v>
      </c>
      <c r="AD19" s="1">
        <v>1209223.696</v>
      </c>
      <c r="AE19" s="1">
        <v>1264539.547</v>
      </c>
      <c r="AF19" s="1">
        <v>1336507.8030000001</v>
      </c>
      <c r="AG19" s="1">
        <v>1446085.777</v>
      </c>
      <c r="AH19" s="1">
        <v>1466717.351</v>
      </c>
      <c r="AI19" s="1">
        <v>1498837.6939999999</v>
      </c>
      <c r="AK19" s="1">
        <v>1805763.0660000001</v>
      </c>
      <c r="AL19" s="1">
        <v>1634557.4739999999</v>
      </c>
    </row>
    <row r="20" spans="1:38" ht="12.75" customHeight="1">
      <c r="A20" s="1" t="s">
        <v>35</v>
      </c>
      <c r="B20" s="1">
        <f>90438+135504</f>
        <v>225942</v>
      </c>
      <c r="C20" s="1">
        <f>87685+140931</f>
        <v>228616</v>
      </c>
      <c r="D20" s="1">
        <f>150603+221005</f>
        <v>371608</v>
      </c>
      <c r="I20" s="1">
        <v>560898.40500000003</v>
      </c>
      <c r="J20" s="126">
        <v>637788.69700000004</v>
      </c>
      <c r="K20" s="1">
        <v>758414.35900000005</v>
      </c>
      <c r="L20" s="1">
        <v>808435.03899999999</v>
      </c>
      <c r="M20" s="1">
        <v>866020.20499999996</v>
      </c>
      <c r="N20" s="1">
        <v>1000672.184</v>
      </c>
      <c r="O20" s="1">
        <v>1292531.936</v>
      </c>
      <c r="R20" s="18">
        <v>1427179.6059999999</v>
      </c>
      <c r="S20" s="1">
        <v>1561603.2990000001</v>
      </c>
      <c r="T20" s="44">
        <v>1728073.42</v>
      </c>
      <c r="U20" s="1">
        <v>1607192.0209999999</v>
      </c>
      <c r="V20" s="1">
        <v>1830159.0260000001</v>
      </c>
      <c r="W20" s="126">
        <v>2627378.6949999998</v>
      </c>
      <c r="X20" s="126">
        <v>2333174.9169999999</v>
      </c>
      <c r="Y20" s="126">
        <v>2602198.017</v>
      </c>
      <c r="Z20" s="126">
        <v>2801594.3020000001</v>
      </c>
      <c r="AA20" s="126">
        <v>3538361.34</v>
      </c>
      <c r="AB20" s="126">
        <v>4129871.696</v>
      </c>
      <c r="AC20" s="126">
        <v>4571063</v>
      </c>
      <c r="AD20" s="1">
        <v>4892026.7520000003</v>
      </c>
      <c r="AE20" s="1">
        <v>4883144.5559999999</v>
      </c>
      <c r="AF20" s="1">
        <v>5142474.5</v>
      </c>
      <c r="AG20" s="1">
        <v>5561202.4450000003</v>
      </c>
      <c r="AH20" s="1">
        <v>6116625.4790000003</v>
      </c>
      <c r="AI20" s="1">
        <v>6386275.466</v>
      </c>
      <c r="AK20" s="1">
        <v>8213037.0769999996</v>
      </c>
      <c r="AL20" s="1">
        <v>7325356.9129999997</v>
      </c>
    </row>
    <row r="21" spans="1:38" ht="12.75" customHeight="1">
      <c r="A21" s="1" t="s">
        <v>36</v>
      </c>
      <c r="B21" s="1">
        <f>68911+132300</f>
        <v>201211</v>
      </c>
      <c r="C21" s="1">
        <f>79355+156652</f>
        <v>236007</v>
      </c>
      <c r="D21" s="1">
        <f>90087+172740</f>
        <v>262827</v>
      </c>
      <c r="I21" s="1">
        <v>428065.55200000003</v>
      </c>
      <c r="J21" s="126">
        <v>490063.20500000002</v>
      </c>
      <c r="K21" s="1">
        <v>544395.33400000003</v>
      </c>
      <c r="L21" s="1">
        <v>595166.16099999996</v>
      </c>
      <c r="M21" s="1">
        <v>642587.13800000004</v>
      </c>
      <c r="N21" s="1">
        <v>657504.17599999998</v>
      </c>
      <c r="O21" s="1">
        <v>734988.26</v>
      </c>
      <c r="R21" s="18">
        <v>731790.84400000004</v>
      </c>
      <c r="S21" s="1">
        <v>757382.39899999998</v>
      </c>
      <c r="T21" s="44">
        <v>835928.91500000004</v>
      </c>
      <c r="U21" s="1">
        <v>820763.77599999995</v>
      </c>
      <c r="V21" s="1">
        <v>961300.27099999995</v>
      </c>
      <c r="W21" s="126">
        <v>1222937.8419999999</v>
      </c>
      <c r="X21" s="126">
        <v>1150268.8430000001</v>
      </c>
      <c r="Y21" s="126">
        <v>1240115.6599999999</v>
      </c>
      <c r="Z21" s="126">
        <v>1356669.4720000001</v>
      </c>
      <c r="AA21" s="126">
        <v>1758572.75</v>
      </c>
      <c r="AB21" s="126">
        <v>1898874.8430000001</v>
      </c>
      <c r="AC21" s="126">
        <v>2107531</v>
      </c>
      <c r="AD21" s="1">
        <v>2289474.1</v>
      </c>
      <c r="AE21" s="1">
        <v>2378238.5980000002</v>
      </c>
      <c r="AF21" s="1">
        <v>2524609.5430000001</v>
      </c>
      <c r="AG21" s="1">
        <v>2669294.057</v>
      </c>
      <c r="AH21" s="1">
        <v>2863016.4780000001</v>
      </c>
      <c r="AI21" s="1">
        <v>2998913.7230000002</v>
      </c>
      <c r="AK21" s="1">
        <v>3791226.98</v>
      </c>
      <c r="AL21" s="1">
        <v>3462205.554</v>
      </c>
    </row>
    <row r="22" spans="1:38" ht="12.75" customHeight="1">
      <c r="A22" s="27" t="s">
        <v>37</v>
      </c>
      <c r="B22" s="27">
        <f>30022+21234</f>
        <v>51256</v>
      </c>
      <c r="C22" s="27">
        <f>20262+21459</f>
        <v>41721</v>
      </c>
      <c r="D22" s="27">
        <f>20443+27276</f>
        <v>47719</v>
      </c>
      <c r="E22" s="27"/>
      <c r="F22" s="27"/>
      <c r="G22" s="27"/>
      <c r="H22" s="27"/>
      <c r="I22" s="27">
        <v>111420.336</v>
      </c>
      <c r="J22" s="127">
        <v>128429.81600000001</v>
      </c>
      <c r="K22" s="27">
        <v>147816.12100000001</v>
      </c>
      <c r="L22" s="27">
        <v>157319.913</v>
      </c>
      <c r="M22" s="27">
        <v>167231.617</v>
      </c>
      <c r="N22" s="27">
        <v>169462.182</v>
      </c>
      <c r="O22" s="27">
        <v>205859.48189</v>
      </c>
      <c r="P22" s="27"/>
      <c r="Q22" s="27"/>
      <c r="R22" s="27">
        <v>210622.32399999999</v>
      </c>
      <c r="S22" s="27">
        <v>219977.43299999999</v>
      </c>
      <c r="T22" s="61">
        <v>240447.524</v>
      </c>
      <c r="U22" s="27">
        <v>224130.91200000001</v>
      </c>
      <c r="V22" s="27">
        <v>258768.476</v>
      </c>
      <c r="W22" s="127">
        <v>351260.92200000002</v>
      </c>
      <c r="X22" s="127">
        <v>322513.70299999998</v>
      </c>
      <c r="Y22" s="127">
        <v>360309.005</v>
      </c>
      <c r="Z22" s="127">
        <v>389337.15500000003</v>
      </c>
      <c r="AA22" s="127">
        <v>487742.364</v>
      </c>
      <c r="AB22" s="127">
        <v>512521.1</v>
      </c>
      <c r="AC22" s="127">
        <v>575219</v>
      </c>
      <c r="AD22" s="27">
        <v>607192.08700000006</v>
      </c>
      <c r="AE22" s="27">
        <v>610551.01699999999</v>
      </c>
      <c r="AF22" s="27">
        <v>671826.76699999999</v>
      </c>
      <c r="AG22" s="27">
        <v>696491.26699999999</v>
      </c>
      <c r="AH22" s="27">
        <v>725460.19700000004</v>
      </c>
      <c r="AI22" s="27">
        <v>751774.33900000004</v>
      </c>
      <c r="AJ22" s="27"/>
      <c r="AK22" s="27">
        <v>913295.44799999997</v>
      </c>
      <c r="AL22" s="1">
        <v>791855.48699999996</v>
      </c>
    </row>
    <row r="23" spans="1:38" ht="12.75" customHeight="1">
      <c r="A23" s="6" t="s">
        <v>38</v>
      </c>
      <c r="J23" s="51">
        <f t="shared" ref="J23" si="20">SUM(J25:J37)</f>
        <v>2479181.3740000003</v>
      </c>
      <c r="M23" s="51">
        <f t="shared" ref="M23" si="21">SUM(M25:M37)</f>
        <v>3469059.6049999995</v>
      </c>
      <c r="O23" s="51">
        <f t="shared" ref="O23" si="22">SUM(O25:O37)</f>
        <v>4438166.1021800004</v>
      </c>
      <c r="R23" s="51">
        <f t="shared" ref="R23:AL23" si="23">SUM(R25:R37)</f>
        <v>4569930.4850000003</v>
      </c>
      <c r="S23" s="51">
        <f t="shared" si="23"/>
        <v>4874107.8849999998</v>
      </c>
      <c r="T23" s="60">
        <f t="shared" si="23"/>
        <v>5273247.629999999</v>
      </c>
      <c r="U23" s="51">
        <f t="shared" si="23"/>
        <v>4690027.0049999999</v>
      </c>
      <c r="V23" s="51">
        <f t="shared" si="23"/>
        <v>5477202.2420000006</v>
      </c>
      <c r="W23" s="51">
        <f t="shared" si="23"/>
        <v>7575955.4880000008</v>
      </c>
      <c r="X23" s="51">
        <f t="shared" si="23"/>
        <v>6834916.3470000001</v>
      </c>
      <c r="Y23" s="51">
        <f t="shared" si="23"/>
        <v>7278425.6029999992</v>
      </c>
      <c r="Z23" s="51">
        <f t="shared" si="23"/>
        <v>7894689.415000001</v>
      </c>
      <c r="AA23" s="51">
        <f t="shared" si="23"/>
        <v>10423778.094999999</v>
      </c>
      <c r="AB23" s="51">
        <f t="shared" si="23"/>
        <v>12251063.15</v>
      </c>
      <c r="AC23" s="51">
        <f t="shared" si="23"/>
        <v>14019934</v>
      </c>
      <c r="AD23" s="51">
        <f t="shared" si="23"/>
        <v>16104511.771</v>
      </c>
      <c r="AE23" s="51">
        <f t="shared" si="23"/>
        <v>16988145.701999996</v>
      </c>
      <c r="AF23" s="51">
        <f t="shared" si="23"/>
        <v>17909585.602000002</v>
      </c>
      <c r="AG23" s="51">
        <f t="shared" si="23"/>
        <v>19116037.063999999</v>
      </c>
      <c r="AH23" s="51">
        <f t="shared" si="23"/>
        <v>20282294.314999998</v>
      </c>
      <c r="AI23" s="51">
        <f t="shared" si="23"/>
        <v>21053201.800000001</v>
      </c>
      <c r="AJ23" s="51">
        <f t="shared" si="23"/>
        <v>0</v>
      </c>
      <c r="AK23" s="51">
        <f t="shared" si="23"/>
        <v>26729224.118000001</v>
      </c>
      <c r="AL23" s="131">
        <f t="shared" si="23"/>
        <v>23948833.728000004</v>
      </c>
    </row>
    <row r="24" spans="1:38" ht="12.75" customHeight="1">
      <c r="A24" s="6" t="s">
        <v>94</v>
      </c>
      <c r="T24" s="44"/>
    </row>
    <row r="25" spans="1:38" ht="12.75" customHeight="1">
      <c r="A25" s="1" t="s">
        <v>39</v>
      </c>
      <c r="J25" s="126">
        <v>33813.557999999997</v>
      </c>
      <c r="M25" s="1">
        <v>43780.853999999999</v>
      </c>
      <c r="O25" s="1">
        <v>53466.298999999999</v>
      </c>
      <c r="R25" s="18">
        <v>48136.773000000001</v>
      </c>
      <c r="S25" s="1">
        <v>50024.353999999999</v>
      </c>
      <c r="T25" s="44">
        <v>53834.974999999999</v>
      </c>
      <c r="U25" s="1">
        <v>54139.773999999998</v>
      </c>
      <c r="V25" s="1">
        <v>61080.777000000002</v>
      </c>
      <c r="W25" s="126">
        <v>75091.532999999996</v>
      </c>
      <c r="X25" s="126">
        <v>78078.192999999999</v>
      </c>
      <c r="Y25" s="126">
        <v>83329.747000000003</v>
      </c>
      <c r="Z25" s="126">
        <v>90675.4</v>
      </c>
      <c r="AA25" s="126">
        <v>105856.171</v>
      </c>
      <c r="AB25" s="126">
        <v>118072.781</v>
      </c>
      <c r="AC25" s="126">
        <v>128513</v>
      </c>
      <c r="AD25" s="1">
        <v>136451.97500000001</v>
      </c>
      <c r="AE25" s="1">
        <v>139831.66</v>
      </c>
      <c r="AF25" s="1">
        <v>139241.261</v>
      </c>
      <c r="AG25" s="1">
        <v>143444.421</v>
      </c>
      <c r="AH25" s="1">
        <v>150014.829</v>
      </c>
      <c r="AI25" s="1">
        <v>151585.22</v>
      </c>
      <c r="AK25" s="1">
        <v>177262.76199999999</v>
      </c>
      <c r="AL25" s="1">
        <v>141181.51</v>
      </c>
    </row>
    <row r="26" spans="1:38" ht="12.75" customHeight="1">
      <c r="A26" s="1" t="s">
        <v>40</v>
      </c>
      <c r="J26" s="126">
        <v>264274.00199999998</v>
      </c>
      <c r="M26" s="1">
        <v>319661.80099999998</v>
      </c>
      <c r="O26" s="1">
        <v>387685.049</v>
      </c>
      <c r="R26" s="18">
        <v>420050.163</v>
      </c>
      <c r="S26" s="1">
        <v>445301.57299999997</v>
      </c>
      <c r="T26" s="44">
        <v>488054.614</v>
      </c>
      <c r="U26" s="1">
        <v>409047.74200000003</v>
      </c>
      <c r="V26" s="1">
        <v>496651.90299999999</v>
      </c>
      <c r="W26" s="126">
        <v>719163.01399999997</v>
      </c>
      <c r="X26" s="126">
        <v>624923.31200000003</v>
      </c>
      <c r="Y26" s="126">
        <v>698573.40899999999</v>
      </c>
      <c r="Z26" s="126">
        <v>767343.79200000002</v>
      </c>
      <c r="AA26" s="126">
        <v>1132166.1580000001</v>
      </c>
      <c r="AB26" s="126">
        <v>1353536.8559999999</v>
      </c>
      <c r="AC26" s="126">
        <v>1553237</v>
      </c>
      <c r="AD26" s="1">
        <v>1760996.8230000001</v>
      </c>
      <c r="AE26" s="1">
        <v>1892565.0959999999</v>
      </c>
      <c r="AF26" s="1">
        <v>2053654.709</v>
      </c>
      <c r="AG26" s="1">
        <v>2321290.7540000002</v>
      </c>
      <c r="AH26" s="1">
        <v>2577862.6170000001</v>
      </c>
      <c r="AI26" s="1">
        <v>2790815.8760000002</v>
      </c>
      <c r="AK26" s="1">
        <v>3482437.2949999999</v>
      </c>
      <c r="AL26" s="1">
        <v>3314326.5260000001</v>
      </c>
    </row>
    <row r="27" spans="1:38" ht="12.75" customHeight="1">
      <c r="A27" s="1" t="s">
        <v>41</v>
      </c>
      <c r="J27" s="126">
        <v>1023099.934</v>
      </c>
      <c r="M27" s="1">
        <v>1558234.7339999999</v>
      </c>
      <c r="O27" s="1">
        <v>2013420.352</v>
      </c>
      <c r="R27" s="18">
        <v>2005146.3459999999</v>
      </c>
      <c r="S27" s="1">
        <v>2126366.2710000002</v>
      </c>
      <c r="T27" s="44">
        <v>2164763.6129999999</v>
      </c>
      <c r="U27" s="1">
        <v>1848937.7549999999</v>
      </c>
      <c r="V27" s="1">
        <v>2281845.3250000002</v>
      </c>
      <c r="W27" s="126">
        <v>3292085.3480000002</v>
      </c>
      <c r="X27" s="126">
        <v>2797485</v>
      </c>
      <c r="Y27" s="126">
        <v>2919860.2590000001</v>
      </c>
      <c r="Z27" s="126">
        <v>3226178.5419999999</v>
      </c>
      <c r="AA27" s="126">
        <v>4474498.3629999999</v>
      </c>
      <c r="AB27" s="126">
        <v>5359274.5999999996</v>
      </c>
      <c r="AC27" s="126">
        <v>6152654</v>
      </c>
      <c r="AD27" s="1">
        <v>7339032.8720000004</v>
      </c>
      <c r="AE27" s="1">
        <v>7646038.6689999998</v>
      </c>
      <c r="AF27" s="1">
        <v>8036308.9840000002</v>
      </c>
      <c r="AG27" s="1">
        <v>8525854.7689999994</v>
      </c>
      <c r="AH27" s="1">
        <v>9026018.8699999992</v>
      </c>
      <c r="AI27" s="1">
        <v>9354780.1300000008</v>
      </c>
      <c r="AK27" s="1">
        <v>12551791.511</v>
      </c>
      <c r="AL27" s="1">
        <v>10650709.948000001</v>
      </c>
    </row>
    <row r="28" spans="1:38" ht="12.75" customHeight="1">
      <c r="A28" s="1" t="s">
        <v>42</v>
      </c>
      <c r="J28" s="126">
        <v>373039.68800000002</v>
      </c>
      <c r="M28" s="1">
        <v>444734.13099999999</v>
      </c>
      <c r="O28" s="1">
        <v>524816.91622000001</v>
      </c>
      <c r="R28" s="18">
        <v>553693.20400000003</v>
      </c>
      <c r="S28" s="1">
        <v>585564.76599999995</v>
      </c>
      <c r="T28" s="44">
        <v>651019.68400000001</v>
      </c>
      <c r="U28" s="1">
        <v>595254.804</v>
      </c>
      <c r="V28" s="1">
        <v>635702.68799999997</v>
      </c>
      <c r="W28" s="126">
        <v>844283.63</v>
      </c>
      <c r="X28" s="126">
        <v>946557.37300000002</v>
      </c>
      <c r="Y28" s="126">
        <v>1007304.8860000001</v>
      </c>
      <c r="Z28" s="126">
        <v>1087258.189</v>
      </c>
      <c r="AA28" s="126">
        <v>1317370.757</v>
      </c>
      <c r="AB28" s="126">
        <v>1480564.182</v>
      </c>
      <c r="AC28" s="126">
        <v>1670864</v>
      </c>
      <c r="AD28" s="1">
        <v>1834737.7390000001</v>
      </c>
      <c r="AE28" s="1">
        <v>1935088.031</v>
      </c>
      <c r="AF28" s="1">
        <v>2069131.544</v>
      </c>
      <c r="AG28" s="1">
        <v>2228878.4040000001</v>
      </c>
      <c r="AH28" s="1">
        <v>2373421.6639999999</v>
      </c>
      <c r="AI28" s="1">
        <v>2535000.9</v>
      </c>
      <c r="AK28" s="1">
        <v>2892359.9380000001</v>
      </c>
      <c r="AL28" s="1">
        <v>2896865.6179999998</v>
      </c>
    </row>
    <row r="29" spans="1:38" ht="12.75" customHeight="1">
      <c r="A29" s="1" t="s">
        <v>43</v>
      </c>
      <c r="J29" s="126">
        <v>34612.087</v>
      </c>
      <c r="M29" s="1">
        <v>35502.476000000002</v>
      </c>
      <c r="O29" s="1">
        <v>67607.895999999993</v>
      </c>
      <c r="R29" s="18">
        <v>78319.856</v>
      </c>
      <c r="S29" s="1">
        <v>79745.25</v>
      </c>
      <c r="T29" s="44">
        <v>81825.789999999994</v>
      </c>
      <c r="U29" s="1">
        <v>65028.353000000003</v>
      </c>
      <c r="V29" s="1">
        <v>82792.607999999993</v>
      </c>
      <c r="W29" s="126">
        <v>106306.446</v>
      </c>
      <c r="X29" s="126">
        <v>94868.96</v>
      </c>
      <c r="Y29" s="126">
        <v>105635.614</v>
      </c>
      <c r="Z29" s="126">
        <v>133875.46900000001</v>
      </c>
      <c r="AA29" s="126">
        <v>160927.39199999999</v>
      </c>
      <c r="AB29" s="126">
        <v>175056.21100000001</v>
      </c>
      <c r="AC29" s="126">
        <v>247317</v>
      </c>
      <c r="AD29" s="1">
        <v>272939.69699999999</v>
      </c>
      <c r="AE29" s="1">
        <v>284473.12</v>
      </c>
      <c r="AF29" s="1">
        <v>298149.60499999998</v>
      </c>
      <c r="AG29" s="1">
        <v>312076.804</v>
      </c>
      <c r="AH29" s="1">
        <v>323941.80200000003</v>
      </c>
      <c r="AI29" s="1">
        <v>324338.94300000003</v>
      </c>
      <c r="AK29" s="1">
        <v>339923.57500000001</v>
      </c>
      <c r="AL29" s="1">
        <v>318946.62400000001</v>
      </c>
    </row>
    <row r="30" spans="1:38" ht="12.75" customHeight="1">
      <c r="A30" s="1" t="s">
        <v>44</v>
      </c>
      <c r="J30" s="126">
        <v>49107.260999999999</v>
      </c>
      <c r="M30" s="1">
        <v>73755.057000000001</v>
      </c>
      <c r="O30" s="1">
        <v>115307.906</v>
      </c>
      <c r="R30" s="18">
        <v>122057.461</v>
      </c>
      <c r="S30" s="1">
        <v>133186.34599999999</v>
      </c>
      <c r="T30" s="44">
        <v>135273.459</v>
      </c>
      <c r="U30" s="1">
        <v>117538.736</v>
      </c>
      <c r="V30" s="1">
        <v>125566.417</v>
      </c>
      <c r="W30" s="126">
        <v>189958.019</v>
      </c>
      <c r="X30" s="126">
        <v>165672.75599999999</v>
      </c>
      <c r="Y30" s="126">
        <v>176682.53700000001</v>
      </c>
      <c r="Z30" s="126">
        <v>187426.65</v>
      </c>
      <c r="AA30" s="126">
        <v>252101.93100000001</v>
      </c>
      <c r="AB30" s="126">
        <v>274651.12900000002</v>
      </c>
      <c r="AC30" s="126">
        <v>310609</v>
      </c>
      <c r="AD30" s="1">
        <v>338028.82199999999</v>
      </c>
      <c r="AE30" s="1">
        <v>352550.549</v>
      </c>
      <c r="AF30" s="1">
        <v>363166.342</v>
      </c>
      <c r="AG30" s="1">
        <v>389102.39600000001</v>
      </c>
      <c r="AH30" s="1">
        <v>393614.527</v>
      </c>
      <c r="AI30" s="1">
        <v>396837.91399999999</v>
      </c>
      <c r="AK30" s="1">
        <v>496772.59299999999</v>
      </c>
      <c r="AL30" s="1">
        <v>444560.29800000001</v>
      </c>
    </row>
    <row r="31" spans="1:38" ht="12.75" customHeight="1">
      <c r="A31" s="1" t="s">
        <v>45</v>
      </c>
      <c r="J31" s="126">
        <v>41964.201999999997</v>
      </c>
      <c r="M31" s="1">
        <v>75644.134999999995</v>
      </c>
      <c r="O31" s="1">
        <v>113008.308</v>
      </c>
      <c r="R31" s="24">
        <v>115915.79700000001</v>
      </c>
      <c r="S31" s="1">
        <v>121846.03599999999</v>
      </c>
      <c r="T31" s="44">
        <v>145642.85999999999</v>
      </c>
      <c r="U31" s="1">
        <v>149060.636</v>
      </c>
      <c r="V31" s="1">
        <v>157439.136</v>
      </c>
      <c r="W31" s="126">
        <v>207652.38099999999</v>
      </c>
      <c r="X31" s="126">
        <v>188043.98</v>
      </c>
      <c r="Y31" s="126">
        <v>204558.00099999999</v>
      </c>
      <c r="Z31" s="126">
        <v>210467.329</v>
      </c>
      <c r="AA31" s="126">
        <v>258155.71100000001</v>
      </c>
      <c r="AB31" s="126">
        <v>281115.34999999998</v>
      </c>
      <c r="AC31" s="126">
        <v>306889</v>
      </c>
      <c r="AD31" s="1">
        <v>319380.39600000001</v>
      </c>
      <c r="AE31" s="1">
        <v>329977.40700000001</v>
      </c>
      <c r="AF31" s="1">
        <v>336845.185</v>
      </c>
      <c r="AG31" s="1">
        <v>344242.84299999999</v>
      </c>
      <c r="AH31" s="1">
        <v>342090.821</v>
      </c>
      <c r="AI31" s="1">
        <v>354710.76899999997</v>
      </c>
      <c r="AK31" s="1">
        <v>420704.87199999997</v>
      </c>
      <c r="AL31" s="1">
        <v>371059.603</v>
      </c>
    </row>
    <row r="32" spans="1:38" ht="12.75" customHeight="1">
      <c r="A32" s="1" t="s">
        <v>46</v>
      </c>
      <c r="J32" s="126">
        <v>41283.784</v>
      </c>
      <c r="M32" s="1">
        <v>60092.464999999997</v>
      </c>
      <c r="O32" s="1">
        <v>74058.210000000006</v>
      </c>
      <c r="R32" s="24">
        <v>90343.577999999994</v>
      </c>
      <c r="S32" s="1">
        <v>101271.391</v>
      </c>
      <c r="T32" s="44">
        <v>122822.306</v>
      </c>
      <c r="U32" s="1">
        <v>109417.298</v>
      </c>
      <c r="V32" s="1">
        <v>153279.31</v>
      </c>
      <c r="W32" s="126">
        <v>223502.79399999999</v>
      </c>
      <c r="X32" s="126">
        <v>205716.50700000001</v>
      </c>
      <c r="Y32" s="126">
        <v>224701.35800000001</v>
      </c>
      <c r="Z32" s="126">
        <v>244158.77499999999</v>
      </c>
      <c r="AA32" s="126">
        <v>266320.94900000002</v>
      </c>
      <c r="AB32" s="126">
        <v>295104.65000000002</v>
      </c>
      <c r="AC32" s="126">
        <v>324511</v>
      </c>
      <c r="AD32" s="1">
        <v>354272.17800000001</v>
      </c>
      <c r="AE32" s="1">
        <v>372707.03899999999</v>
      </c>
      <c r="AF32" s="1">
        <v>398241.728</v>
      </c>
      <c r="AG32" s="1">
        <v>406535.25599999999</v>
      </c>
      <c r="AH32" s="1">
        <v>436454.48</v>
      </c>
      <c r="AI32" s="1">
        <v>457907.79700000002</v>
      </c>
      <c r="AK32" s="1">
        <v>562659.01300000004</v>
      </c>
      <c r="AL32" s="1">
        <v>537785.09</v>
      </c>
    </row>
    <row r="33" spans="1:38" ht="12.75" customHeight="1">
      <c r="A33" s="1" t="s">
        <v>47</v>
      </c>
      <c r="J33" s="126">
        <v>70147.464999999997</v>
      </c>
      <c r="M33" s="1">
        <v>88190.365999999995</v>
      </c>
      <c r="O33" s="1">
        <v>128503.54796</v>
      </c>
      <c r="R33" s="24">
        <v>115958.56</v>
      </c>
      <c r="S33" s="1">
        <v>120000.489</v>
      </c>
      <c r="T33" s="44">
        <v>137088.65100000001</v>
      </c>
      <c r="U33" s="1">
        <v>103791.344</v>
      </c>
      <c r="V33" s="1">
        <v>115829.534</v>
      </c>
      <c r="W33" s="126">
        <v>183171.45800000001</v>
      </c>
      <c r="X33" s="126">
        <v>142964.595</v>
      </c>
      <c r="Y33" s="126">
        <v>152296.15900000001</v>
      </c>
      <c r="Z33" s="126">
        <v>159649.40299999999</v>
      </c>
      <c r="AA33" s="126">
        <v>236547.46599999999</v>
      </c>
      <c r="AB33" s="126">
        <v>273932.82699999999</v>
      </c>
      <c r="AC33" s="126">
        <v>307659</v>
      </c>
      <c r="AD33" s="1">
        <v>328495.038</v>
      </c>
      <c r="AE33" s="1">
        <v>344798.65399999998</v>
      </c>
      <c r="AF33" s="1">
        <v>362101.03399999999</v>
      </c>
      <c r="AG33" s="1">
        <v>367343.304</v>
      </c>
      <c r="AH33" s="1">
        <v>375872.78100000002</v>
      </c>
      <c r="AI33" s="1">
        <v>379636.43300000002</v>
      </c>
      <c r="AK33" s="1">
        <v>447869.098</v>
      </c>
      <c r="AL33" s="1">
        <v>382369.42599999998</v>
      </c>
    </row>
    <row r="34" spans="1:38" ht="12.75" customHeight="1">
      <c r="A34" s="1" t="s">
        <v>48</v>
      </c>
      <c r="J34" s="126">
        <v>172246.9</v>
      </c>
      <c r="M34" s="1">
        <v>238523.24299999999</v>
      </c>
      <c r="O34" s="1">
        <v>303545.435</v>
      </c>
      <c r="R34" s="18">
        <v>303086.72399999999</v>
      </c>
      <c r="S34" s="1">
        <v>337073.89</v>
      </c>
      <c r="T34" s="44">
        <v>413502.15899999999</v>
      </c>
      <c r="U34" s="1">
        <v>413224.84600000002</v>
      </c>
      <c r="V34" s="1">
        <v>461667.69500000001</v>
      </c>
      <c r="W34" s="126">
        <v>546151.47900000005</v>
      </c>
      <c r="X34" s="126">
        <v>529207.71799999999</v>
      </c>
      <c r="Y34" s="126">
        <v>505335.70899999997</v>
      </c>
      <c r="Z34" s="126">
        <v>533383.18400000001</v>
      </c>
      <c r="AA34" s="126">
        <v>599781.98400000005</v>
      </c>
      <c r="AB34" s="126">
        <v>815679.45900000003</v>
      </c>
      <c r="AC34" s="126">
        <v>926526</v>
      </c>
      <c r="AD34" s="1">
        <v>1028323.654</v>
      </c>
      <c r="AE34" s="1">
        <v>1085596.4180000001</v>
      </c>
      <c r="AF34" s="1">
        <v>1162099.7749999999</v>
      </c>
      <c r="AG34" s="1">
        <v>1195990.2169999999</v>
      </c>
      <c r="AH34" s="1">
        <v>1248220.8019999999</v>
      </c>
      <c r="AI34" s="1">
        <v>1247940.4939999999</v>
      </c>
      <c r="AK34" s="1">
        <v>1511658.452</v>
      </c>
      <c r="AL34" s="1">
        <v>1392952.5589999999</v>
      </c>
    </row>
    <row r="35" spans="1:38" ht="12.75" customHeight="1">
      <c r="A35" s="1" t="s">
        <v>49</v>
      </c>
      <c r="J35" s="126">
        <v>103423.901</v>
      </c>
      <c r="M35" s="1">
        <v>153677.12899999999</v>
      </c>
      <c r="O35" s="1">
        <v>194632.83799999999</v>
      </c>
      <c r="R35" s="18">
        <v>208796.85800000001</v>
      </c>
      <c r="S35" s="1">
        <v>232716.535</v>
      </c>
      <c r="T35" s="44">
        <v>289512.64199999999</v>
      </c>
      <c r="U35" s="1">
        <v>263704.73499999999</v>
      </c>
      <c r="V35" s="1">
        <v>292573.70199999999</v>
      </c>
      <c r="W35" s="126">
        <v>388421.68</v>
      </c>
      <c r="X35" s="126">
        <v>345897.72600000002</v>
      </c>
      <c r="Y35" s="126">
        <v>372519.82900000003</v>
      </c>
      <c r="Z35" s="126">
        <v>393204.49800000002</v>
      </c>
      <c r="AA35" s="126">
        <v>520465.50300000003</v>
      </c>
      <c r="AB35" s="126">
        <v>583965.19700000004</v>
      </c>
      <c r="AC35" s="126">
        <v>701996</v>
      </c>
      <c r="AD35" s="1">
        <v>782826.39899999998</v>
      </c>
      <c r="AE35" s="1">
        <v>786722.99600000004</v>
      </c>
      <c r="AF35" s="1">
        <v>823968.58499999996</v>
      </c>
      <c r="AG35" s="1">
        <v>899188.42799999996</v>
      </c>
      <c r="AH35" s="1">
        <v>1002848.546</v>
      </c>
      <c r="AI35" s="1">
        <v>1048922.733</v>
      </c>
      <c r="AK35" s="1">
        <v>1325966.277</v>
      </c>
      <c r="AL35" s="1">
        <v>1227981.8370000001</v>
      </c>
    </row>
    <row r="36" spans="1:38" ht="12.75" customHeight="1">
      <c r="A36" s="1" t="s">
        <v>50</v>
      </c>
      <c r="J36" s="126">
        <v>250451.288</v>
      </c>
      <c r="M36" s="1">
        <v>348294.47200000001</v>
      </c>
      <c r="O36" s="1">
        <v>427350.67099999997</v>
      </c>
      <c r="R36" s="18">
        <v>472767.39</v>
      </c>
      <c r="S36" s="1">
        <v>503201.54499999998</v>
      </c>
      <c r="T36" s="44">
        <v>552697.652</v>
      </c>
      <c r="U36" s="1">
        <v>533359.19700000004</v>
      </c>
      <c r="V36" s="1">
        <v>583588.73600000003</v>
      </c>
      <c r="W36" s="126">
        <v>756600.68799999997</v>
      </c>
      <c r="X36" s="126">
        <v>684532.76500000001</v>
      </c>
      <c r="Y36" s="126">
        <v>794977.64599999995</v>
      </c>
      <c r="Z36" s="126">
        <v>825857.96200000006</v>
      </c>
      <c r="AA36" s="126">
        <v>1041937.3959999999</v>
      </c>
      <c r="AB36" s="126">
        <v>1175893.2139999999</v>
      </c>
      <c r="AC36" s="126">
        <v>1322267</v>
      </c>
      <c r="AD36" s="1">
        <v>1537437.919</v>
      </c>
      <c r="AE36" s="1">
        <v>1743461.9669999999</v>
      </c>
      <c r="AF36" s="1">
        <v>1790406.916</v>
      </c>
      <c r="AG36" s="1">
        <v>1899928.41</v>
      </c>
      <c r="AH36" s="1">
        <v>1946144.433</v>
      </c>
      <c r="AI36" s="1">
        <v>1921961.125</v>
      </c>
      <c r="AK36" s="1">
        <v>2394493.7319999998</v>
      </c>
      <c r="AL36" s="1">
        <v>2152546.6889999998</v>
      </c>
    </row>
    <row r="37" spans="1:38" ht="12.75" customHeight="1">
      <c r="A37" s="27" t="s">
        <v>51</v>
      </c>
      <c r="B37" s="27"/>
      <c r="C37" s="27"/>
      <c r="D37" s="27"/>
      <c r="E37" s="27"/>
      <c r="F37" s="27"/>
      <c r="G37" s="27"/>
      <c r="H37" s="27"/>
      <c r="I37" s="27"/>
      <c r="J37" s="127">
        <v>21717.304</v>
      </c>
      <c r="K37" s="27"/>
      <c r="L37" s="27"/>
      <c r="M37" s="27">
        <v>28968.741999999998</v>
      </c>
      <c r="N37" s="27"/>
      <c r="O37" s="27">
        <v>34762.673999999999</v>
      </c>
      <c r="P37" s="27"/>
      <c r="Q37" s="27"/>
      <c r="R37" s="37">
        <v>35657.775000000001</v>
      </c>
      <c r="S37" s="27">
        <v>37809.438999999998</v>
      </c>
      <c r="T37" s="61">
        <v>37209.224999999999</v>
      </c>
      <c r="U37" s="27">
        <v>27521.785</v>
      </c>
      <c r="V37" s="27">
        <v>29184.411</v>
      </c>
      <c r="W37" s="127">
        <v>43567.017999999996</v>
      </c>
      <c r="X37" s="127">
        <v>30967.462</v>
      </c>
      <c r="Y37" s="127">
        <v>32650.449000000001</v>
      </c>
      <c r="Z37" s="127">
        <v>35210.222000000002</v>
      </c>
      <c r="AA37" s="127">
        <v>57648.313999999998</v>
      </c>
      <c r="AB37" s="127">
        <v>64216.694000000003</v>
      </c>
      <c r="AC37" s="127">
        <v>66892</v>
      </c>
      <c r="AD37" s="27">
        <v>71588.259000000005</v>
      </c>
      <c r="AE37" s="27">
        <v>74334.096000000005</v>
      </c>
      <c r="AF37" s="27">
        <v>76269.933999999994</v>
      </c>
      <c r="AG37" s="27">
        <v>82161.058000000005</v>
      </c>
      <c r="AH37" s="27">
        <v>85788.142999999996</v>
      </c>
      <c r="AI37" s="27">
        <v>88763.466</v>
      </c>
      <c r="AJ37" s="27"/>
      <c r="AK37" s="27">
        <v>125325</v>
      </c>
      <c r="AL37" s="1">
        <v>117548</v>
      </c>
    </row>
    <row r="38" spans="1:38" ht="12.75" customHeight="1">
      <c r="A38" s="6" t="s">
        <v>52</v>
      </c>
      <c r="J38" s="51">
        <f t="shared" ref="J38" si="24">SUM(J40:J51)</f>
        <v>4259276.9519999996</v>
      </c>
      <c r="M38" s="51">
        <f t="shared" ref="M38" si="25">SUM(M40:M51)</f>
        <v>5146102.148</v>
      </c>
      <c r="O38" s="51">
        <f t="shared" ref="O38" si="26">SUM(O40:O51)</f>
        <v>6158730.2960099997</v>
      </c>
      <c r="R38" s="51">
        <f t="shared" ref="R38:AK38" si="27">SUM(R40:R51)</f>
        <v>6805563.6930000009</v>
      </c>
      <c r="S38" s="51">
        <f t="shared" si="27"/>
        <v>7263429.273</v>
      </c>
      <c r="T38" s="60">
        <f t="shared" si="27"/>
        <v>7938081.949</v>
      </c>
      <c r="U38" s="51">
        <f t="shared" si="27"/>
        <v>7519737.8590000002</v>
      </c>
      <c r="V38" s="51">
        <f t="shared" si="27"/>
        <v>8443449.6069999989</v>
      </c>
      <c r="W38" s="51">
        <f t="shared" si="27"/>
        <v>11221627.377999999</v>
      </c>
      <c r="X38" s="51">
        <f t="shared" si="27"/>
        <v>10019453.449000001</v>
      </c>
      <c r="Y38" s="51">
        <f t="shared" si="27"/>
        <v>10838649.256000001</v>
      </c>
      <c r="Z38" s="51">
        <f t="shared" si="27"/>
        <v>11608865.622000001</v>
      </c>
      <c r="AA38" s="51">
        <f t="shared" si="27"/>
        <v>14905735.241999999</v>
      </c>
      <c r="AB38" s="51">
        <f t="shared" si="27"/>
        <v>16136888.001</v>
      </c>
      <c r="AC38" s="51">
        <f t="shared" si="27"/>
        <v>17428287</v>
      </c>
      <c r="AD38" s="51">
        <f t="shared" si="27"/>
        <v>18541087.578000002</v>
      </c>
      <c r="AE38" s="51">
        <f t="shared" si="27"/>
        <v>24999494.657000002</v>
      </c>
      <c r="AF38" s="51">
        <f t="shared" si="27"/>
        <v>19785596.646999996</v>
      </c>
      <c r="AG38" s="51">
        <f t="shared" si="27"/>
        <v>20536329.678000003</v>
      </c>
      <c r="AH38" s="51">
        <f t="shared" si="27"/>
        <v>21282512.024999999</v>
      </c>
      <c r="AI38" s="51">
        <f t="shared" si="27"/>
        <v>21852339.342</v>
      </c>
      <c r="AJ38" s="51">
        <f t="shared" si="27"/>
        <v>0</v>
      </c>
      <c r="AK38" s="51">
        <f t="shared" si="27"/>
        <v>25490109.475000001</v>
      </c>
      <c r="AL38" s="131">
        <f t="shared" ref="AL38" si="28">SUM(AL40:AL51)</f>
        <v>23626734.921000004</v>
      </c>
    </row>
    <row r="39" spans="1:38" ht="12.75" customHeight="1">
      <c r="A39" s="6" t="s">
        <v>94</v>
      </c>
      <c r="T39" s="44"/>
    </row>
    <row r="40" spans="1:38" ht="12.75" customHeight="1">
      <c r="A40" s="1" t="s">
        <v>53</v>
      </c>
      <c r="J40" s="126">
        <v>434119.10100000002</v>
      </c>
      <c r="M40" s="1">
        <v>538706.95700000005</v>
      </c>
      <c r="O40" s="1">
        <v>657063.09699999995</v>
      </c>
      <c r="R40" s="18">
        <v>698193.23</v>
      </c>
      <c r="S40" s="1">
        <v>740552.03099999996</v>
      </c>
      <c r="T40" s="44">
        <v>815921.94400000002</v>
      </c>
      <c r="U40" s="1">
        <v>781587.32299999997</v>
      </c>
      <c r="V40" s="1">
        <v>892776.65500000003</v>
      </c>
      <c r="W40" s="126">
        <v>1190150.96</v>
      </c>
      <c r="X40" s="126">
        <v>1093293.243</v>
      </c>
      <c r="Y40" s="126">
        <v>1211740.395</v>
      </c>
      <c r="Z40" s="126">
        <v>1330892.527</v>
      </c>
      <c r="AA40" s="126">
        <v>1766344.8389999999</v>
      </c>
      <c r="AB40" s="126">
        <v>1977442.023</v>
      </c>
      <c r="AC40" s="126">
        <v>2142120</v>
      </c>
      <c r="AD40" s="1">
        <v>2277723.9330000002</v>
      </c>
      <c r="AE40" s="1">
        <v>2359430.6529999999</v>
      </c>
      <c r="AF40" s="1">
        <v>2336847.1469999999</v>
      </c>
      <c r="AG40" s="1">
        <v>2498560.324</v>
      </c>
      <c r="AH40" s="1">
        <v>2580756.2080000001</v>
      </c>
      <c r="AI40" s="1">
        <v>2610922.23</v>
      </c>
      <c r="AK40" s="1">
        <v>2881656.952</v>
      </c>
      <c r="AL40" s="1">
        <v>2688541.7620000001</v>
      </c>
    </row>
    <row r="41" spans="1:38" ht="12.75" customHeight="1">
      <c r="A41" s="1" t="s">
        <v>54</v>
      </c>
      <c r="J41" s="126">
        <v>504928.804</v>
      </c>
      <c r="M41" s="1">
        <v>619850.50100000005</v>
      </c>
      <c r="O41" s="1">
        <v>745358.17099999997</v>
      </c>
      <c r="R41" s="18">
        <v>851756.96299999999</v>
      </c>
      <c r="S41" s="1">
        <v>906154.53599999996</v>
      </c>
      <c r="T41" s="44">
        <v>999947.42</v>
      </c>
      <c r="U41" s="1">
        <v>983299.848</v>
      </c>
      <c r="V41" s="1">
        <v>1105373.0330000001</v>
      </c>
      <c r="W41" s="126">
        <v>1397167.0730000001</v>
      </c>
      <c r="X41" s="126">
        <v>1287251.75</v>
      </c>
      <c r="Y41" s="126">
        <v>1386759.2180000001</v>
      </c>
      <c r="Z41" s="126">
        <v>1500693.8</v>
      </c>
      <c r="AA41" s="126">
        <v>1950804.2039999999</v>
      </c>
      <c r="AB41" s="126">
        <v>2140983.0150000001</v>
      </c>
      <c r="AC41" s="126">
        <v>2291274</v>
      </c>
      <c r="AD41" s="1">
        <v>2424174.7779999999</v>
      </c>
      <c r="AE41" s="1">
        <v>2468876.77</v>
      </c>
      <c r="AF41" s="1">
        <v>2534216.5619999999</v>
      </c>
      <c r="AG41" s="1">
        <v>2624735.3429999999</v>
      </c>
      <c r="AH41" s="1">
        <v>2740247.6579999998</v>
      </c>
      <c r="AI41" s="1">
        <v>2822172.92</v>
      </c>
      <c r="AK41" s="1">
        <v>3634173.9019999998</v>
      </c>
      <c r="AL41" s="1">
        <v>3368155.6409999998</v>
      </c>
    </row>
    <row r="42" spans="1:38" ht="12.75" customHeight="1">
      <c r="A42" s="1" t="s">
        <v>55</v>
      </c>
      <c r="J42" s="126">
        <v>179917.217</v>
      </c>
      <c r="M42" s="1">
        <v>216299.80900000001</v>
      </c>
      <c r="O42" s="1">
        <v>253232.766</v>
      </c>
      <c r="R42" s="18">
        <v>279847.62099999998</v>
      </c>
      <c r="S42" s="1">
        <v>301341.076</v>
      </c>
      <c r="T42" s="44">
        <v>357819.55200000003</v>
      </c>
      <c r="U42" s="1">
        <v>328689.18300000002</v>
      </c>
      <c r="V42" s="1">
        <v>373802.48599999998</v>
      </c>
      <c r="W42" s="126">
        <v>502651.038</v>
      </c>
      <c r="X42" s="126">
        <v>411788.02100000001</v>
      </c>
      <c r="Y42" s="126">
        <v>438965.39299999998</v>
      </c>
      <c r="Z42" s="126">
        <v>470297.984</v>
      </c>
      <c r="AA42" s="126">
        <v>642062.429</v>
      </c>
      <c r="AB42" s="126">
        <v>702707.64399999997</v>
      </c>
      <c r="AC42" s="126">
        <v>775593</v>
      </c>
      <c r="AD42" s="1">
        <v>852182.59600000002</v>
      </c>
      <c r="AE42" s="1">
        <v>920992.17</v>
      </c>
      <c r="AF42" s="1">
        <v>968460.99</v>
      </c>
      <c r="AG42" s="1">
        <v>1000558.55</v>
      </c>
      <c r="AH42" s="1">
        <v>1032599.231</v>
      </c>
      <c r="AI42" s="1">
        <v>1097747.8370000001</v>
      </c>
      <c r="AK42" s="1">
        <v>1255853.0719999999</v>
      </c>
      <c r="AL42" s="1">
        <v>1149021.1299999999</v>
      </c>
    </row>
    <row r="43" spans="1:38" ht="12.75" customHeight="1">
      <c r="A43" s="1" t="s">
        <v>56</v>
      </c>
      <c r="J43" s="126">
        <v>177288.717</v>
      </c>
      <c r="M43" s="1">
        <v>218239.82199999999</v>
      </c>
      <c r="O43" s="1">
        <v>263530.86297999998</v>
      </c>
      <c r="R43" s="18">
        <v>261800.97700000001</v>
      </c>
      <c r="S43" s="1">
        <v>281231.67300000001</v>
      </c>
      <c r="T43" s="44">
        <v>292252.61700000003</v>
      </c>
      <c r="U43" s="1">
        <v>304765.46899999998</v>
      </c>
      <c r="V43" s="1">
        <v>330591.48599999998</v>
      </c>
      <c r="W43" s="126">
        <v>431596.89899999998</v>
      </c>
      <c r="X43" s="126">
        <v>431869.489</v>
      </c>
      <c r="Y43" s="126">
        <v>476095.815</v>
      </c>
      <c r="Z43" s="126">
        <v>510664.58399999997</v>
      </c>
      <c r="AA43" s="126">
        <v>617495.03300000005</v>
      </c>
      <c r="AB43" s="126">
        <v>662102.35600000003</v>
      </c>
      <c r="AC43" s="126">
        <v>700153</v>
      </c>
      <c r="AD43" s="1">
        <v>738831.27399999998</v>
      </c>
      <c r="AE43" s="1">
        <v>782664.49</v>
      </c>
      <c r="AF43" s="1">
        <v>821031.35</v>
      </c>
      <c r="AG43" s="1">
        <v>884130.978</v>
      </c>
      <c r="AH43" s="1">
        <v>905721.745</v>
      </c>
      <c r="AI43" s="1">
        <v>945155.75600000005</v>
      </c>
      <c r="AK43" s="1">
        <v>1079544.74</v>
      </c>
      <c r="AL43" s="1">
        <v>977342.70900000003</v>
      </c>
    </row>
    <row r="44" spans="1:38" ht="12.75" customHeight="1">
      <c r="A44" s="1" t="s">
        <v>57</v>
      </c>
      <c r="J44" s="126">
        <v>877213.64099999995</v>
      </c>
      <c r="M44" s="1">
        <v>1090098.5060000001</v>
      </c>
      <c r="O44" s="1">
        <v>1271449.28</v>
      </c>
      <c r="R44" s="18">
        <v>1437454.1910000001</v>
      </c>
      <c r="S44" s="1">
        <v>1530977.909</v>
      </c>
      <c r="T44" s="44">
        <v>1751122.55</v>
      </c>
      <c r="U44" s="1">
        <v>1630455.429</v>
      </c>
      <c r="V44" s="1">
        <v>1784342.0179999999</v>
      </c>
      <c r="W44" s="126">
        <v>2237344.2519999999</v>
      </c>
      <c r="X44" s="126">
        <v>2096040.7479999999</v>
      </c>
      <c r="Y44" s="126">
        <v>2238151.0980000002</v>
      </c>
      <c r="Z44" s="126">
        <v>2472763.3539999998</v>
      </c>
      <c r="AA44" s="126">
        <v>3184200.517</v>
      </c>
      <c r="AB44" s="126">
        <v>3434958.9759999998</v>
      </c>
      <c r="AC44" s="126">
        <v>3655439</v>
      </c>
      <c r="AD44" s="1">
        <v>3931934.42</v>
      </c>
      <c r="AE44" s="1">
        <v>4118170.662</v>
      </c>
      <c r="AF44" s="1">
        <v>4299990.8439999996</v>
      </c>
      <c r="AG44" s="1">
        <v>4481655.84</v>
      </c>
      <c r="AH44" s="1">
        <v>4652083.4519999996</v>
      </c>
      <c r="AI44" s="1">
        <v>4860083.415</v>
      </c>
      <c r="AK44" s="1">
        <v>5654386.477</v>
      </c>
      <c r="AL44" s="1">
        <v>5354407.8569999998</v>
      </c>
    </row>
    <row r="45" spans="1:38" ht="12.75" customHeight="1">
      <c r="A45" s="1" t="s">
        <v>58</v>
      </c>
      <c r="J45" s="126">
        <v>262819.89299999998</v>
      </c>
      <c r="M45" s="1">
        <v>309290.06599999999</v>
      </c>
      <c r="O45" s="1">
        <v>387044.68</v>
      </c>
      <c r="R45" s="18">
        <v>427683.13400000002</v>
      </c>
      <c r="S45" s="1">
        <v>465819.95400000003</v>
      </c>
      <c r="T45" s="44">
        <v>544421.31099999999</v>
      </c>
      <c r="U45" s="1">
        <v>543160.70200000005</v>
      </c>
      <c r="V45" s="1">
        <v>626792.28899999999</v>
      </c>
      <c r="W45" s="126">
        <v>848876.58299999998</v>
      </c>
      <c r="X45" s="126">
        <v>740694.9</v>
      </c>
      <c r="Y45" s="126">
        <v>772335.38500000001</v>
      </c>
      <c r="Z45" s="126">
        <v>815339.76899999997</v>
      </c>
      <c r="AA45" s="126">
        <v>1080022.3840000001</v>
      </c>
      <c r="AB45" s="126">
        <v>1148241.6680000001</v>
      </c>
      <c r="AC45" s="126">
        <v>1259266</v>
      </c>
      <c r="AD45" s="1">
        <v>1327859.456</v>
      </c>
      <c r="AE45" s="1">
        <v>1365416.172</v>
      </c>
      <c r="AF45" s="1">
        <v>1383749.0079999999</v>
      </c>
      <c r="AG45" s="1">
        <v>1393008.852</v>
      </c>
      <c r="AH45" s="1">
        <v>1425076.4480000001</v>
      </c>
      <c r="AI45" s="1">
        <v>1464728.2560000001</v>
      </c>
      <c r="AK45" s="1">
        <v>1634063.0379999999</v>
      </c>
      <c r="AL45" s="1">
        <v>1570876.3359999999</v>
      </c>
    </row>
    <row r="46" spans="1:38" ht="12.75" customHeight="1">
      <c r="A46" s="1" t="s">
        <v>59</v>
      </c>
      <c r="J46" s="126">
        <v>290868.68400000001</v>
      </c>
      <c r="M46" s="1">
        <v>375748.57500000001</v>
      </c>
      <c r="O46" s="1">
        <v>472510.48200000002</v>
      </c>
      <c r="R46" s="18">
        <v>501417</v>
      </c>
      <c r="S46" s="1">
        <v>529653.929</v>
      </c>
      <c r="T46" s="44">
        <v>543311.09900000005</v>
      </c>
      <c r="U46" s="1">
        <v>468075.95400000003</v>
      </c>
      <c r="V46" s="1">
        <v>528816.99800000002</v>
      </c>
      <c r="W46" s="126">
        <v>781755.25199999998</v>
      </c>
      <c r="X46" s="126">
        <v>617144.79799999995</v>
      </c>
      <c r="Y46" s="126">
        <v>664019.71200000006</v>
      </c>
      <c r="Z46" s="126">
        <v>693279.81200000003</v>
      </c>
      <c r="AA46" s="126">
        <v>1003091.469</v>
      </c>
      <c r="AB46" s="126">
        <v>1048815.2409999999</v>
      </c>
      <c r="AC46" s="126">
        <v>1113599</v>
      </c>
      <c r="AD46" s="1">
        <v>1203984.4080000001</v>
      </c>
      <c r="AE46" s="1">
        <v>1268731.2169999999</v>
      </c>
      <c r="AF46" s="1">
        <v>1328110.838</v>
      </c>
      <c r="AG46" s="1">
        <v>1390926.8130000001</v>
      </c>
      <c r="AH46" s="1">
        <v>1440319.128</v>
      </c>
      <c r="AI46" s="1">
        <v>1406086.689</v>
      </c>
      <c r="AK46" s="1">
        <v>1595282.94</v>
      </c>
      <c r="AL46" s="1">
        <v>1419907.5730000001</v>
      </c>
    </row>
    <row r="47" spans="1:38" ht="12.75" customHeight="1">
      <c r="A47" s="1" t="s">
        <v>60</v>
      </c>
      <c r="J47" s="126">
        <v>101355.152</v>
      </c>
      <c r="M47" s="1">
        <v>119441.60400000001</v>
      </c>
      <c r="O47" s="1">
        <v>152115.66899999999</v>
      </c>
      <c r="R47" s="24">
        <v>156410.19899999999</v>
      </c>
      <c r="S47" s="1">
        <v>168261.818</v>
      </c>
      <c r="T47" s="44">
        <v>189994.17199999999</v>
      </c>
      <c r="U47" s="1">
        <v>160821.91399999999</v>
      </c>
      <c r="V47" s="1">
        <v>182111.53899999999</v>
      </c>
      <c r="W47" s="126">
        <v>262364.08899999998</v>
      </c>
      <c r="X47" s="126">
        <v>210395.003</v>
      </c>
      <c r="Y47" s="126">
        <v>225909.08199999999</v>
      </c>
      <c r="Z47" s="126">
        <v>242474.41099999999</v>
      </c>
      <c r="AA47" s="126">
        <v>307686.07699999999</v>
      </c>
      <c r="AB47" s="126">
        <v>372455.35499999998</v>
      </c>
      <c r="AC47" s="126">
        <v>408407</v>
      </c>
      <c r="AD47" s="1">
        <v>443850.18099999998</v>
      </c>
      <c r="AE47" s="1">
        <v>466907.30099999998</v>
      </c>
      <c r="AF47" s="1">
        <v>486686.05</v>
      </c>
      <c r="AG47" s="1">
        <v>508739.03600000002</v>
      </c>
      <c r="AH47" s="1">
        <v>531251.59699999995</v>
      </c>
      <c r="AI47" s="1">
        <v>558717.22900000005</v>
      </c>
      <c r="AK47" s="1">
        <v>712697.799</v>
      </c>
      <c r="AL47" s="1">
        <v>667530.44099999999</v>
      </c>
    </row>
    <row r="48" spans="1:38" ht="12.75" customHeight="1">
      <c r="A48" s="1" t="s">
        <v>61</v>
      </c>
      <c r="J48" s="126">
        <v>64475.779000000002</v>
      </c>
      <c r="M48" s="1">
        <v>75980.226999999999</v>
      </c>
      <c r="O48" s="1">
        <v>90017.293000000005</v>
      </c>
      <c r="R48" s="18">
        <v>89813.273000000001</v>
      </c>
      <c r="S48" s="1">
        <v>97486.035000000003</v>
      </c>
      <c r="T48" s="44">
        <v>109352.685</v>
      </c>
      <c r="U48" s="1">
        <v>99377.387000000002</v>
      </c>
      <c r="V48" s="1">
        <v>133615.00200000001</v>
      </c>
      <c r="W48" s="126">
        <v>193342.56400000001</v>
      </c>
      <c r="X48" s="126">
        <v>178174.75200000001</v>
      </c>
      <c r="Y48" s="126">
        <v>195875.80900000001</v>
      </c>
      <c r="Z48" s="126">
        <v>209124.91899999999</v>
      </c>
      <c r="AA48" s="126">
        <v>248240.11600000001</v>
      </c>
      <c r="AB48" s="126">
        <v>266382.255</v>
      </c>
      <c r="AC48" s="126">
        <v>281828</v>
      </c>
      <c r="AD48" s="1">
        <v>296449.696</v>
      </c>
      <c r="AE48" s="1">
        <v>306926.598</v>
      </c>
      <c r="AF48" s="1">
        <v>318802.261</v>
      </c>
      <c r="AG48" s="1">
        <v>326008.23300000001</v>
      </c>
      <c r="AH48" s="1">
        <v>339834.83299999998</v>
      </c>
      <c r="AI48" s="1">
        <v>343614.99699999997</v>
      </c>
      <c r="AK48" s="1">
        <v>376982.41800000001</v>
      </c>
      <c r="AL48" s="1">
        <v>361478.13099999999</v>
      </c>
    </row>
    <row r="49" spans="1:38" ht="12.75" customHeight="1">
      <c r="A49" s="1" t="s">
        <v>62</v>
      </c>
      <c r="J49" s="126">
        <v>940030.68400000001</v>
      </c>
      <c r="M49" s="1">
        <v>1088214.716</v>
      </c>
      <c r="O49" s="1">
        <v>1272513.9210000001</v>
      </c>
      <c r="R49" s="18">
        <v>1379111.558</v>
      </c>
      <c r="S49" s="1">
        <v>1469152.4269999999</v>
      </c>
      <c r="T49" s="44">
        <v>1685747.993</v>
      </c>
      <c r="U49" s="1">
        <v>1570550.754</v>
      </c>
      <c r="V49" s="1">
        <v>1762947.0719999999</v>
      </c>
      <c r="W49" s="126">
        <v>2498520.4169999999</v>
      </c>
      <c r="X49" s="126">
        <v>2097750.6179999998</v>
      </c>
      <c r="Y49" s="126">
        <v>2289245.8110000002</v>
      </c>
      <c r="Z49" s="126">
        <v>2364147.0669999998</v>
      </c>
      <c r="AA49" s="126">
        <v>2923688.25</v>
      </c>
      <c r="AB49" s="126">
        <v>3119881.7250000001</v>
      </c>
      <c r="AC49" s="126">
        <v>3414210</v>
      </c>
      <c r="AD49" s="1">
        <v>3582982.2170000002</v>
      </c>
      <c r="AE49" s="1">
        <v>3647126.2080000001</v>
      </c>
      <c r="AF49" s="1">
        <v>3722258.3769999999</v>
      </c>
      <c r="AG49" s="1">
        <v>3842306.804</v>
      </c>
      <c r="AH49" s="1">
        <v>3982316.406</v>
      </c>
      <c r="AI49" s="1">
        <v>4051715.99</v>
      </c>
      <c r="AK49" s="1">
        <v>4546364.7949999999</v>
      </c>
      <c r="AL49" s="1">
        <v>4100688.6660000002</v>
      </c>
    </row>
    <row r="50" spans="1:38" ht="12.75" customHeight="1">
      <c r="A50" s="1" t="s">
        <v>63</v>
      </c>
      <c r="J50" s="126">
        <v>50467.205000000002</v>
      </c>
      <c r="M50" s="1">
        <v>61174.74</v>
      </c>
      <c r="O50" s="1">
        <v>75396.070030000003</v>
      </c>
      <c r="R50" s="18">
        <v>75914.315000000002</v>
      </c>
      <c r="S50" s="1">
        <v>81676.381999999998</v>
      </c>
      <c r="T50" s="44">
        <v>89931.663</v>
      </c>
      <c r="U50" s="1">
        <v>89124.576000000001</v>
      </c>
      <c r="V50" s="1">
        <v>94908.702999999994</v>
      </c>
      <c r="W50" s="126">
        <v>118687.086</v>
      </c>
      <c r="X50" s="126">
        <v>113267.603</v>
      </c>
      <c r="Y50" s="126">
        <v>121667.823</v>
      </c>
      <c r="Z50" s="126">
        <v>133631.85500000001</v>
      </c>
      <c r="AA50" s="126">
        <v>168102.18799999999</v>
      </c>
      <c r="AB50" s="126">
        <v>178512.46799999999</v>
      </c>
      <c r="AC50" s="126">
        <v>202091</v>
      </c>
      <c r="AD50" s="1">
        <v>221184.89199999999</v>
      </c>
      <c r="AE50" s="1">
        <v>3647126.2080000001</v>
      </c>
      <c r="AF50" s="1">
        <v>240206.27600000001</v>
      </c>
      <c r="AG50" s="1">
        <v>249983.47500000001</v>
      </c>
      <c r="AH50" s="1">
        <v>262115.715</v>
      </c>
      <c r="AI50" s="1">
        <v>266254.75199999998</v>
      </c>
      <c r="AK50" s="1">
        <v>304263.74300000002</v>
      </c>
      <c r="AL50" s="1">
        <v>261848.90599999999</v>
      </c>
    </row>
    <row r="51" spans="1:38" ht="12.75" customHeight="1">
      <c r="A51" s="27" t="s">
        <v>64</v>
      </c>
      <c r="B51" s="27"/>
      <c r="C51" s="27"/>
      <c r="D51" s="27"/>
      <c r="E51" s="27"/>
      <c r="F51" s="27"/>
      <c r="G51" s="27"/>
      <c r="H51" s="27"/>
      <c r="I51" s="27"/>
      <c r="J51" s="127">
        <v>375792.07500000001</v>
      </c>
      <c r="K51" s="27"/>
      <c r="L51" s="27"/>
      <c r="M51" s="27">
        <v>433056.625</v>
      </c>
      <c r="N51" s="27"/>
      <c r="O51" s="27">
        <v>518498.00400000002</v>
      </c>
      <c r="P51" s="27"/>
      <c r="Q51" s="27"/>
      <c r="R51" s="37">
        <v>646161.23199999996</v>
      </c>
      <c r="S51" s="27">
        <v>691121.50300000003</v>
      </c>
      <c r="T51" s="61">
        <v>558258.94299999997</v>
      </c>
      <c r="U51" s="27">
        <v>559829.31999999995</v>
      </c>
      <c r="V51" s="27">
        <v>627372.326</v>
      </c>
      <c r="W51" s="127">
        <v>759171.16500000004</v>
      </c>
      <c r="X51" s="127">
        <v>741782.52399999998</v>
      </c>
      <c r="Y51" s="127">
        <v>817883.71499999997</v>
      </c>
      <c r="Z51" s="127">
        <v>865555.54</v>
      </c>
      <c r="AA51" s="127">
        <v>1013997.736</v>
      </c>
      <c r="AB51" s="127">
        <v>1084405.2749999999</v>
      </c>
      <c r="AC51" s="127">
        <v>1184307</v>
      </c>
      <c r="AD51" s="27">
        <v>1239929.727</v>
      </c>
      <c r="AE51" s="27">
        <v>3647126.2080000001</v>
      </c>
      <c r="AF51" s="27">
        <v>1345236.9439999999</v>
      </c>
      <c r="AG51" s="27">
        <v>1335715.43</v>
      </c>
      <c r="AH51" s="27">
        <v>1390189.6040000001</v>
      </c>
      <c r="AI51" s="27">
        <v>1425139.2709999999</v>
      </c>
      <c r="AJ51" s="27"/>
      <c r="AK51" s="27">
        <v>1814839.5989999999</v>
      </c>
      <c r="AL51" s="1">
        <v>1706935.7690000001</v>
      </c>
    </row>
    <row r="52" spans="1:38" ht="12.75" customHeight="1">
      <c r="A52" s="6" t="s">
        <v>65</v>
      </c>
      <c r="J52" s="51">
        <f t="shared" ref="J52" si="29">SUM(J54:J62)</f>
        <v>2813186.0449999999</v>
      </c>
      <c r="M52" s="51">
        <f t="shared" ref="M52" si="30">SUM(M54:M62)</f>
        <v>3340412.0729999999</v>
      </c>
      <c r="O52" s="51">
        <f t="shared" ref="O52" si="31">SUM(O54:O62)</f>
        <v>4450435.8130000001</v>
      </c>
      <c r="R52" s="51">
        <f t="shared" ref="R52:AL52" si="32">SUM(R54:R62)</f>
        <v>4335567.7940000007</v>
      </c>
      <c r="S52" s="51">
        <f t="shared" si="32"/>
        <v>4316985.1400000006</v>
      </c>
      <c r="T52" s="60">
        <f t="shared" si="32"/>
        <v>4008703.801</v>
      </c>
      <c r="U52" s="51">
        <f t="shared" si="32"/>
        <v>3022656.2430000002</v>
      </c>
      <c r="V52" s="51">
        <f t="shared" si="32"/>
        <v>3564402.1519999998</v>
      </c>
      <c r="W52" s="51">
        <f t="shared" si="32"/>
        <v>5391939.0369999995</v>
      </c>
      <c r="X52" s="51">
        <f t="shared" si="32"/>
        <v>4471040.2450000001</v>
      </c>
      <c r="Y52" s="51">
        <f t="shared" si="32"/>
        <v>4762237.0539999995</v>
      </c>
      <c r="Z52" s="51">
        <f t="shared" si="32"/>
        <v>5073099.1069999989</v>
      </c>
      <c r="AA52" s="51">
        <f t="shared" si="32"/>
        <v>6866560.3800000008</v>
      </c>
      <c r="AB52" s="51">
        <f t="shared" si="32"/>
        <v>7899848.7089999998</v>
      </c>
      <c r="AC52" s="51">
        <f t="shared" si="32"/>
        <v>8386972</v>
      </c>
      <c r="AD52" s="51">
        <f t="shared" si="32"/>
        <v>8943398.9719999991</v>
      </c>
      <c r="AE52" s="51">
        <f t="shared" si="32"/>
        <v>9044396.6219999995</v>
      </c>
      <c r="AF52" s="51">
        <f t="shared" si="32"/>
        <v>9571535.4850000013</v>
      </c>
      <c r="AG52" s="51">
        <f t="shared" si="32"/>
        <v>9997543.853000002</v>
      </c>
      <c r="AH52" s="51">
        <f t="shared" si="32"/>
        <v>10720224.919</v>
      </c>
      <c r="AI52" s="51">
        <f t="shared" si="32"/>
        <v>11076314.9</v>
      </c>
      <c r="AJ52" s="51">
        <f t="shared" si="32"/>
        <v>0</v>
      </c>
      <c r="AK52" s="51">
        <f t="shared" si="32"/>
        <v>13211217.450999999</v>
      </c>
      <c r="AL52" s="131">
        <f t="shared" si="32"/>
        <v>12136613.157</v>
      </c>
    </row>
    <row r="53" spans="1:38" ht="12.75" customHeight="1">
      <c r="A53" s="6" t="s">
        <v>94</v>
      </c>
      <c r="T53" s="44"/>
    </row>
    <row r="54" spans="1:38" ht="12.75" customHeight="1">
      <c r="A54" s="1" t="s">
        <v>66</v>
      </c>
      <c r="J54" s="126">
        <v>141480.91500000001</v>
      </c>
      <c r="M54" s="1">
        <v>194052.052</v>
      </c>
      <c r="O54" s="1">
        <v>216148.15700000001</v>
      </c>
      <c r="R54" s="18">
        <v>238845.04300000001</v>
      </c>
      <c r="S54" s="1">
        <v>254765.253</v>
      </c>
      <c r="T54" s="44">
        <v>269046.79200000002</v>
      </c>
      <c r="U54" s="1">
        <v>256868.29699999999</v>
      </c>
      <c r="V54" s="1">
        <v>290968.99900000001</v>
      </c>
      <c r="W54" s="126">
        <v>399998.02</v>
      </c>
      <c r="X54" s="126">
        <v>345203.12800000003</v>
      </c>
      <c r="Y54" s="126">
        <v>370600.20600000001</v>
      </c>
      <c r="Z54" s="126">
        <v>393405.57199999999</v>
      </c>
      <c r="AA54" s="126">
        <v>574899.61600000004</v>
      </c>
      <c r="AB54" s="126">
        <v>624645.18700000003</v>
      </c>
      <c r="AC54" s="126">
        <v>666884</v>
      </c>
      <c r="AD54" s="1">
        <v>687166.33900000004</v>
      </c>
      <c r="AE54" s="1">
        <v>698563.05099999998</v>
      </c>
      <c r="AF54" s="1">
        <v>734236.74399999995</v>
      </c>
      <c r="AG54" s="1">
        <v>776743.53799999994</v>
      </c>
      <c r="AH54" s="1">
        <v>839456.41</v>
      </c>
      <c r="AI54" s="1">
        <v>893905.20799999998</v>
      </c>
      <c r="AK54" s="1">
        <v>1106567.406</v>
      </c>
      <c r="AL54" s="1">
        <v>1055687.6459999999</v>
      </c>
    </row>
    <row r="55" spans="1:38" ht="12.75" customHeight="1">
      <c r="A55" s="1" t="s">
        <v>67</v>
      </c>
      <c r="J55" s="126">
        <v>76025.346000000005</v>
      </c>
      <c r="M55" s="1">
        <v>83600.941000000006</v>
      </c>
      <c r="O55" s="1">
        <v>105753.577</v>
      </c>
      <c r="R55" s="18">
        <v>108526.55100000001</v>
      </c>
      <c r="S55" s="1">
        <v>113415.66800000001</v>
      </c>
      <c r="T55" s="44">
        <v>138436.636</v>
      </c>
      <c r="U55" s="1">
        <v>112616.899</v>
      </c>
      <c r="V55" s="1">
        <v>121063.7</v>
      </c>
      <c r="W55" s="126">
        <v>177596.70600000001</v>
      </c>
      <c r="X55" s="126">
        <v>140959.65299999999</v>
      </c>
      <c r="Y55" s="126">
        <v>157869.20000000001</v>
      </c>
      <c r="Z55" s="126">
        <v>171306.717</v>
      </c>
      <c r="AA55" s="126">
        <v>250188.52900000001</v>
      </c>
      <c r="AB55" s="126">
        <v>264728.83399999997</v>
      </c>
      <c r="AC55" s="126">
        <v>275193</v>
      </c>
      <c r="AD55" s="1">
        <v>281575.34299999999</v>
      </c>
      <c r="AE55" s="1">
        <v>280026.53600000002</v>
      </c>
      <c r="AF55" s="1">
        <v>280309.91100000002</v>
      </c>
      <c r="AG55" s="1">
        <v>282851.47899999999</v>
      </c>
      <c r="AH55" s="1">
        <v>292284.71299999999</v>
      </c>
      <c r="AI55" s="1">
        <v>302645.88099999999</v>
      </c>
      <c r="AK55" s="1">
        <v>377864.25</v>
      </c>
      <c r="AL55" s="1">
        <v>340764.82799999998</v>
      </c>
    </row>
    <row r="56" spans="1:38" ht="12.75" customHeight="1">
      <c r="A56" s="1" t="s">
        <v>68</v>
      </c>
      <c r="J56" s="126">
        <v>329115.277</v>
      </c>
      <c r="M56" s="1">
        <v>367613.59399999998</v>
      </c>
      <c r="O56" s="1">
        <v>410342.93199999997</v>
      </c>
      <c r="R56" s="18">
        <v>395216.02299999999</v>
      </c>
      <c r="S56" s="1">
        <v>400291.60200000001</v>
      </c>
      <c r="T56" s="44">
        <v>449391.28700000001</v>
      </c>
      <c r="U56" s="1">
        <v>416128.31099999999</v>
      </c>
      <c r="V56" s="1">
        <v>515166.75699999998</v>
      </c>
      <c r="W56" s="126">
        <v>661104.22199999995</v>
      </c>
      <c r="X56" s="126">
        <v>602807.80700000003</v>
      </c>
      <c r="Y56" s="126">
        <v>645987.15399999998</v>
      </c>
      <c r="Z56" s="126">
        <v>680367.63</v>
      </c>
      <c r="AA56" s="126">
        <v>844605.27800000005</v>
      </c>
      <c r="AB56" s="126">
        <v>1014907.083</v>
      </c>
      <c r="AC56" s="126">
        <v>1091101</v>
      </c>
      <c r="AD56" s="1">
        <v>1188624.075</v>
      </c>
      <c r="AE56" s="1">
        <v>1277218.3659999999</v>
      </c>
      <c r="AF56" s="1">
        <v>1329673.6640000001</v>
      </c>
      <c r="AG56" s="1">
        <v>1380482.3959999999</v>
      </c>
      <c r="AH56" s="1">
        <v>1493834.885</v>
      </c>
      <c r="AI56" s="1">
        <v>1582253.3370000001</v>
      </c>
      <c r="AK56" s="1">
        <v>1806374.294</v>
      </c>
      <c r="AL56" s="1">
        <v>1741354.0519999999</v>
      </c>
    </row>
    <row r="57" spans="1:38" ht="12.75" customHeight="1">
      <c r="A57" s="1" t="s">
        <v>69</v>
      </c>
      <c r="J57" s="126">
        <v>112098.671</v>
      </c>
      <c r="M57" s="1">
        <v>138969.52900000001</v>
      </c>
      <c r="O57" s="1">
        <v>155981.66800000001</v>
      </c>
      <c r="R57" s="24">
        <v>171923.76699999999</v>
      </c>
      <c r="S57" s="1">
        <v>181995.383</v>
      </c>
      <c r="T57" s="44">
        <v>193490.26699999999</v>
      </c>
      <c r="U57" s="1">
        <v>158830.83600000001</v>
      </c>
      <c r="V57" s="1">
        <v>170150.073</v>
      </c>
      <c r="W57" s="126">
        <v>246329.655</v>
      </c>
      <c r="X57" s="126">
        <v>200522.049</v>
      </c>
      <c r="Y57" s="126">
        <v>216814.83900000001</v>
      </c>
      <c r="Z57" s="126">
        <v>234727.38699999999</v>
      </c>
      <c r="AA57" s="126">
        <v>340064.41499999998</v>
      </c>
      <c r="AB57" s="126">
        <v>367060.21500000003</v>
      </c>
      <c r="AC57" s="126">
        <v>392920</v>
      </c>
      <c r="AD57" s="1">
        <v>429655.88</v>
      </c>
      <c r="AE57" s="1">
        <v>453416.68300000002</v>
      </c>
      <c r="AF57" s="1">
        <v>454567.50799999997</v>
      </c>
      <c r="AG57" s="1">
        <v>464758.66700000002</v>
      </c>
      <c r="AH57" s="1">
        <v>493341.99699999997</v>
      </c>
      <c r="AI57" s="1">
        <v>503323.62199999997</v>
      </c>
      <c r="AK57" s="1">
        <v>524508.49800000002</v>
      </c>
      <c r="AL57" s="1">
        <v>519159.239</v>
      </c>
    </row>
    <row r="58" spans="1:38" ht="12.75" customHeight="1">
      <c r="A58" s="1" t="s">
        <v>70</v>
      </c>
      <c r="J58" s="126">
        <v>191021.641</v>
      </c>
      <c r="M58" s="1">
        <v>235676.69200000001</v>
      </c>
      <c r="O58" s="1">
        <v>558951.25800000003</v>
      </c>
      <c r="R58" s="24">
        <v>376933.00099999999</v>
      </c>
      <c r="S58" s="1">
        <v>413129.95500000002</v>
      </c>
      <c r="T58" s="44">
        <v>465100.52</v>
      </c>
      <c r="U58" s="1">
        <v>396333.52799999999</v>
      </c>
      <c r="V58" s="1">
        <v>486158.223</v>
      </c>
      <c r="W58" s="126">
        <v>1120008.7279999999</v>
      </c>
      <c r="X58" s="126">
        <v>974414.58200000005</v>
      </c>
      <c r="Y58" s="126">
        <v>1075353.118</v>
      </c>
      <c r="Z58" s="126">
        <v>1188893.379</v>
      </c>
      <c r="AA58" s="126">
        <v>1522996.655</v>
      </c>
      <c r="AB58" s="126">
        <v>1756113.0649999999</v>
      </c>
      <c r="AC58" s="126">
        <v>1920412</v>
      </c>
      <c r="AD58" s="1">
        <v>2049257.5319999999</v>
      </c>
      <c r="AE58" s="1">
        <v>1988753.5020000001</v>
      </c>
      <c r="AF58" s="1">
        <v>2220251.5690000001</v>
      </c>
      <c r="AG58" s="1">
        <v>2335073.25</v>
      </c>
      <c r="AH58" s="1">
        <v>2462488.5210000002</v>
      </c>
      <c r="AI58" s="1">
        <v>2562558.3110000002</v>
      </c>
      <c r="AK58" s="1">
        <v>3011710.2409999999</v>
      </c>
      <c r="AL58" s="1">
        <v>2908105.9929999998</v>
      </c>
    </row>
    <row r="59" spans="1:38" ht="12.75" customHeight="1">
      <c r="A59" s="1" t="s">
        <v>71</v>
      </c>
      <c r="J59" s="126">
        <v>723281.64399999997</v>
      </c>
      <c r="M59" s="1">
        <v>903310.32200000004</v>
      </c>
      <c r="O59" s="1">
        <v>1337938.7409999999</v>
      </c>
      <c r="R59" s="24">
        <v>1221713.827</v>
      </c>
      <c r="S59" s="1">
        <v>1280796.629</v>
      </c>
      <c r="T59" s="44">
        <v>1346431.057</v>
      </c>
      <c r="U59" s="1">
        <v>940189.47199999995</v>
      </c>
      <c r="V59" s="1">
        <v>1164001.0649999999</v>
      </c>
      <c r="W59" s="126">
        <v>1721529.4269999999</v>
      </c>
      <c r="X59" s="126">
        <v>1274658.469</v>
      </c>
      <c r="Y59" s="126">
        <v>1322863.186</v>
      </c>
      <c r="Z59" s="126">
        <v>1366711.932</v>
      </c>
      <c r="AA59" s="126">
        <v>1955964.8060000001</v>
      </c>
      <c r="AB59" s="126">
        <v>2346770.784</v>
      </c>
      <c r="AC59" s="126">
        <v>2415437</v>
      </c>
      <c r="AD59" s="1">
        <v>2573341.5389999999</v>
      </c>
      <c r="AE59" s="1">
        <v>2593882.6839999999</v>
      </c>
      <c r="AF59" s="1">
        <v>2777281.676</v>
      </c>
      <c r="AG59" s="1">
        <v>2940428.2230000002</v>
      </c>
      <c r="AH59" s="1">
        <v>3246592.8309999998</v>
      </c>
      <c r="AI59" s="1">
        <v>3289236.003</v>
      </c>
      <c r="AK59" s="1">
        <v>4204671.87</v>
      </c>
      <c r="AL59" s="1">
        <v>3586665.878</v>
      </c>
    </row>
    <row r="60" spans="1:38" ht="12.75" customHeight="1">
      <c r="A60" s="1" t="s">
        <v>72</v>
      </c>
      <c r="J60" s="126">
        <v>1045222.568</v>
      </c>
      <c r="M60" s="1">
        <v>1187638.2180000001</v>
      </c>
      <c r="O60" s="1">
        <v>1411166.733</v>
      </c>
      <c r="R60" s="18">
        <v>1549634.615</v>
      </c>
      <c r="S60" s="1">
        <v>1388596.311</v>
      </c>
      <c r="T60" s="44">
        <v>841748.69299999997</v>
      </c>
      <c r="U60" s="1">
        <v>473779.73700000002</v>
      </c>
      <c r="V60" s="1">
        <v>513148.95500000002</v>
      </c>
      <c r="W60" s="126">
        <v>664137.853</v>
      </c>
      <c r="X60" s="126">
        <v>561200.522</v>
      </c>
      <c r="Y60" s="126">
        <v>566238.55900000001</v>
      </c>
      <c r="Z60" s="126">
        <v>594199.34</v>
      </c>
      <c r="AA60" s="126">
        <v>793016.89500000002</v>
      </c>
      <c r="AB60" s="126">
        <v>866597.47699999996</v>
      </c>
      <c r="AC60" s="126">
        <v>933107</v>
      </c>
      <c r="AD60" s="1">
        <v>1010226.661</v>
      </c>
      <c r="AE60" s="1">
        <v>1015318.529</v>
      </c>
      <c r="AF60" s="1">
        <v>1029067.768</v>
      </c>
      <c r="AG60" s="1">
        <v>1042123.147</v>
      </c>
      <c r="AH60" s="1">
        <v>1057635.486</v>
      </c>
      <c r="AI60" s="1">
        <v>1076928.368</v>
      </c>
      <c r="AK60" s="1">
        <v>1148059.916</v>
      </c>
      <c r="AL60" s="1">
        <v>1032766.861</v>
      </c>
    </row>
    <row r="61" spans="1:38" ht="12.75" customHeight="1">
      <c r="A61" s="1" t="s">
        <v>73</v>
      </c>
      <c r="J61" s="126">
        <v>80156.899000000005</v>
      </c>
      <c r="M61" s="1">
        <v>94843.055999999997</v>
      </c>
      <c r="O61" s="1">
        <v>101887.4</v>
      </c>
      <c r="R61" s="18">
        <v>107096.166</v>
      </c>
      <c r="S61" s="1">
        <v>114231.606</v>
      </c>
      <c r="T61" s="44">
        <v>120487.084</v>
      </c>
      <c r="U61" s="1">
        <v>108136.819</v>
      </c>
      <c r="V61" s="1">
        <v>125415.905</v>
      </c>
      <c r="W61" s="126">
        <v>169797.29</v>
      </c>
      <c r="X61" s="126">
        <v>153376.50399999999</v>
      </c>
      <c r="Y61" s="126">
        <v>168438.016</v>
      </c>
      <c r="Z61" s="126">
        <v>188415.079</v>
      </c>
      <c r="AA61" s="126">
        <v>256713.155</v>
      </c>
      <c r="AB61" s="126">
        <v>279631.08199999999</v>
      </c>
      <c r="AC61" s="126">
        <v>295606</v>
      </c>
      <c r="AD61" s="1">
        <v>309833.33100000001</v>
      </c>
      <c r="AE61" s="1">
        <v>330262.674</v>
      </c>
      <c r="AF61" s="1">
        <v>332008.15299999999</v>
      </c>
      <c r="AG61" s="1">
        <v>345055.10600000003</v>
      </c>
      <c r="AH61" s="1">
        <v>360921.30800000002</v>
      </c>
      <c r="AI61" s="1">
        <v>365057.32199999999</v>
      </c>
      <c r="AK61" s="1">
        <v>445498.16600000003</v>
      </c>
      <c r="AL61" s="1">
        <v>401146.29399999999</v>
      </c>
    </row>
    <row r="62" spans="1:38" ht="12.75" customHeight="1">
      <c r="A62" s="27" t="s">
        <v>74</v>
      </c>
      <c r="B62" s="27"/>
      <c r="C62" s="27"/>
      <c r="D62" s="27"/>
      <c r="E62" s="27"/>
      <c r="F62" s="27"/>
      <c r="G62" s="27"/>
      <c r="H62" s="27"/>
      <c r="I62" s="27"/>
      <c r="J62" s="127">
        <v>114783.084</v>
      </c>
      <c r="K62" s="27"/>
      <c r="L62" s="27"/>
      <c r="M62" s="27">
        <v>134707.66899999999</v>
      </c>
      <c r="N62" s="27"/>
      <c r="O62" s="27">
        <v>152265.34700000001</v>
      </c>
      <c r="P62" s="27"/>
      <c r="Q62" s="27"/>
      <c r="R62" s="37">
        <v>165678.80100000001</v>
      </c>
      <c r="S62" s="27">
        <v>169762.73300000001</v>
      </c>
      <c r="T62" s="61">
        <v>184571.465</v>
      </c>
      <c r="U62" s="27">
        <v>159772.34400000001</v>
      </c>
      <c r="V62" s="27">
        <v>178328.47500000001</v>
      </c>
      <c r="W62" s="127">
        <v>231437.136</v>
      </c>
      <c r="X62" s="127">
        <v>217897.53099999999</v>
      </c>
      <c r="Y62" s="127">
        <v>238072.77600000001</v>
      </c>
      <c r="Z62" s="127">
        <v>255072.071</v>
      </c>
      <c r="AA62" s="127">
        <v>328111.03100000002</v>
      </c>
      <c r="AB62" s="127">
        <v>379394.98200000002</v>
      </c>
      <c r="AC62" s="127">
        <v>396312</v>
      </c>
      <c r="AD62" s="27">
        <v>413718.272</v>
      </c>
      <c r="AE62" s="27">
        <v>406954.59700000001</v>
      </c>
      <c r="AF62" s="27">
        <v>414138.49200000003</v>
      </c>
      <c r="AG62" s="27">
        <v>430028.04700000002</v>
      </c>
      <c r="AH62" s="27">
        <v>473668.76799999998</v>
      </c>
      <c r="AI62" s="27">
        <v>500406.848</v>
      </c>
      <c r="AJ62" s="27"/>
      <c r="AK62" s="27">
        <v>585962.81000000006</v>
      </c>
      <c r="AL62" s="1">
        <v>550962.36600000004</v>
      </c>
    </row>
    <row r="63" spans="1:38">
      <c r="A63" s="49" t="s">
        <v>75</v>
      </c>
      <c r="B63" s="46"/>
      <c r="C63" s="46"/>
      <c r="D63" s="46"/>
      <c r="E63" s="46"/>
      <c r="F63" s="46"/>
      <c r="G63" s="46"/>
      <c r="H63" s="46"/>
      <c r="I63" s="46"/>
      <c r="J63" s="128">
        <v>8061.1350000000002</v>
      </c>
      <c r="K63" s="46"/>
      <c r="L63" s="46"/>
      <c r="M63" s="46">
        <v>10834.496999999999</v>
      </c>
      <c r="N63" s="46"/>
      <c r="O63" s="46">
        <v>15372.525960000001</v>
      </c>
      <c r="P63" s="46"/>
      <c r="Q63" s="46"/>
      <c r="R63" s="47">
        <v>11565.094999999999</v>
      </c>
      <c r="S63" s="46">
        <v>21529.335999999999</v>
      </c>
      <c r="T63" s="48">
        <v>15840.129000000001</v>
      </c>
      <c r="U63" s="46">
        <v>14631.991</v>
      </c>
      <c r="V63" s="46">
        <v>14037.932000000001</v>
      </c>
      <c r="W63" s="128">
        <v>21112.276999999998</v>
      </c>
      <c r="X63" s="128">
        <v>17087.491999999998</v>
      </c>
      <c r="Y63" s="128">
        <v>17401</v>
      </c>
      <c r="Z63" s="128">
        <v>20375.575000000001</v>
      </c>
      <c r="AA63" s="128">
        <v>19789.932000000001</v>
      </c>
      <c r="AB63" s="128">
        <v>27224.065999999999</v>
      </c>
      <c r="AC63" s="128">
        <v>29353</v>
      </c>
      <c r="AD63" s="27">
        <v>28652.757000000001</v>
      </c>
      <c r="AE63" s="27">
        <v>31944.017</v>
      </c>
      <c r="AF63" s="27">
        <v>32130.768</v>
      </c>
      <c r="AG63" s="27">
        <v>32498.006000000001</v>
      </c>
      <c r="AH63" s="27">
        <v>35945.51</v>
      </c>
      <c r="AI63" s="27">
        <v>36225.733999999997</v>
      </c>
      <c r="AJ63" s="27"/>
      <c r="AK63" s="27">
        <v>51243.802000000003</v>
      </c>
      <c r="AL63" s="130">
        <v>31093.741999999998</v>
      </c>
    </row>
    <row r="64" spans="1:38" ht="12.75" customHeight="1"/>
    <row r="65" spans="1:38" ht="12.75" customHeight="1"/>
    <row r="66" spans="1:38" ht="12.75" customHeight="1">
      <c r="A66" s="1" t="s">
        <v>96</v>
      </c>
      <c r="B66" s="1" t="s">
        <v>97</v>
      </c>
      <c r="I66" s="1" t="s">
        <v>98</v>
      </c>
      <c r="J66" s="1" t="s">
        <v>99</v>
      </c>
      <c r="M66" s="31" t="s">
        <v>100</v>
      </c>
      <c r="N66" s="19" t="s">
        <v>101</v>
      </c>
      <c r="O66" s="1" t="s">
        <v>102</v>
      </c>
      <c r="R66" s="1" t="s">
        <v>102</v>
      </c>
      <c r="U66" s="31" t="s">
        <v>100</v>
      </c>
      <c r="V66" s="31" t="s">
        <v>100</v>
      </c>
      <c r="W66" s="31" t="s">
        <v>100</v>
      </c>
      <c r="X66" s="31" t="s">
        <v>100</v>
      </c>
      <c r="Y66" s="31"/>
      <c r="Z66" s="31"/>
      <c r="AA66" s="31"/>
      <c r="AB66" s="31"/>
      <c r="AC66" s="31"/>
      <c r="AF66" s="31" t="s">
        <v>100</v>
      </c>
      <c r="AG66" s="31"/>
      <c r="AH66" s="31"/>
      <c r="AI66" s="31"/>
      <c r="AJ66" s="31"/>
      <c r="AK66" s="31"/>
      <c r="AL66" s="31"/>
    </row>
    <row r="67" spans="1:38" ht="12.75" customHeight="1">
      <c r="A67" s="1" t="s">
        <v>103</v>
      </c>
      <c r="B67" s="1" t="s">
        <v>98</v>
      </c>
      <c r="I67" s="1" t="s">
        <v>104</v>
      </c>
      <c r="J67" s="1" t="s">
        <v>105</v>
      </c>
      <c r="M67" s="1" t="s">
        <v>106</v>
      </c>
      <c r="N67" s="1" t="s">
        <v>107</v>
      </c>
      <c r="O67" s="1" t="s">
        <v>108</v>
      </c>
      <c r="R67" s="1" t="s">
        <v>109</v>
      </c>
      <c r="U67" s="1" t="s">
        <v>106</v>
      </c>
      <c r="V67" s="1" t="s">
        <v>106</v>
      </c>
      <c r="W67" s="1" t="s">
        <v>106</v>
      </c>
      <c r="X67" s="1" t="s">
        <v>106</v>
      </c>
      <c r="Y67" s="1"/>
      <c r="Z67" s="1"/>
      <c r="AA67" s="1"/>
      <c r="AB67" s="1"/>
      <c r="AC67" s="1"/>
      <c r="AF67" s="1" t="s">
        <v>106</v>
      </c>
    </row>
    <row r="68" spans="1:38" ht="12.75" customHeight="1">
      <c r="A68" s="1" t="s">
        <v>110</v>
      </c>
      <c r="B68" s="1" t="s">
        <v>104</v>
      </c>
      <c r="I68" s="1" t="s">
        <v>111</v>
      </c>
      <c r="J68" s="1" t="s">
        <v>112</v>
      </c>
      <c r="M68" s="1" t="s">
        <v>113</v>
      </c>
      <c r="N68" s="1" t="s">
        <v>114</v>
      </c>
      <c r="U68" s="1" t="s">
        <v>113</v>
      </c>
      <c r="V68" s="1" t="s">
        <v>113</v>
      </c>
      <c r="W68" s="1" t="s">
        <v>113</v>
      </c>
      <c r="X68" s="1" t="s">
        <v>113</v>
      </c>
      <c r="Y68" s="1"/>
      <c r="Z68" s="1"/>
      <c r="AA68" s="1"/>
      <c r="AB68" s="1"/>
      <c r="AC68" s="1"/>
      <c r="AF68" s="1" t="s">
        <v>113</v>
      </c>
    </row>
    <row r="69" spans="1:38" ht="12.75" customHeight="1">
      <c r="A69" s="1" t="s">
        <v>7</v>
      </c>
      <c r="B69" s="1" t="s">
        <v>111</v>
      </c>
      <c r="I69" s="1" t="s">
        <v>115</v>
      </c>
      <c r="M69" s="38"/>
      <c r="N69" s="38"/>
    </row>
    <row r="70" spans="1:38" ht="12.75" customHeight="1">
      <c r="A70" s="1" t="s">
        <v>116</v>
      </c>
      <c r="B70" s="1" t="s">
        <v>115</v>
      </c>
      <c r="I70" s="1" t="s">
        <v>117</v>
      </c>
    </row>
    <row r="71" spans="1:38" ht="12.75" customHeight="1">
      <c r="A71" s="1" t="s">
        <v>11</v>
      </c>
      <c r="B71" s="1" t="s">
        <v>117</v>
      </c>
      <c r="I71" s="1" t="s">
        <v>118</v>
      </c>
    </row>
    <row r="72" spans="1:38" ht="12.75" customHeight="1">
      <c r="A72" s="1" t="s">
        <v>119</v>
      </c>
      <c r="B72" s="1" t="s">
        <v>118</v>
      </c>
      <c r="I72" s="1" t="s">
        <v>120</v>
      </c>
    </row>
    <row r="73" spans="1:38" ht="12.75" customHeight="1">
      <c r="A73" s="1" t="s">
        <v>121</v>
      </c>
      <c r="B73" s="1" t="s">
        <v>120</v>
      </c>
      <c r="I73" s="1" t="s">
        <v>122</v>
      </c>
    </row>
    <row r="74" spans="1:38" ht="12.75" customHeight="1">
      <c r="A74" s="1" t="s">
        <v>123</v>
      </c>
      <c r="B74" s="1" t="s">
        <v>122</v>
      </c>
      <c r="I74" s="1" t="s">
        <v>124</v>
      </c>
    </row>
    <row r="75" spans="1:38" ht="12.75" customHeight="1">
      <c r="A75" s="1" t="s">
        <v>125</v>
      </c>
      <c r="B75" s="1" t="s">
        <v>124</v>
      </c>
      <c r="I75" s="1" t="s">
        <v>126</v>
      </c>
    </row>
    <row r="76" spans="1:38" ht="12.75" customHeight="1">
      <c r="A76" s="1" t="s">
        <v>127</v>
      </c>
      <c r="B76" s="1" t="s">
        <v>126</v>
      </c>
      <c r="I76" s="1" t="s">
        <v>128</v>
      </c>
    </row>
    <row r="77" spans="1:38" ht="12.75" customHeight="1">
      <c r="A77" s="1" t="s">
        <v>129</v>
      </c>
      <c r="B77" s="1" t="s">
        <v>130</v>
      </c>
      <c r="I77" s="1" t="s">
        <v>131</v>
      </c>
    </row>
    <row r="78" spans="1:38" ht="12.75" customHeight="1">
      <c r="A78" s="1" t="s">
        <v>132</v>
      </c>
      <c r="B78" s="1" t="s">
        <v>131</v>
      </c>
      <c r="I78" s="1" t="s">
        <v>133</v>
      </c>
    </row>
    <row r="79" spans="1:38" ht="12.75" customHeight="1">
      <c r="A79" s="1" t="s">
        <v>134</v>
      </c>
      <c r="B79" s="1" t="s">
        <v>135</v>
      </c>
    </row>
    <row r="80" spans="1:38" ht="12.75" customHeight="1">
      <c r="A80" s="1" t="s">
        <v>136</v>
      </c>
    </row>
    <row r="81" spans="1:206" ht="9.9499999999999993" customHeight="1">
      <c r="A81" s="1" t="s">
        <v>137</v>
      </c>
    </row>
    <row r="82" spans="1:206" ht="9.9499999999999993" customHeight="1">
      <c r="A82" s="1" t="s">
        <v>138</v>
      </c>
      <c r="GP82" s="4"/>
      <c r="GQ82" s="4"/>
      <c r="GR82" s="4"/>
      <c r="GS82" s="4"/>
      <c r="GT82" s="4"/>
      <c r="GU82" s="4"/>
      <c r="GV82" s="4"/>
      <c r="GW82" s="4"/>
      <c r="GX82" s="4"/>
    </row>
    <row r="83" spans="1:206">
      <c r="A83" s="1" t="s">
        <v>11</v>
      </c>
      <c r="GN83" s="4"/>
      <c r="GO83" s="4"/>
      <c r="GP83" s="4"/>
      <c r="GQ83" s="4"/>
      <c r="GR83" s="4"/>
      <c r="GS83" s="4"/>
      <c r="GT83" s="4"/>
      <c r="GU83" s="4"/>
      <c r="GV83" s="4"/>
      <c r="GW83" s="4"/>
      <c r="GX83" s="4"/>
    </row>
    <row r="84" spans="1:206">
      <c r="A84" s="1" t="s">
        <v>139</v>
      </c>
      <c r="GN84" s="4"/>
      <c r="GO84" s="4"/>
      <c r="GP84" s="4"/>
      <c r="GQ84" s="4"/>
      <c r="GR84" s="4"/>
      <c r="GS84" s="4"/>
      <c r="GT84" s="4"/>
      <c r="GU84" s="4"/>
      <c r="GV84" s="4"/>
      <c r="GW84" s="4"/>
      <c r="GX84" s="4"/>
    </row>
    <row r="85" spans="1:206">
      <c r="A85" s="1" t="s">
        <v>140</v>
      </c>
      <c r="GP85" s="4"/>
      <c r="GQ85" s="4"/>
      <c r="GR85" s="4"/>
      <c r="GS85" s="4"/>
      <c r="GT85" s="4"/>
      <c r="GU85" s="4"/>
      <c r="GV85" s="4"/>
    </row>
    <row r="86" spans="1:206">
      <c r="GP86" s="4"/>
      <c r="GQ86" s="4"/>
      <c r="GR86" s="4"/>
      <c r="GS86" s="4"/>
      <c r="GT86" s="4"/>
      <c r="GU86" s="4"/>
      <c r="GV86" s="4"/>
    </row>
    <row r="87" spans="1:206">
      <c r="GP87" s="4"/>
      <c r="GQ87" s="4"/>
      <c r="GR87" s="4"/>
      <c r="GS87" s="4"/>
      <c r="GT87" s="4"/>
      <c r="GU87" s="4"/>
      <c r="GV87" s="4"/>
    </row>
    <row r="92" spans="1:206">
      <c r="B92" s="12"/>
      <c r="C92" s="12"/>
      <c r="D92" s="12"/>
      <c r="E92" s="12"/>
      <c r="F92" s="12"/>
      <c r="G92" s="12"/>
      <c r="H92" s="12"/>
      <c r="I92" s="12"/>
    </row>
  </sheetData>
  <phoneticPr fontId="8" type="noConversion"/>
  <pageMargins left="0.5" right="0.5" top="0.5" bottom="0.55000000000000004" header="0.5" footer="0.5"/>
  <pageSetup scale="88" orientation="portrait" r:id="rId1"/>
  <headerFooter alignWithMargins="0">
    <oddFooter>&amp;LSREB Fact Book 1996/1997&amp;CUpdate&amp;R&amp;D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
    <tabColor indexed="62"/>
  </sheetPr>
  <dimension ref="A1:GY92"/>
  <sheetViews>
    <sheetView showZeros="0" zoomScaleNormal="100" workbookViewId="0">
      <pane xSplit="1" ySplit="3" topLeftCell="AC4" activePane="bottomRight" state="frozen"/>
      <selection pane="bottomRight" activeCell="AM1" sqref="AM1"/>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8" width="13.85546875" style="10" customWidth="1"/>
    <col min="29" max="29" width="14.42578125" style="10" bestFit="1" customWidth="1"/>
    <col min="30" max="31" width="10.7109375" style="1" bestFit="1" customWidth="1"/>
    <col min="32" max="37" width="10.7109375" style="1" customWidth="1"/>
    <col min="38" max="38" width="11" style="1" bestFit="1" customWidth="1"/>
    <col min="39" max="171" width="9.7109375" style="1"/>
    <col min="172" max="172" width="11.7109375" style="1" customWidth="1"/>
    <col min="173" max="196" width="9.7109375" style="1"/>
    <col min="197" max="197" width="5.7109375" style="1" customWidth="1"/>
    <col min="198" max="198" width="6.7109375" style="1" customWidth="1"/>
    <col min="199" max="200" width="8.7109375" style="1" customWidth="1"/>
    <col min="201" max="202" width="6.7109375" style="1" customWidth="1"/>
    <col min="203" max="204" width="8.7109375" style="1" customWidth="1"/>
    <col min="205" max="206" width="6.7109375" style="1" customWidth="1"/>
    <col min="207" max="207" width="1.7109375" style="1" customWidth="1"/>
    <col min="208" max="16384" width="9.7109375" style="1"/>
  </cols>
  <sheetData>
    <row r="1" spans="1:38">
      <c r="A1" s="36" t="s">
        <v>92</v>
      </c>
      <c r="B1" s="11"/>
      <c r="C1" s="11"/>
      <c r="D1" s="11"/>
      <c r="E1" s="11"/>
      <c r="F1" s="11"/>
      <c r="G1" s="11"/>
      <c r="H1" s="11"/>
      <c r="I1" s="11"/>
      <c r="J1" s="11"/>
      <c r="K1" s="11"/>
      <c r="L1" s="11"/>
    </row>
    <row r="2" spans="1:38">
      <c r="A2" s="1" t="s">
        <v>141</v>
      </c>
      <c r="B2" s="11"/>
      <c r="C2" s="11"/>
      <c r="D2" s="11"/>
      <c r="E2" s="11"/>
      <c r="F2" s="11"/>
      <c r="G2" s="11"/>
      <c r="H2" s="11"/>
      <c r="I2" s="11"/>
      <c r="J2" s="11"/>
      <c r="K2" s="11"/>
      <c r="L2" s="11"/>
    </row>
    <row r="3" spans="1:38">
      <c r="B3" s="40">
        <v>1984</v>
      </c>
      <c r="C3" s="40">
        <v>1985</v>
      </c>
      <c r="D3" s="40" t="s">
        <v>142</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t="s">
        <v>143</v>
      </c>
      <c r="T3" s="43" t="s">
        <v>144</v>
      </c>
      <c r="U3" s="28" t="s">
        <v>145</v>
      </c>
      <c r="V3" s="28" t="s">
        <v>146</v>
      </c>
      <c r="W3" s="28" t="s">
        <v>147</v>
      </c>
      <c r="X3" s="28" t="s">
        <v>148</v>
      </c>
      <c r="Y3" s="28" t="s">
        <v>149</v>
      </c>
      <c r="Z3" s="28">
        <v>2008</v>
      </c>
      <c r="AA3" s="28" t="s">
        <v>150</v>
      </c>
      <c r="AB3" s="28" t="s">
        <v>151</v>
      </c>
      <c r="AC3" s="28" t="s">
        <v>152</v>
      </c>
      <c r="AD3" s="29">
        <v>2012</v>
      </c>
      <c r="AE3" s="29">
        <v>2013</v>
      </c>
      <c r="AF3" s="29">
        <v>2014</v>
      </c>
      <c r="AG3" s="29">
        <v>2015</v>
      </c>
      <c r="AH3" s="29">
        <v>2016</v>
      </c>
      <c r="AI3" s="29">
        <v>2017</v>
      </c>
      <c r="AJ3" s="29">
        <v>2018</v>
      </c>
      <c r="AK3" s="29">
        <v>2019</v>
      </c>
      <c r="AL3" s="105">
        <v>2020</v>
      </c>
    </row>
    <row r="4" spans="1:38" ht="12.75" customHeight="1">
      <c r="A4" s="46" t="s">
        <v>20</v>
      </c>
      <c r="B4" s="27">
        <f>7236878+11565949</f>
        <v>18802827</v>
      </c>
      <c r="C4" s="27">
        <f>8068818+13092435</f>
        <v>21161253</v>
      </c>
      <c r="D4" s="27">
        <f>8695851+14064374</f>
        <v>22760225</v>
      </c>
      <c r="E4" s="46"/>
      <c r="F4" s="46"/>
      <c r="G4" s="46"/>
      <c r="H4" s="46"/>
      <c r="I4" s="46">
        <v>28711120.736000001</v>
      </c>
      <c r="J4" s="54">
        <f t="shared" ref="J4" si="0">+J5+J23+J38+J52+J63</f>
        <v>28225691.919</v>
      </c>
      <c r="K4" s="46">
        <v>29348295.965</v>
      </c>
      <c r="L4" s="46">
        <v>29818134.276999999</v>
      </c>
      <c r="M4" s="54">
        <f t="shared" ref="M4" si="1">+M5+M23+M38+M52+M63</f>
        <v>30375545.460999999</v>
      </c>
      <c r="N4" s="46">
        <v>31711041.640000001</v>
      </c>
      <c r="O4" s="54">
        <f t="shared" ref="O4" si="2">+O5+O23+O38+O52+O63</f>
        <v>33364112.565699995</v>
      </c>
      <c r="P4" s="46"/>
      <c r="Q4" s="46"/>
      <c r="R4" s="54">
        <f t="shared" ref="R4:AA4" si="3">+R5+R23+R38+R52+R63</f>
        <v>38474111.190000005</v>
      </c>
      <c r="S4" s="54">
        <f t="shared" si="3"/>
        <v>41070332.825999998</v>
      </c>
      <c r="T4" s="59">
        <f t="shared" si="3"/>
        <v>41803980.241000004</v>
      </c>
      <c r="U4" s="54">
        <f t="shared" si="3"/>
        <v>40854751.542000003</v>
      </c>
      <c r="V4" s="54">
        <f t="shared" si="3"/>
        <v>40300092.953999996</v>
      </c>
      <c r="W4" s="54">
        <f t="shared" si="3"/>
        <v>41465407.272</v>
      </c>
      <c r="X4" s="54">
        <f t="shared" si="3"/>
        <v>43587540.434</v>
      </c>
      <c r="Y4" s="54">
        <f t="shared" si="3"/>
        <v>46760334.475999996</v>
      </c>
      <c r="Z4" s="54">
        <f t="shared" si="3"/>
        <v>50601911.659999996</v>
      </c>
      <c r="AA4" s="54">
        <f t="shared" si="3"/>
        <v>43519253.829000004</v>
      </c>
      <c r="AB4" s="54">
        <f t="shared" ref="AB4:AC4" si="4">+AB5+AB23+AB38+AB52+AB63</f>
        <v>45283674.435999997</v>
      </c>
      <c r="AC4" s="54">
        <f t="shared" si="4"/>
        <v>45476933</v>
      </c>
      <c r="AD4" s="54">
        <f t="shared" ref="AD4:AE4" si="5">+AD5+AD23+AD38+AD52+AD63</f>
        <v>42468761.960000001</v>
      </c>
      <c r="AE4" s="54">
        <f t="shared" si="5"/>
        <v>40664314.947999991</v>
      </c>
      <c r="AF4" s="54">
        <f t="shared" ref="AF4" si="6">+AF5+AF23+AF38+AF52+AF63</f>
        <v>43639073.344999991</v>
      </c>
      <c r="AG4" s="54">
        <f t="shared" ref="AG4:AI4" si="7">+AG5+AG23+AG38+AG52+AG63</f>
        <v>45010330.327</v>
      </c>
      <c r="AH4" s="54">
        <f t="shared" si="7"/>
        <v>47939718.258000009</v>
      </c>
      <c r="AI4" s="54">
        <f t="shared" si="7"/>
        <v>49212747.862000003</v>
      </c>
      <c r="AJ4" s="54">
        <f t="shared" ref="AJ4:AK4" si="8">+AJ5+AJ23+AJ38+AJ52+AJ63</f>
        <v>0</v>
      </c>
      <c r="AK4" s="54">
        <f t="shared" si="8"/>
        <v>53177332.525999993</v>
      </c>
      <c r="AL4" s="54">
        <f t="shared" ref="AL4" si="9">+AL5+AL23+AL38+AL52+AL63</f>
        <v>144268692.35000002</v>
      </c>
    </row>
    <row r="5" spans="1:38" ht="12.75" customHeight="1">
      <c r="A5" s="1" t="s">
        <v>21</v>
      </c>
      <c r="J5" s="51">
        <f t="shared" ref="J5" si="10">SUM(J7:J22)</f>
        <v>10080807.43</v>
      </c>
      <c r="M5" s="51">
        <f t="shared" ref="M5" si="11">SUM(M7:M22)</f>
        <v>11499402.641000001</v>
      </c>
      <c r="O5" s="51">
        <f t="shared" ref="O5" si="12">SUM(O7:O22)</f>
        <v>12517792.816129999</v>
      </c>
      <c r="R5" s="51">
        <f t="shared" ref="R5:AA5" si="13">SUM(R7:R22)</f>
        <v>14929898.603</v>
      </c>
      <c r="S5" s="51">
        <f t="shared" si="13"/>
        <v>15794091.416999999</v>
      </c>
      <c r="T5" s="60">
        <f t="shared" si="13"/>
        <v>16081616.788000001</v>
      </c>
      <c r="U5" s="51">
        <f t="shared" si="13"/>
        <v>16074663.681000002</v>
      </c>
      <c r="V5" s="51">
        <f t="shared" si="13"/>
        <v>16043484.072000001</v>
      </c>
      <c r="W5" s="51">
        <f t="shared" si="13"/>
        <v>16548949.23</v>
      </c>
      <c r="X5" s="51">
        <f t="shared" si="13"/>
        <v>17725735.899</v>
      </c>
      <c r="Y5" s="51">
        <f t="shared" si="13"/>
        <v>19331163.922000002</v>
      </c>
      <c r="Z5" s="51">
        <f t="shared" si="13"/>
        <v>21080251.370000001</v>
      </c>
      <c r="AA5" s="51">
        <f t="shared" si="13"/>
        <v>17447320.261999998</v>
      </c>
      <c r="AB5" s="51">
        <f t="shared" ref="AB5:AC5" si="14">SUM(AB7:AB22)</f>
        <v>18438720.952</v>
      </c>
      <c r="AC5" s="51">
        <f t="shared" si="14"/>
        <v>18575455</v>
      </c>
      <c r="AD5" s="51">
        <f t="shared" ref="AD5:AE5" si="15">SUM(AD7:AD22)</f>
        <v>17981529.541000001</v>
      </c>
      <c r="AE5" s="51">
        <f t="shared" si="15"/>
        <v>16630428.494999999</v>
      </c>
      <c r="AF5" s="51">
        <f t="shared" ref="AF5" si="16">SUM(AF7:AF22)</f>
        <v>17722854.592</v>
      </c>
      <c r="AG5" s="51">
        <f t="shared" ref="AG5:AI5" si="17">SUM(AG7:AG22)</f>
        <v>18164502.951999996</v>
      </c>
      <c r="AH5" s="51">
        <f t="shared" si="17"/>
        <v>20110473.408000004</v>
      </c>
      <c r="AI5" s="51">
        <f t="shared" si="17"/>
        <v>20557135.002000004</v>
      </c>
      <c r="AJ5" s="51">
        <f t="shared" ref="AJ5:AK5" si="18">SUM(AJ7:AJ22)</f>
        <v>0</v>
      </c>
      <c r="AK5" s="51">
        <f t="shared" si="18"/>
        <v>22063899.305</v>
      </c>
      <c r="AL5" s="51">
        <f t="shared" ref="AL5" si="19">SUM(AL7:AL22)</f>
        <v>23237817.263000004</v>
      </c>
    </row>
    <row r="6" spans="1:38" ht="12.75" customHeight="1">
      <c r="A6" s="6" t="s">
        <v>94</v>
      </c>
      <c r="J6" s="126"/>
      <c r="R6" s="18"/>
      <c r="T6" s="44"/>
      <c r="AA6" s="10">
        <v>0</v>
      </c>
    </row>
    <row r="7" spans="1:38" ht="12.75" customHeight="1">
      <c r="A7" s="1" t="s">
        <v>22</v>
      </c>
      <c r="B7" s="1">
        <f>130332+226503</f>
        <v>356835</v>
      </c>
      <c r="C7" s="1">
        <f>164016+279113</f>
        <v>443129</v>
      </c>
      <c r="D7" s="1">
        <f>190943+321546</f>
        <v>512489</v>
      </c>
      <c r="I7" s="1">
        <v>566782.33799999999</v>
      </c>
      <c r="J7" s="126">
        <v>569567.83400000003</v>
      </c>
      <c r="K7" s="1">
        <v>588144.46699999995</v>
      </c>
      <c r="L7" s="1">
        <v>622218.04299999995</v>
      </c>
      <c r="M7" s="1">
        <v>705838.98899999994</v>
      </c>
      <c r="N7" s="1">
        <v>690293</v>
      </c>
      <c r="O7" s="1">
        <v>687868.26699999999</v>
      </c>
      <c r="R7" s="24">
        <v>780581.49</v>
      </c>
      <c r="S7" s="1">
        <v>771865.54299999995</v>
      </c>
      <c r="T7" s="44">
        <v>832486.75699999998</v>
      </c>
      <c r="U7" s="1">
        <v>855413.98699999996</v>
      </c>
      <c r="V7" s="1">
        <v>847080.84499999997</v>
      </c>
      <c r="W7" s="126">
        <v>886827.33900000004</v>
      </c>
      <c r="X7" s="126">
        <v>1016986.078</v>
      </c>
      <c r="Y7" s="126">
        <v>1205723.1599999999</v>
      </c>
      <c r="Z7" s="126">
        <v>1397239.0430000001</v>
      </c>
      <c r="AA7" s="126">
        <v>1107832.351</v>
      </c>
      <c r="AB7" s="126">
        <v>1007280.254</v>
      </c>
      <c r="AC7" s="126">
        <v>1001333</v>
      </c>
      <c r="AD7" s="1">
        <v>1049223.22</v>
      </c>
      <c r="AE7" s="1">
        <v>1013027.491</v>
      </c>
      <c r="AF7" s="1">
        <v>1032885.474</v>
      </c>
      <c r="AG7" s="1">
        <v>1039910.741</v>
      </c>
      <c r="AH7" s="1">
        <v>1053876.642</v>
      </c>
      <c r="AI7" s="1">
        <v>1085138.33</v>
      </c>
      <c r="AK7" s="1">
        <v>1176788.5090000001</v>
      </c>
      <c r="AL7" s="1">
        <v>1255114.243</v>
      </c>
    </row>
    <row r="8" spans="1:38" ht="12.75" customHeight="1">
      <c r="A8" s="1" t="s">
        <v>23</v>
      </c>
      <c r="B8" s="1">
        <f>61336+114854</f>
        <v>176190</v>
      </c>
      <c r="C8" s="1">
        <f>76955+144049</f>
        <v>221004</v>
      </c>
      <c r="D8" s="1">
        <f>79945+150333</f>
        <v>230278</v>
      </c>
      <c r="I8" s="1">
        <v>282045.03000000003</v>
      </c>
      <c r="J8" s="126">
        <v>307882.70500000002</v>
      </c>
      <c r="K8" s="1">
        <v>329747.12199999997</v>
      </c>
      <c r="L8" s="1">
        <v>333192.30599999998</v>
      </c>
      <c r="M8" s="1">
        <v>338382.65600000002</v>
      </c>
      <c r="N8" s="1">
        <v>361611.86900000001</v>
      </c>
      <c r="O8" s="1">
        <v>388970.30699999997</v>
      </c>
      <c r="R8" s="24">
        <v>461409.19199999998</v>
      </c>
      <c r="S8" s="1">
        <v>466403.94099999999</v>
      </c>
      <c r="T8" s="44">
        <v>485606.76799999998</v>
      </c>
      <c r="U8" s="1">
        <v>474364.29399999999</v>
      </c>
      <c r="V8" s="1">
        <v>459022.03</v>
      </c>
      <c r="W8" s="126">
        <v>472339.103</v>
      </c>
      <c r="X8" s="126">
        <v>496341.65500000003</v>
      </c>
      <c r="Y8" s="126">
        <v>510746.86200000002</v>
      </c>
      <c r="Z8" s="126">
        <v>553239.92799999996</v>
      </c>
      <c r="AA8" s="126">
        <v>524498.48699999996</v>
      </c>
      <c r="AB8" s="126">
        <v>579247.79299999995</v>
      </c>
      <c r="AC8" s="126">
        <v>575775</v>
      </c>
      <c r="AD8" s="1">
        <v>575939.46299999999</v>
      </c>
      <c r="AE8" s="1">
        <v>579543.85499999998</v>
      </c>
      <c r="AF8" s="1">
        <v>597372.92500000005</v>
      </c>
      <c r="AG8" s="1">
        <v>563025.71600000001</v>
      </c>
      <c r="AH8" s="1">
        <v>555490.87100000004</v>
      </c>
      <c r="AI8" s="1">
        <v>575439.12199999997</v>
      </c>
      <c r="AK8" s="1">
        <v>568648.46900000004</v>
      </c>
      <c r="AL8" s="1">
        <v>623710.55000000005</v>
      </c>
    </row>
    <row r="9" spans="1:38" ht="12.75" customHeight="1">
      <c r="A9" s="1" t="s">
        <v>24</v>
      </c>
      <c r="D9" s="1">
        <f>53813+13888</f>
        <v>67701</v>
      </c>
      <c r="I9" s="1">
        <v>84228.637000000002</v>
      </c>
      <c r="J9" s="126">
        <v>85781.913</v>
      </c>
      <c r="M9" s="1">
        <v>94401.072</v>
      </c>
      <c r="N9" s="1">
        <v>76894.100999999995</v>
      </c>
      <c r="O9" s="1">
        <v>80662.399999999994</v>
      </c>
      <c r="R9" s="24">
        <v>120213.838</v>
      </c>
      <c r="S9" s="35">
        <v>137114.429</v>
      </c>
      <c r="T9" s="45">
        <v>134079.70300000001</v>
      </c>
      <c r="U9" s="35">
        <v>133290.65700000001</v>
      </c>
      <c r="V9" s="35">
        <v>136966.20499999999</v>
      </c>
      <c r="W9" s="126">
        <v>148671.66200000001</v>
      </c>
      <c r="X9" s="126">
        <v>155391.46100000001</v>
      </c>
      <c r="Y9" s="126">
        <v>162614.26699999999</v>
      </c>
      <c r="Z9" s="126">
        <v>167158.465</v>
      </c>
      <c r="AA9" s="126">
        <v>163054.27799999999</v>
      </c>
      <c r="AB9" s="126">
        <v>155203.54199999999</v>
      </c>
      <c r="AC9" s="126">
        <v>150240</v>
      </c>
      <c r="AD9" s="1">
        <v>148993.90100000001</v>
      </c>
      <c r="AE9" s="1">
        <v>163394.677</v>
      </c>
      <c r="AF9" s="1">
        <v>158900.47200000001</v>
      </c>
      <c r="AG9" s="1">
        <v>154875.72399999999</v>
      </c>
      <c r="AH9" s="1">
        <v>157167.986</v>
      </c>
      <c r="AI9" s="1">
        <v>35967.358</v>
      </c>
      <c r="AK9" s="1">
        <v>158630.489</v>
      </c>
      <c r="AL9" s="1">
        <v>169945.52100000001</v>
      </c>
    </row>
    <row r="10" spans="1:38" ht="12.75" customHeight="1">
      <c r="A10" s="1" t="s">
        <v>25</v>
      </c>
      <c r="B10" s="1">
        <f>327305+278235</f>
        <v>605540</v>
      </c>
      <c r="C10" s="1">
        <f>358601+307478</f>
        <v>666079</v>
      </c>
      <c r="D10" s="1">
        <f>380647+335509</f>
        <v>716156</v>
      </c>
      <c r="I10" s="1">
        <v>1066371.791</v>
      </c>
      <c r="J10" s="126">
        <v>1013082.959</v>
      </c>
      <c r="K10" s="1">
        <v>1025568.735</v>
      </c>
      <c r="L10" s="1">
        <v>1089291.7679999999</v>
      </c>
      <c r="M10" s="1">
        <v>1173254.1240000001</v>
      </c>
      <c r="N10" s="1">
        <v>1249126.2860000001</v>
      </c>
      <c r="O10" s="1">
        <v>1325619.264</v>
      </c>
      <c r="R10" s="24">
        <v>1684101.9180000001</v>
      </c>
      <c r="S10" s="1">
        <v>1811741.639</v>
      </c>
      <c r="T10" s="44">
        <v>1736913.561</v>
      </c>
      <c r="U10" s="1">
        <v>2043522.5360000001</v>
      </c>
      <c r="V10" s="1">
        <v>2111332.6260000002</v>
      </c>
      <c r="W10" s="126">
        <v>2252957.1919999998</v>
      </c>
      <c r="X10" s="126">
        <v>2402576.2280000001</v>
      </c>
      <c r="Y10" s="126">
        <v>2682395.9879999999</v>
      </c>
      <c r="Z10" s="126">
        <v>2709760.1310000001</v>
      </c>
      <c r="AA10" s="126">
        <v>2339923.182</v>
      </c>
      <c r="AB10" s="126">
        <v>2105518.943</v>
      </c>
      <c r="AC10" s="126">
        <v>2205832</v>
      </c>
      <c r="AD10" s="1">
        <v>2007509.281</v>
      </c>
      <c r="AE10" s="1">
        <v>1708187.699</v>
      </c>
      <c r="AF10" s="1">
        <v>2248166.2540000002</v>
      </c>
      <c r="AG10" s="1">
        <v>2461742.3199999998</v>
      </c>
      <c r="AH10" s="1">
        <v>2514694.3259999999</v>
      </c>
      <c r="AI10" s="1">
        <v>2795346.7370000002</v>
      </c>
      <c r="AK10" s="1">
        <v>3116104.77</v>
      </c>
      <c r="AL10" s="1">
        <v>3160917.2310000001</v>
      </c>
    </row>
    <row r="11" spans="1:38" ht="12.75" customHeight="1">
      <c r="A11" s="1" t="s">
        <v>26</v>
      </c>
      <c r="B11" s="1">
        <f>171403+321400</f>
        <v>492803</v>
      </c>
      <c r="C11" s="1">
        <f>188872+349784</f>
        <v>538656</v>
      </c>
      <c r="D11" s="1">
        <f>204338+378424</f>
        <v>582762</v>
      </c>
      <c r="I11" s="1">
        <v>759403.70799999998</v>
      </c>
      <c r="J11" s="126">
        <v>729613.99600000004</v>
      </c>
      <c r="K11" s="1">
        <v>790114.63500000001</v>
      </c>
      <c r="L11" s="1">
        <v>885700.32700000005</v>
      </c>
      <c r="M11" s="1">
        <v>970947.28700000001</v>
      </c>
      <c r="N11" s="1">
        <v>1045808.277</v>
      </c>
      <c r="O11" s="1">
        <v>1151394.632</v>
      </c>
      <c r="R11" s="24">
        <v>1343794.8189999999</v>
      </c>
      <c r="S11" s="1">
        <v>1433536.209</v>
      </c>
      <c r="T11" s="44">
        <v>1453990.798</v>
      </c>
      <c r="U11" s="1">
        <v>1406608.92</v>
      </c>
      <c r="V11" s="1">
        <v>1340812.9650000001</v>
      </c>
      <c r="W11" s="126">
        <v>1365537.3940000001</v>
      </c>
      <c r="X11" s="126">
        <v>1492218.905</v>
      </c>
      <c r="Y11" s="126">
        <v>1611543.1070000001</v>
      </c>
      <c r="Z11" s="126">
        <v>1788080.5419999999</v>
      </c>
      <c r="AA11" s="126">
        <v>1478946.202</v>
      </c>
      <c r="AB11" s="126">
        <v>1367631.1059999999</v>
      </c>
      <c r="AC11" s="126">
        <v>1468738</v>
      </c>
      <c r="AD11" s="1">
        <v>1373128.5120000001</v>
      </c>
      <c r="AE11" s="1">
        <v>1466301.4280000001</v>
      </c>
      <c r="AF11" s="1">
        <v>1567962.7720000001</v>
      </c>
      <c r="AG11" s="1">
        <v>1625696.578</v>
      </c>
      <c r="AH11" s="1">
        <v>1705440.622</v>
      </c>
      <c r="AI11" s="1">
        <v>1832048.2379999999</v>
      </c>
      <c r="AK11" s="1">
        <v>2127880.574</v>
      </c>
      <c r="AL11" s="1">
        <v>2251680.2519999999</v>
      </c>
    </row>
    <row r="12" spans="1:38" ht="12.75" customHeight="1">
      <c r="A12" s="1" t="s">
        <v>27</v>
      </c>
      <c r="B12" s="1">
        <f>236513+151450</f>
        <v>387963</v>
      </c>
      <c r="C12" s="1">
        <f>242982+155597</f>
        <v>398579</v>
      </c>
      <c r="D12" s="1">
        <f>255008+164086</f>
        <v>419094</v>
      </c>
      <c r="I12" s="1">
        <v>559384.69999999995</v>
      </c>
      <c r="J12" s="126">
        <v>589420.978</v>
      </c>
      <c r="K12" s="1">
        <v>563568.152</v>
      </c>
      <c r="L12" s="1">
        <v>579922.45299999998</v>
      </c>
      <c r="M12" s="1">
        <v>598685.05000000005</v>
      </c>
      <c r="N12" s="1">
        <v>614145.03300000005</v>
      </c>
      <c r="O12" s="1">
        <v>650296.696</v>
      </c>
      <c r="R12" s="18">
        <v>714097.05599999998</v>
      </c>
      <c r="S12" s="1">
        <v>757418.05500000005</v>
      </c>
      <c r="T12" s="44">
        <v>751046.73</v>
      </c>
      <c r="U12" s="1">
        <v>749481.11</v>
      </c>
      <c r="V12" s="1">
        <v>750230.48800000001</v>
      </c>
      <c r="W12" s="126">
        <v>743479.12</v>
      </c>
      <c r="X12" s="126">
        <v>813163.35800000001</v>
      </c>
      <c r="Y12" s="126">
        <v>830473.24600000004</v>
      </c>
      <c r="Z12" s="126">
        <v>841219.47499999998</v>
      </c>
      <c r="AA12" s="126">
        <v>813232.23100000003</v>
      </c>
      <c r="AB12" s="126">
        <v>767415.02300000004</v>
      </c>
      <c r="AC12" s="126">
        <v>772106</v>
      </c>
      <c r="AD12" s="1">
        <v>769244.93400000001</v>
      </c>
      <c r="AE12" s="1">
        <v>728574.82700000005</v>
      </c>
      <c r="AF12" s="1">
        <v>731726.18</v>
      </c>
      <c r="AG12" s="1">
        <v>723630.20700000005</v>
      </c>
      <c r="AH12" s="1">
        <v>728424.26300000004</v>
      </c>
      <c r="AI12" s="1">
        <v>700491.99100000004</v>
      </c>
      <c r="AK12" s="1">
        <v>688885.9</v>
      </c>
      <c r="AL12" s="1">
        <v>688360</v>
      </c>
    </row>
    <row r="13" spans="1:38" ht="12.75" customHeight="1">
      <c r="A13" s="1" t="s">
        <v>28</v>
      </c>
      <c r="B13" s="1">
        <f>137220+331165</f>
        <v>468385</v>
      </c>
      <c r="C13" s="1">
        <f>155358+361768</f>
        <v>517126</v>
      </c>
      <c r="D13" s="1">
        <f>155682+350160</f>
        <v>505842</v>
      </c>
      <c r="I13" s="1">
        <v>533198.05000000005</v>
      </c>
      <c r="J13" s="126">
        <v>544526.84</v>
      </c>
      <c r="K13" s="1">
        <v>537774.245</v>
      </c>
      <c r="L13" s="1">
        <v>531400.67799999996</v>
      </c>
      <c r="M13" s="1">
        <v>558762.44099999999</v>
      </c>
      <c r="N13" s="1">
        <v>550380.03200000001</v>
      </c>
      <c r="O13" s="1">
        <v>599878.61399999994</v>
      </c>
      <c r="R13" s="18">
        <v>688987.08400000003</v>
      </c>
      <c r="S13" s="1">
        <v>707566.924</v>
      </c>
      <c r="T13" s="44">
        <v>857981.15399999998</v>
      </c>
      <c r="U13" s="1">
        <v>882735.31099999999</v>
      </c>
      <c r="V13" s="1">
        <v>918833.18500000006</v>
      </c>
      <c r="W13" s="126">
        <v>917610.60600000003</v>
      </c>
      <c r="X13" s="126">
        <v>918893.446</v>
      </c>
      <c r="Y13" s="126">
        <v>1042637.051</v>
      </c>
      <c r="Z13" s="126">
        <v>1220683.858</v>
      </c>
      <c r="AA13" s="126">
        <v>981752.79399999999</v>
      </c>
      <c r="AB13" s="126">
        <v>855834.18099999998</v>
      </c>
      <c r="AC13" s="126">
        <v>846770</v>
      </c>
      <c r="AD13" s="1">
        <v>786651.36</v>
      </c>
      <c r="AE13" s="1">
        <v>736244.22400000005</v>
      </c>
      <c r="AF13" s="1">
        <v>672396.31499999994</v>
      </c>
      <c r="AG13" s="1">
        <v>640951.70200000005</v>
      </c>
      <c r="AH13" s="1">
        <v>692870.72600000002</v>
      </c>
      <c r="AI13" s="1">
        <v>651220.24600000004</v>
      </c>
      <c r="AK13" s="1">
        <v>658043.25399999996</v>
      </c>
      <c r="AL13" s="1">
        <v>747963.902</v>
      </c>
    </row>
    <row r="14" spans="1:38" ht="12.75" customHeight="1">
      <c r="A14" s="1" t="s">
        <v>29</v>
      </c>
      <c r="B14" s="1">
        <v>340882</v>
      </c>
      <c r="C14" s="1">
        <f>0+366745</f>
        <v>366745</v>
      </c>
      <c r="D14" s="1">
        <v>405052</v>
      </c>
      <c r="I14" s="1">
        <v>622882.42599999998</v>
      </c>
      <c r="J14" s="126">
        <v>517026.245</v>
      </c>
      <c r="K14" s="1">
        <v>568020.15</v>
      </c>
      <c r="L14" s="1">
        <v>562624.50600000005</v>
      </c>
      <c r="M14" s="1">
        <v>570755.63699999999</v>
      </c>
      <c r="N14" s="1">
        <v>607258.27300000004</v>
      </c>
      <c r="O14" s="1">
        <v>625767.4719</v>
      </c>
      <c r="R14" s="18">
        <v>740504.25899999996</v>
      </c>
      <c r="S14" s="1">
        <v>819106.66399999999</v>
      </c>
      <c r="T14" s="44">
        <v>889478.79</v>
      </c>
      <c r="U14" s="1">
        <v>797603.79</v>
      </c>
      <c r="V14" s="1">
        <v>769480.94400000002</v>
      </c>
      <c r="W14" s="126">
        <v>780607.46900000004</v>
      </c>
      <c r="X14" s="126">
        <v>832944.45799999998</v>
      </c>
      <c r="Y14" s="126">
        <v>961766.61800000002</v>
      </c>
      <c r="Z14" s="126">
        <v>1032013.871</v>
      </c>
      <c r="AA14" s="126">
        <v>888208.00100000005</v>
      </c>
      <c r="AB14" s="126">
        <v>963550.60400000005</v>
      </c>
      <c r="AC14" s="126">
        <v>1096635</v>
      </c>
      <c r="AD14" s="1">
        <v>1119617.986</v>
      </c>
      <c r="AE14" s="1">
        <v>1124134.8929999999</v>
      </c>
      <c r="AF14" s="1">
        <v>1159050.23</v>
      </c>
      <c r="AG14" s="1">
        <v>1266339.2620000001</v>
      </c>
      <c r="AH14" s="1">
        <v>1322461.3529999999</v>
      </c>
      <c r="AI14" s="1">
        <v>1365873.1089999999</v>
      </c>
      <c r="AK14" s="1">
        <v>1460520.162</v>
      </c>
      <c r="AL14" s="1">
        <v>1561221.4750000001</v>
      </c>
    </row>
    <row r="15" spans="1:38" ht="12.75" customHeight="1">
      <c r="A15" s="1" t="s">
        <v>30</v>
      </c>
      <c r="B15" s="1">
        <f>30011+203669</f>
        <v>233680</v>
      </c>
      <c r="C15" s="1">
        <f>31330+207229</f>
        <v>238559</v>
      </c>
      <c r="D15" s="1">
        <f>34046+225068</f>
        <v>259114</v>
      </c>
      <c r="I15" s="1">
        <v>288342.37300000002</v>
      </c>
      <c r="J15" s="126">
        <v>270039.54800000001</v>
      </c>
      <c r="K15" s="1">
        <v>297049.53700000001</v>
      </c>
      <c r="L15" s="1">
        <v>313515.89</v>
      </c>
      <c r="M15" s="1">
        <v>395177.04100000003</v>
      </c>
      <c r="N15" s="1">
        <v>421812.86800000002</v>
      </c>
      <c r="O15" s="1">
        <v>427166.90500000003</v>
      </c>
      <c r="R15" s="18">
        <v>565263.46</v>
      </c>
      <c r="S15" s="1">
        <v>537639.91599999997</v>
      </c>
      <c r="T15" s="44">
        <v>527937.56499999994</v>
      </c>
      <c r="U15" s="1">
        <v>524535.23499999999</v>
      </c>
      <c r="V15" s="1">
        <v>552783.84100000001</v>
      </c>
      <c r="W15" s="126">
        <v>561171.74800000002</v>
      </c>
      <c r="X15" s="126">
        <v>553956.13300000003</v>
      </c>
      <c r="Y15" s="126">
        <v>638142.09299999999</v>
      </c>
      <c r="Z15" s="126">
        <v>736796.26699999999</v>
      </c>
      <c r="AA15" s="126">
        <v>488979.36900000001</v>
      </c>
      <c r="AB15" s="126">
        <v>627093.40099999995</v>
      </c>
      <c r="AC15" s="126">
        <v>616195</v>
      </c>
      <c r="AD15" s="1">
        <v>666831.31499999994</v>
      </c>
      <c r="AE15" s="1">
        <v>627246.39099999995</v>
      </c>
      <c r="AF15" s="1">
        <v>655388.98499999999</v>
      </c>
      <c r="AG15" s="1">
        <v>684347.96799999999</v>
      </c>
      <c r="AH15" s="1">
        <v>699133.74300000002</v>
      </c>
      <c r="AI15" s="1">
        <v>663325.76500000001</v>
      </c>
      <c r="AK15" s="1">
        <v>617619.91700000002</v>
      </c>
      <c r="AL15" s="1">
        <v>648016.81599999999</v>
      </c>
    </row>
    <row r="16" spans="1:38" ht="12.75" customHeight="1">
      <c r="A16" s="1" t="s">
        <v>31</v>
      </c>
      <c r="B16" s="1">
        <f>156690+402304</f>
        <v>558994</v>
      </c>
      <c r="C16" s="1">
        <f>183065+467780</f>
        <v>650845</v>
      </c>
      <c r="D16" s="1">
        <f>200093+524077</f>
        <v>724170</v>
      </c>
      <c r="I16" s="1">
        <v>982465.69499999995</v>
      </c>
      <c r="J16" s="126">
        <v>985239.527</v>
      </c>
      <c r="K16" s="1">
        <v>1094075.301</v>
      </c>
      <c r="L16" s="1">
        <v>1146244.49</v>
      </c>
      <c r="M16" s="1">
        <v>1139113.4680000001</v>
      </c>
      <c r="N16" s="1">
        <v>1221587.4550000001</v>
      </c>
      <c r="O16" s="1">
        <v>1337371.165</v>
      </c>
      <c r="R16" s="18">
        <v>1479981.3259999999</v>
      </c>
      <c r="S16" s="1">
        <v>1564608.1</v>
      </c>
      <c r="T16" s="44">
        <v>1445904.412</v>
      </c>
      <c r="U16" s="1">
        <v>1499198.1410000001</v>
      </c>
      <c r="V16" s="1">
        <v>1583057.452</v>
      </c>
      <c r="W16" s="126">
        <v>1728540.7830000001</v>
      </c>
      <c r="X16" s="126">
        <v>1922823.0919999999</v>
      </c>
      <c r="Y16" s="126">
        <v>2172310.2940000002</v>
      </c>
      <c r="Z16" s="126">
        <v>2417578.33</v>
      </c>
      <c r="AA16" s="126">
        <v>2187614.0460000001</v>
      </c>
      <c r="AB16" s="126">
        <v>2311354.0720000002</v>
      </c>
      <c r="AC16" s="126">
        <v>2324866</v>
      </c>
      <c r="AD16" s="1">
        <v>2304622.835</v>
      </c>
      <c r="AE16" s="1">
        <v>2396348.5860000001</v>
      </c>
      <c r="AF16" s="1">
        <v>2321180.594</v>
      </c>
      <c r="AG16" s="1">
        <v>2331625.6179999998</v>
      </c>
      <c r="AH16" s="1">
        <v>2433296.753</v>
      </c>
      <c r="AI16" s="1">
        <v>2493802.068</v>
      </c>
      <c r="AK16" s="1">
        <v>2728346.1940000001</v>
      </c>
      <c r="AL16" s="1">
        <v>2732999.7039999999</v>
      </c>
    </row>
    <row r="17" spans="1:38" ht="12.75" customHeight="1">
      <c r="A17" s="1" t="s">
        <v>32</v>
      </c>
      <c r="B17" s="1">
        <v>277245</v>
      </c>
      <c r="C17" s="1">
        <f>0+280953</f>
        <v>280953</v>
      </c>
      <c r="D17" s="1">
        <f>0+332931</f>
        <v>332931</v>
      </c>
      <c r="I17" s="1">
        <v>377399.47700000001</v>
      </c>
      <c r="J17" s="126">
        <v>410527.91899999999</v>
      </c>
      <c r="K17" s="1">
        <v>419194.03499999997</v>
      </c>
      <c r="L17" s="1">
        <v>404476.20400000003</v>
      </c>
      <c r="M17" s="1">
        <v>423439.94</v>
      </c>
      <c r="N17" s="1">
        <v>431118.47100000002</v>
      </c>
      <c r="O17" s="1">
        <v>460370.27045000001</v>
      </c>
      <c r="R17" s="18">
        <v>564966.42799999996</v>
      </c>
      <c r="S17" s="1">
        <v>610066.02500000002</v>
      </c>
      <c r="T17" s="44">
        <v>605564.08900000004</v>
      </c>
      <c r="U17" s="1">
        <v>587758.86899999995</v>
      </c>
      <c r="V17" s="1">
        <v>587111.03200000001</v>
      </c>
      <c r="W17" s="126">
        <v>601879.82799999998</v>
      </c>
      <c r="X17" s="126">
        <v>648573.15899999999</v>
      </c>
      <c r="Y17" s="126">
        <v>739268.25199999998</v>
      </c>
      <c r="Z17" s="126">
        <v>760453.07</v>
      </c>
      <c r="AA17" s="126">
        <v>632075.63100000005</v>
      </c>
      <c r="AB17" s="126">
        <v>745525.62399999995</v>
      </c>
      <c r="AC17" s="126">
        <v>744511</v>
      </c>
      <c r="AD17" s="1">
        <v>723288.90300000005</v>
      </c>
      <c r="AE17" s="1">
        <v>723441.77800000005</v>
      </c>
      <c r="AF17" s="1">
        <v>731440.15599999996</v>
      </c>
      <c r="AG17" s="1">
        <v>725749.36100000003</v>
      </c>
      <c r="AH17" s="1">
        <v>635085.08400000003</v>
      </c>
      <c r="AI17" s="1">
        <v>599281.09299999999</v>
      </c>
      <c r="AK17" s="1">
        <v>568305.90800000005</v>
      </c>
      <c r="AL17" s="1">
        <v>580962.54599999997</v>
      </c>
    </row>
    <row r="18" spans="1:38" ht="12.75" customHeight="1">
      <c r="A18" s="1" t="s">
        <v>33</v>
      </c>
      <c r="B18" s="1">
        <f>151622+149912</f>
        <v>301534</v>
      </c>
      <c r="C18" s="1">
        <f>183880+177843</f>
        <v>361723</v>
      </c>
      <c r="D18" s="1">
        <f>203021+188266</f>
        <v>391287</v>
      </c>
      <c r="I18" s="1">
        <v>468644.663</v>
      </c>
      <c r="J18" s="126">
        <v>451431.14299999998</v>
      </c>
      <c r="K18" s="1">
        <v>467553.03200000001</v>
      </c>
      <c r="L18" s="1">
        <v>459737.94300000003</v>
      </c>
      <c r="M18" s="1">
        <v>489080.23300000001</v>
      </c>
      <c r="N18" s="1">
        <v>513302.83600000001</v>
      </c>
      <c r="O18" s="1">
        <v>543465.14300000004</v>
      </c>
      <c r="R18" s="18">
        <v>658631.12399999995</v>
      </c>
      <c r="S18" s="1">
        <v>669493.60199999996</v>
      </c>
      <c r="T18" s="44">
        <v>634651.06900000002</v>
      </c>
      <c r="U18" s="1">
        <v>570537.73899999994</v>
      </c>
      <c r="V18" s="1">
        <v>513818.527</v>
      </c>
      <c r="W18" s="126">
        <v>524429.42799999996</v>
      </c>
      <c r="X18" s="126">
        <v>562050.875</v>
      </c>
      <c r="Y18" s="126">
        <v>635927.43099999998</v>
      </c>
      <c r="Z18" s="126">
        <v>680923.49899999995</v>
      </c>
      <c r="AA18" s="126">
        <v>407947.78200000001</v>
      </c>
      <c r="AB18" s="126">
        <v>480646.98599999998</v>
      </c>
      <c r="AC18" s="126">
        <v>375759</v>
      </c>
      <c r="AD18" s="1">
        <v>360553.511</v>
      </c>
      <c r="AE18" s="1">
        <v>395480.37099999998</v>
      </c>
      <c r="AF18" s="1">
        <v>421748.61099999998</v>
      </c>
      <c r="AG18" s="1">
        <v>451544.17</v>
      </c>
      <c r="AH18" s="1">
        <v>449524.897</v>
      </c>
      <c r="AI18" s="1">
        <v>489305.80800000002</v>
      </c>
      <c r="AK18" s="1">
        <v>531692.049</v>
      </c>
      <c r="AL18" s="1">
        <v>621180.11399999994</v>
      </c>
    </row>
    <row r="19" spans="1:38" ht="12.75" customHeight="1">
      <c r="A19" s="1" t="s">
        <v>34</v>
      </c>
      <c r="B19" s="1">
        <f>81819+212982</f>
        <v>294801</v>
      </c>
      <c r="C19" s="1">
        <f>99246+258852</f>
        <v>358098</v>
      </c>
      <c r="D19" s="1">
        <f>131851+284945</f>
        <v>416796</v>
      </c>
      <c r="I19" s="1">
        <v>551577.64800000004</v>
      </c>
      <c r="J19" s="126">
        <v>517891.25400000002</v>
      </c>
      <c r="K19" s="1">
        <v>582779.68900000001</v>
      </c>
      <c r="L19" s="1">
        <v>623111.47600000002</v>
      </c>
      <c r="M19" s="1">
        <v>660867.12</v>
      </c>
      <c r="N19" s="1">
        <v>690564.52</v>
      </c>
      <c r="O19" s="1">
        <v>698971.55678999994</v>
      </c>
      <c r="R19" s="24">
        <v>728422.70700000005</v>
      </c>
      <c r="S19" s="1">
        <v>779311.6</v>
      </c>
      <c r="T19" s="44">
        <v>791502.55900000001</v>
      </c>
      <c r="U19" s="1">
        <v>806019.99100000004</v>
      </c>
      <c r="V19" s="1">
        <v>803698.83200000005</v>
      </c>
      <c r="W19" s="126">
        <v>850310.09299999999</v>
      </c>
      <c r="X19" s="126">
        <v>868236.10100000002</v>
      </c>
      <c r="Y19" s="126">
        <v>926489.87800000003</v>
      </c>
      <c r="Z19" s="126">
        <v>1003041.906</v>
      </c>
      <c r="AA19" s="126">
        <v>930734.51</v>
      </c>
      <c r="AB19" s="126">
        <v>866243.44700000004</v>
      </c>
      <c r="AC19" s="126">
        <v>999146</v>
      </c>
      <c r="AD19" s="1">
        <v>789602.69499999995</v>
      </c>
      <c r="AE19" s="1">
        <v>812371.473</v>
      </c>
      <c r="AF19" s="1">
        <v>868271.81700000004</v>
      </c>
      <c r="AG19" s="1">
        <v>879101.70400000003</v>
      </c>
      <c r="AH19" s="1">
        <v>922758.34499999997</v>
      </c>
      <c r="AI19" s="1">
        <v>968781.33200000005</v>
      </c>
      <c r="AK19" s="1">
        <v>1114193.652</v>
      </c>
      <c r="AL19" s="1">
        <v>1149001.277</v>
      </c>
    </row>
    <row r="20" spans="1:38" ht="12.75" customHeight="1">
      <c r="A20" s="1" t="s">
        <v>35</v>
      </c>
      <c r="B20" s="1">
        <f>582658+1207974</f>
        <v>1790632</v>
      </c>
      <c r="C20" s="1">
        <f>616385+1264803</f>
        <v>1881188</v>
      </c>
      <c r="D20" s="1">
        <f>585429+1204352</f>
        <v>1789781</v>
      </c>
      <c r="I20" s="1">
        <v>2053314.517</v>
      </c>
      <c r="J20" s="126">
        <v>2191980.2740000002</v>
      </c>
      <c r="K20" s="1">
        <v>2316047.9700000002</v>
      </c>
      <c r="L20" s="1">
        <v>2479153.6850000001</v>
      </c>
      <c r="M20" s="1">
        <v>2433332.1910000001</v>
      </c>
      <c r="N20" s="1">
        <v>2567837.889</v>
      </c>
      <c r="O20" s="1">
        <v>2538831.068</v>
      </c>
      <c r="R20" s="18">
        <v>3040663.88</v>
      </c>
      <c r="S20" s="1">
        <v>3259228.051</v>
      </c>
      <c r="T20" s="44">
        <v>3434558.0260000001</v>
      </c>
      <c r="U20" s="1">
        <v>3357437.0329999998</v>
      </c>
      <c r="V20" s="1">
        <v>3395930.1039999998</v>
      </c>
      <c r="W20" s="126">
        <v>3369311.1719999998</v>
      </c>
      <c r="X20" s="126">
        <v>3569723.4010000001</v>
      </c>
      <c r="Y20" s="126">
        <v>3618273.2949999999</v>
      </c>
      <c r="Z20" s="126">
        <v>4089853.4640000002</v>
      </c>
      <c r="AA20" s="126">
        <v>2867756.3760000002</v>
      </c>
      <c r="AB20" s="126">
        <v>4173462.6609999998</v>
      </c>
      <c r="AC20" s="126">
        <v>3928222</v>
      </c>
      <c r="AD20" s="1">
        <v>3839341.273</v>
      </c>
      <c r="AE20" s="1">
        <v>2599660.415</v>
      </c>
      <c r="AF20" s="1">
        <v>2960330.9049999998</v>
      </c>
      <c r="AG20" s="1">
        <v>3050476.0090000001</v>
      </c>
      <c r="AH20" s="1">
        <v>4621186.1320000002</v>
      </c>
      <c r="AI20" s="1">
        <v>4599927.9110000003</v>
      </c>
      <c r="AK20" s="1">
        <v>4802506.3880000003</v>
      </c>
      <c r="AL20" s="1">
        <v>5145203.0690000001</v>
      </c>
    </row>
    <row r="21" spans="1:38" ht="12.75" customHeight="1">
      <c r="A21" s="1" t="s">
        <v>36</v>
      </c>
      <c r="B21" s="1">
        <f>146032+270661</f>
        <v>416693</v>
      </c>
      <c r="C21" s="1">
        <f>228245+321500</f>
        <v>549745</v>
      </c>
      <c r="D21" s="1">
        <f>251778+351025</f>
        <v>602803</v>
      </c>
      <c r="I21" s="1">
        <v>707159.70700000005</v>
      </c>
      <c r="J21" s="126">
        <v>633042.83700000006</v>
      </c>
      <c r="K21" s="1">
        <v>617361.76199999999</v>
      </c>
      <c r="L21" s="1">
        <v>635048.48699999996</v>
      </c>
      <c r="M21" s="1">
        <v>662084.55599999998</v>
      </c>
      <c r="N21" s="1">
        <v>655906.13199999998</v>
      </c>
      <c r="O21" s="1">
        <v>692939.13399999996</v>
      </c>
      <c r="R21" s="18">
        <v>1014571.662</v>
      </c>
      <c r="S21" s="1">
        <v>1104026.4339999999</v>
      </c>
      <c r="T21" s="44">
        <v>1127810.327</v>
      </c>
      <c r="U21" s="1">
        <v>1017232.661</v>
      </c>
      <c r="V21" s="1">
        <v>927906.16</v>
      </c>
      <c r="W21" s="126">
        <v>1029291.674</v>
      </c>
      <c r="X21" s="126">
        <v>1147144.584</v>
      </c>
      <c r="Y21" s="126">
        <v>1259873.682</v>
      </c>
      <c r="Z21" s="126">
        <v>1329138.037</v>
      </c>
      <c r="AA21" s="126">
        <v>1277161.94</v>
      </c>
      <c r="AB21" s="126">
        <v>1103301.477</v>
      </c>
      <c r="AC21" s="126">
        <v>1130534</v>
      </c>
      <c r="AD21" s="1">
        <v>1100008.176</v>
      </c>
      <c r="AE21" s="1">
        <v>1191443.827</v>
      </c>
      <c r="AF21" s="1">
        <v>1254575.233</v>
      </c>
      <c r="AG21" s="1">
        <v>1227697.084</v>
      </c>
      <c r="AH21" s="1">
        <v>1300353.969</v>
      </c>
      <c r="AI21" s="1">
        <v>1383543.557</v>
      </c>
      <c r="AK21" s="1">
        <v>1428206.317</v>
      </c>
      <c r="AL21" s="1">
        <v>1563131.0279999999</v>
      </c>
    </row>
    <row r="22" spans="1:38" ht="12.75" customHeight="1">
      <c r="A22" s="27" t="s">
        <v>37</v>
      </c>
      <c r="B22" s="27">
        <f>90394+73724</f>
        <v>164118</v>
      </c>
      <c r="C22" s="27">
        <f>106066+83433</f>
        <v>189499</v>
      </c>
      <c r="D22" s="27">
        <f>111739+88016</f>
        <v>199755</v>
      </c>
      <c r="E22" s="27"/>
      <c r="F22" s="27"/>
      <c r="G22" s="27"/>
      <c r="H22" s="27"/>
      <c r="I22" s="27">
        <v>252501.27299999999</v>
      </c>
      <c r="J22" s="127">
        <v>263751.45799999998</v>
      </c>
      <c r="K22" s="27">
        <v>265720.55</v>
      </c>
      <c r="L22" s="27">
        <v>279684.73800000001</v>
      </c>
      <c r="M22" s="27">
        <v>285280.83600000001</v>
      </c>
      <c r="N22" s="27">
        <v>306152.42300000001</v>
      </c>
      <c r="O22" s="27">
        <v>308219.92199</v>
      </c>
      <c r="P22" s="27"/>
      <c r="Q22" s="27"/>
      <c r="R22" s="27">
        <v>343708.36</v>
      </c>
      <c r="S22" s="27">
        <v>364964.28499999997</v>
      </c>
      <c r="T22" s="61">
        <v>372104.48</v>
      </c>
      <c r="U22" s="27">
        <v>368923.40700000001</v>
      </c>
      <c r="V22" s="27">
        <v>345418.83600000001</v>
      </c>
      <c r="W22" s="127">
        <v>315984.61900000001</v>
      </c>
      <c r="X22" s="127">
        <v>324712.96500000003</v>
      </c>
      <c r="Y22" s="127">
        <v>332978.69799999997</v>
      </c>
      <c r="Z22" s="127">
        <v>353071.484</v>
      </c>
      <c r="AA22" s="127">
        <v>357603.08199999999</v>
      </c>
      <c r="AB22" s="127">
        <v>329411.83799999999</v>
      </c>
      <c r="AC22" s="127">
        <v>338793</v>
      </c>
      <c r="AD22" s="27">
        <v>366972.17599999998</v>
      </c>
      <c r="AE22" s="27">
        <v>365026.56</v>
      </c>
      <c r="AF22" s="27">
        <v>341457.66899999999</v>
      </c>
      <c r="AG22" s="27">
        <v>337788.788</v>
      </c>
      <c r="AH22" s="27">
        <v>318707.696</v>
      </c>
      <c r="AI22" s="27">
        <v>317642.337</v>
      </c>
      <c r="AJ22" s="27"/>
      <c r="AK22" s="27">
        <v>317526.75300000003</v>
      </c>
      <c r="AL22" s="1">
        <v>338409.53499999997</v>
      </c>
    </row>
    <row r="23" spans="1:38" ht="12.75" customHeight="1">
      <c r="A23" s="6" t="s">
        <v>38</v>
      </c>
      <c r="J23" s="51">
        <f t="shared" ref="J23" si="20">SUM(J25:J37)</f>
        <v>6768004.0889999997</v>
      </c>
      <c r="M23" s="51">
        <f t="shared" ref="M23" si="21">SUM(M25:M37)</f>
        <v>6498781.817999999</v>
      </c>
      <c r="O23" s="51">
        <f t="shared" ref="O23" si="22">SUM(O25:O37)</f>
        <v>7364637.8521899991</v>
      </c>
      <c r="R23" s="51">
        <f t="shared" ref="R23:AK23" si="23">SUM(R25:R37)</f>
        <v>8529276.972000001</v>
      </c>
      <c r="S23" s="51">
        <f t="shared" si="23"/>
        <v>9400007.6009999998</v>
      </c>
      <c r="T23" s="60">
        <f t="shared" si="23"/>
        <v>9942197.6030000001</v>
      </c>
      <c r="U23" s="51">
        <f t="shared" si="23"/>
        <v>9803978.7809999995</v>
      </c>
      <c r="V23" s="51">
        <f t="shared" si="23"/>
        <v>9521669.2699999977</v>
      </c>
      <c r="W23" s="51">
        <f t="shared" si="23"/>
        <v>9453249.0199999996</v>
      </c>
      <c r="X23" s="51">
        <f t="shared" si="23"/>
        <v>9584289.0069999993</v>
      </c>
      <c r="Y23" s="51">
        <f t="shared" si="23"/>
        <v>10498141.120999999</v>
      </c>
      <c r="Z23" s="51">
        <f t="shared" si="23"/>
        <v>11406870.43</v>
      </c>
      <c r="AA23" s="51">
        <f t="shared" si="23"/>
        <v>9329462.9700000007</v>
      </c>
      <c r="AB23" s="51">
        <f t="shared" si="23"/>
        <v>9452162.3909999989</v>
      </c>
      <c r="AC23" s="51">
        <f t="shared" si="23"/>
        <v>9636091</v>
      </c>
      <c r="AD23" s="51">
        <f t="shared" si="23"/>
        <v>8089859.9989999998</v>
      </c>
      <c r="AE23" s="51">
        <f t="shared" si="23"/>
        <v>8364813.2939999998</v>
      </c>
      <c r="AF23" s="51">
        <f t="shared" si="23"/>
        <v>9076788.2889999989</v>
      </c>
      <c r="AG23" s="51">
        <f t="shared" si="23"/>
        <v>9596177.5850000028</v>
      </c>
      <c r="AH23" s="51">
        <f t="shared" si="23"/>
        <v>10338332.58</v>
      </c>
      <c r="AI23" s="51">
        <f t="shared" si="23"/>
        <v>10932113.316</v>
      </c>
      <c r="AJ23" s="51">
        <f t="shared" si="23"/>
        <v>0</v>
      </c>
      <c r="AK23" s="51">
        <f t="shared" si="23"/>
        <v>12087355.074000001</v>
      </c>
      <c r="AL23" s="131">
        <f t="shared" ref="AL23" si="24">SUM(AL25:AL37)</f>
        <v>13189464.580000002</v>
      </c>
    </row>
    <row r="24" spans="1:38" ht="12.75" customHeight="1">
      <c r="A24" s="6" t="s">
        <v>94</v>
      </c>
      <c r="T24" s="44"/>
      <c r="AA24" s="10">
        <v>0</v>
      </c>
      <c r="AD24" s="1">
        <v>0</v>
      </c>
      <c r="AF24" s="1">
        <v>0</v>
      </c>
      <c r="AH24" s="1">
        <v>0</v>
      </c>
      <c r="AI24" s="1">
        <v>0</v>
      </c>
    </row>
    <row r="25" spans="1:38" ht="12.75" customHeight="1">
      <c r="A25" s="1" t="s">
        <v>39</v>
      </c>
      <c r="J25" s="126">
        <v>155001.367</v>
      </c>
      <c r="M25" s="1">
        <v>158923.92800000001</v>
      </c>
      <c r="O25" s="1">
        <v>168761.141</v>
      </c>
      <c r="R25" s="18">
        <v>162957.79</v>
      </c>
      <c r="S25" s="1">
        <v>176436.435</v>
      </c>
      <c r="T25" s="44">
        <v>185339.97200000001</v>
      </c>
      <c r="U25" s="1">
        <v>193932.63500000001</v>
      </c>
      <c r="V25" s="1">
        <v>199837.837</v>
      </c>
      <c r="W25" s="126">
        <v>213263.24400000001</v>
      </c>
      <c r="X25" s="126">
        <v>230897.96799999999</v>
      </c>
      <c r="Y25" s="126">
        <v>262438.02100000001</v>
      </c>
      <c r="Z25" s="126">
        <v>300499.09100000001</v>
      </c>
      <c r="AA25" s="126">
        <v>290025.21899999998</v>
      </c>
      <c r="AB25" s="126">
        <v>303226.67300000001</v>
      </c>
      <c r="AC25" s="126">
        <v>313561</v>
      </c>
      <c r="AD25" s="1">
        <v>323284.07699999999</v>
      </c>
      <c r="AE25" s="1">
        <v>336690.77799999999</v>
      </c>
      <c r="AF25" s="1">
        <v>354822.95899999997</v>
      </c>
      <c r="AG25" s="1">
        <v>353306.32900000003</v>
      </c>
      <c r="AH25" s="1">
        <v>334724.69099999999</v>
      </c>
      <c r="AI25" s="1">
        <v>314161.61900000001</v>
      </c>
      <c r="AK25" s="1">
        <v>315580.09499999997</v>
      </c>
      <c r="AL25" s="1">
        <v>290628.39500000002</v>
      </c>
    </row>
    <row r="26" spans="1:38" ht="12.75" customHeight="1">
      <c r="A26" s="1" t="s">
        <v>40</v>
      </c>
      <c r="J26" s="126">
        <v>518041.36599999998</v>
      </c>
      <c r="M26" s="1">
        <v>575402.46</v>
      </c>
      <c r="O26" s="1">
        <v>629356.39199999999</v>
      </c>
      <c r="R26" s="18">
        <v>744595.48400000005</v>
      </c>
      <c r="S26" s="1">
        <v>766324.40099999995</v>
      </c>
      <c r="T26" s="44">
        <v>747726.61</v>
      </c>
      <c r="U26" s="1">
        <v>763387.45</v>
      </c>
      <c r="V26" s="1">
        <v>760410.6</v>
      </c>
      <c r="W26" s="126">
        <v>808701</v>
      </c>
      <c r="X26" s="126">
        <v>871880.1</v>
      </c>
      <c r="Y26" s="126">
        <v>980623.45</v>
      </c>
      <c r="Z26" s="126">
        <v>1067002.45</v>
      </c>
      <c r="AA26" s="126">
        <v>909540.125</v>
      </c>
      <c r="AB26" s="126">
        <v>859761.625</v>
      </c>
      <c r="AC26" s="126">
        <v>858553</v>
      </c>
      <c r="AD26" s="1">
        <v>699284.8</v>
      </c>
      <c r="AE26" s="1">
        <v>673142.72499999998</v>
      </c>
      <c r="AF26" s="1">
        <v>707574.27500000002</v>
      </c>
      <c r="AG26" s="1">
        <v>744542.85</v>
      </c>
      <c r="AH26" s="1">
        <v>641327.875</v>
      </c>
      <c r="AI26" s="1">
        <v>668780.5</v>
      </c>
      <c r="AK26" s="1">
        <v>689474.5</v>
      </c>
      <c r="AL26" s="1">
        <v>735998.9</v>
      </c>
    </row>
    <row r="27" spans="1:38" ht="12.75" customHeight="1">
      <c r="A27" s="1" t="s">
        <v>41</v>
      </c>
      <c r="J27" s="126">
        <v>3600074.7570000002</v>
      </c>
      <c r="M27" s="1">
        <v>3108043.3849999998</v>
      </c>
      <c r="O27" s="1">
        <v>3732131.5350000001</v>
      </c>
      <c r="R27" s="18">
        <v>4416960.7810000004</v>
      </c>
      <c r="S27" s="1">
        <v>5056989.9550000001</v>
      </c>
      <c r="T27" s="44">
        <v>5461501.0480000004</v>
      </c>
      <c r="U27" s="1">
        <v>5415056.9160000002</v>
      </c>
      <c r="V27" s="1">
        <v>5092428.6239999998</v>
      </c>
      <c r="W27" s="126">
        <v>4807837.932</v>
      </c>
      <c r="X27" s="126">
        <v>5013783.0659999996</v>
      </c>
      <c r="Y27" s="126">
        <v>5454609.091</v>
      </c>
      <c r="Z27" s="126">
        <v>5789998.3540000003</v>
      </c>
      <c r="AA27" s="126">
        <v>4283984.6730000004</v>
      </c>
      <c r="AB27" s="126">
        <v>4952770.8140000002</v>
      </c>
      <c r="AC27" s="126">
        <v>5108879</v>
      </c>
      <c r="AD27" s="1">
        <v>3952799.7769999998</v>
      </c>
      <c r="AE27" s="1">
        <v>4189706.9679999999</v>
      </c>
      <c r="AF27" s="1">
        <v>4644558.7359999996</v>
      </c>
      <c r="AG27" s="1">
        <v>4941723.6509999996</v>
      </c>
      <c r="AH27" s="1">
        <v>5437966.9440000001</v>
      </c>
      <c r="AI27" s="1">
        <v>5835114.5219999999</v>
      </c>
      <c r="AK27" s="1">
        <v>6659407.1560000004</v>
      </c>
      <c r="AL27" s="1">
        <v>7544939.0020000003</v>
      </c>
    </row>
    <row r="28" spans="1:38" ht="12.75" customHeight="1">
      <c r="A28" s="1" t="s">
        <v>42</v>
      </c>
      <c r="J28" s="126">
        <v>343126.57</v>
      </c>
      <c r="M28" s="1">
        <v>370292.31599999999</v>
      </c>
      <c r="O28" s="1">
        <v>423525.44699999999</v>
      </c>
      <c r="R28" s="18">
        <v>492775.52299999999</v>
      </c>
      <c r="S28" s="1">
        <v>521928.288</v>
      </c>
      <c r="T28" s="44">
        <v>502780.25900000002</v>
      </c>
      <c r="U28" s="1">
        <v>442160.17700000003</v>
      </c>
      <c r="V28" s="1">
        <v>333532.37599999999</v>
      </c>
      <c r="W28" s="126">
        <v>385112.29499999998</v>
      </c>
      <c r="X28" s="126">
        <v>2833.9119999999998</v>
      </c>
      <c r="Y28" s="126">
        <v>3250</v>
      </c>
      <c r="Z28" s="126">
        <v>11761.344999999999</v>
      </c>
      <c r="AA28" s="126">
        <v>22747.3</v>
      </c>
      <c r="AB28" s="126">
        <v>23450</v>
      </c>
      <c r="AC28" s="126">
        <v>21374</v>
      </c>
      <c r="AD28" s="1">
        <v>16814.415000000001</v>
      </c>
      <c r="AE28" s="1">
        <v>16631.423999999999</v>
      </c>
      <c r="AF28" s="1">
        <v>18410.96</v>
      </c>
      <c r="AG28" s="1">
        <v>17220.883000000002</v>
      </c>
      <c r="AH28" s="1">
        <v>24613.353999999999</v>
      </c>
      <c r="AI28" s="1">
        <v>26718.621999999999</v>
      </c>
      <c r="AK28" s="1">
        <v>28967.793000000001</v>
      </c>
      <c r="AL28" s="1">
        <v>35685.862999999998</v>
      </c>
    </row>
    <row r="29" spans="1:38" ht="12.75" customHeight="1">
      <c r="A29" s="1" t="s">
        <v>43</v>
      </c>
      <c r="J29" s="126">
        <v>258758.04500000001</v>
      </c>
      <c r="M29" s="1">
        <v>272264.27100000001</v>
      </c>
      <c r="O29" s="1">
        <v>208670.01300000001</v>
      </c>
      <c r="R29" s="18">
        <v>191963.818</v>
      </c>
      <c r="S29" s="1">
        <v>195365.11499999999</v>
      </c>
      <c r="T29" s="44">
        <v>205846.56700000001</v>
      </c>
      <c r="U29" s="1">
        <v>212848.47099999999</v>
      </c>
      <c r="V29" s="1">
        <v>220497.111</v>
      </c>
      <c r="W29" s="126">
        <v>229925.19200000001</v>
      </c>
      <c r="X29" s="126">
        <v>250189.296</v>
      </c>
      <c r="Y29" s="126">
        <v>272226.652</v>
      </c>
      <c r="Z29" s="126">
        <v>314000.087</v>
      </c>
      <c r="AA29" s="126">
        <v>301636.31300000002</v>
      </c>
      <c r="AB29" s="126">
        <v>233107.63</v>
      </c>
      <c r="AC29" s="126">
        <v>225566</v>
      </c>
      <c r="AD29" s="1">
        <v>232905.26500000001</v>
      </c>
      <c r="AE29" s="1">
        <v>233022.84700000001</v>
      </c>
      <c r="AF29" s="1">
        <v>237363.61300000001</v>
      </c>
      <c r="AG29" s="1">
        <v>255527.503</v>
      </c>
      <c r="AH29" s="1">
        <v>271695.853</v>
      </c>
      <c r="AI29" s="1">
        <v>291620.22499999998</v>
      </c>
      <c r="AK29" s="1">
        <v>310377.33199999999</v>
      </c>
      <c r="AL29" s="1">
        <v>313122.217</v>
      </c>
    </row>
    <row r="30" spans="1:38" ht="12.75" customHeight="1">
      <c r="A30" s="1" t="s">
        <v>44</v>
      </c>
      <c r="J30" s="126">
        <v>174305.68299999999</v>
      </c>
      <c r="M30" s="1">
        <v>202268.86900000001</v>
      </c>
      <c r="O30" s="1">
        <v>212479.96100000001</v>
      </c>
      <c r="R30" s="18">
        <v>248220.77100000001</v>
      </c>
      <c r="S30" s="1">
        <v>260791.095</v>
      </c>
      <c r="T30" s="44">
        <v>297071.288</v>
      </c>
      <c r="U30" s="1">
        <v>270426.13400000002</v>
      </c>
      <c r="V30" s="1">
        <v>283744.92099999997</v>
      </c>
      <c r="W30" s="126">
        <v>292451.712</v>
      </c>
      <c r="X30" s="126">
        <v>301351.16600000003</v>
      </c>
      <c r="Y30" s="126">
        <v>312487.701</v>
      </c>
      <c r="Z30" s="126">
        <v>326684.53600000002</v>
      </c>
      <c r="AA30" s="126">
        <v>332559.09499999997</v>
      </c>
      <c r="AB30" s="126">
        <v>285923.587</v>
      </c>
      <c r="AC30" s="126">
        <v>274549</v>
      </c>
      <c r="AD30" s="1">
        <v>262013.94500000001</v>
      </c>
      <c r="AE30" s="1">
        <v>281835.96999999997</v>
      </c>
      <c r="AF30" s="1">
        <v>293052.011</v>
      </c>
      <c r="AG30" s="1">
        <v>314556.51199999999</v>
      </c>
      <c r="AH30" s="1">
        <v>326387.47700000001</v>
      </c>
      <c r="AI30" s="1">
        <v>354900.42599999998</v>
      </c>
      <c r="AK30" s="1">
        <v>371591.739</v>
      </c>
      <c r="AL30" s="1">
        <v>379692.59499999997</v>
      </c>
    </row>
    <row r="31" spans="1:38" ht="12.75" customHeight="1">
      <c r="A31" s="1" t="s">
        <v>45</v>
      </c>
      <c r="J31" s="126">
        <v>119681.11900000001</v>
      </c>
      <c r="M31" s="1">
        <v>102131.257</v>
      </c>
      <c r="O31" s="1">
        <v>114644.04399999999</v>
      </c>
      <c r="R31" s="24">
        <v>119527.78200000001</v>
      </c>
      <c r="S31" s="1">
        <v>125118.122</v>
      </c>
      <c r="T31" s="44">
        <v>128375.857</v>
      </c>
      <c r="U31" s="1">
        <v>127714.167</v>
      </c>
      <c r="V31" s="1">
        <v>133809.74900000001</v>
      </c>
      <c r="W31" s="126">
        <v>125087.579</v>
      </c>
      <c r="X31" s="126">
        <v>137428.14600000001</v>
      </c>
      <c r="Y31" s="126">
        <v>139835.17199999999</v>
      </c>
      <c r="Z31" s="126">
        <v>161742.06099999999</v>
      </c>
      <c r="AA31" s="126">
        <v>173145.701</v>
      </c>
      <c r="AB31" s="126">
        <v>154773.89000000001</v>
      </c>
      <c r="AC31" s="126">
        <v>154122</v>
      </c>
      <c r="AD31" s="1">
        <v>170456.36199999999</v>
      </c>
      <c r="AE31" s="1">
        <v>171498.64600000001</v>
      </c>
      <c r="AF31" s="1">
        <v>186114.21</v>
      </c>
      <c r="AG31" s="1">
        <v>199430</v>
      </c>
      <c r="AH31" s="1">
        <v>217172.13699999999</v>
      </c>
      <c r="AI31" s="1">
        <v>217199.155</v>
      </c>
      <c r="AK31" s="1">
        <v>214032.505</v>
      </c>
      <c r="AL31" s="1">
        <v>226915.693</v>
      </c>
    </row>
    <row r="32" spans="1:38" ht="12.75" customHeight="1">
      <c r="A32" s="1" t="s">
        <v>46</v>
      </c>
      <c r="J32" s="126">
        <v>135562.67000000001</v>
      </c>
      <c r="M32" s="1">
        <v>157044.49299999999</v>
      </c>
      <c r="O32" s="1">
        <v>179321.29300000001</v>
      </c>
      <c r="R32" s="24">
        <v>210617.318</v>
      </c>
      <c r="S32" s="1">
        <v>225914.084</v>
      </c>
      <c r="T32" s="44">
        <v>258708.09099999999</v>
      </c>
      <c r="U32" s="1">
        <v>263005.14799999999</v>
      </c>
      <c r="V32" s="1">
        <v>402220.74800000002</v>
      </c>
      <c r="W32" s="126">
        <v>421289.94</v>
      </c>
      <c r="X32" s="126">
        <v>465989.28100000002</v>
      </c>
      <c r="Y32" s="126">
        <v>518442.21600000001</v>
      </c>
      <c r="Z32" s="126">
        <v>543566.96400000004</v>
      </c>
      <c r="AA32" s="126">
        <v>415621.20199999999</v>
      </c>
      <c r="AB32" s="126">
        <v>260612.21299999999</v>
      </c>
      <c r="AC32" s="126">
        <v>355862</v>
      </c>
      <c r="AD32" s="1">
        <v>305000.79100000003</v>
      </c>
      <c r="AE32" s="1">
        <v>303923.92200000002</v>
      </c>
      <c r="AF32" s="1">
        <v>313715.71500000003</v>
      </c>
      <c r="AG32" s="1">
        <v>313807.90600000002</v>
      </c>
      <c r="AH32" s="1">
        <v>365047.20199999999</v>
      </c>
      <c r="AI32" s="1">
        <v>388717.95400000003</v>
      </c>
      <c r="AK32" s="1">
        <v>443140.103</v>
      </c>
      <c r="AL32" s="1">
        <v>461704.02399999998</v>
      </c>
    </row>
    <row r="33" spans="1:38" ht="12.75" customHeight="1">
      <c r="A33" s="1" t="s">
        <v>47</v>
      </c>
      <c r="J33" s="126">
        <v>263235.42</v>
      </c>
      <c r="M33" s="1">
        <v>319403.24800000002</v>
      </c>
      <c r="O33" s="1">
        <v>371084.85119000002</v>
      </c>
      <c r="R33" s="24">
        <v>398894.58799999999</v>
      </c>
      <c r="S33" s="1">
        <v>405643.02399999998</v>
      </c>
      <c r="T33" s="44">
        <v>423919.43199999997</v>
      </c>
      <c r="U33" s="1">
        <v>436129.73</v>
      </c>
      <c r="V33" s="1">
        <v>461582.39299999998</v>
      </c>
      <c r="W33" s="126">
        <v>479963.88699999999</v>
      </c>
      <c r="X33" s="126">
        <v>508088.53700000001</v>
      </c>
      <c r="Y33" s="126">
        <v>554098.81900000002</v>
      </c>
      <c r="Z33" s="126">
        <v>654978.93999999994</v>
      </c>
      <c r="AA33" s="126">
        <v>608596.56999999995</v>
      </c>
      <c r="AB33" s="126">
        <v>572094.98699999996</v>
      </c>
      <c r="AC33" s="126">
        <v>528353</v>
      </c>
      <c r="AD33" s="1">
        <v>496221.80200000003</v>
      </c>
      <c r="AE33" s="1">
        <v>523312.11300000001</v>
      </c>
      <c r="AF33" s="1">
        <v>547250.82499999995</v>
      </c>
      <c r="AG33" s="1">
        <v>577176.74100000004</v>
      </c>
      <c r="AH33" s="1">
        <v>582730.11100000003</v>
      </c>
      <c r="AI33" s="1">
        <v>553493.59</v>
      </c>
      <c r="AK33" s="1">
        <v>571325.68900000001</v>
      </c>
      <c r="AL33" s="1">
        <v>613769.68599999999</v>
      </c>
    </row>
    <row r="34" spans="1:38" ht="12.75" customHeight="1">
      <c r="A34" s="1" t="s">
        <v>48</v>
      </c>
      <c r="J34" s="126">
        <v>316039.35499999998</v>
      </c>
      <c r="M34" s="1">
        <v>292099.30099999998</v>
      </c>
      <c r="O34" s="1">
        <v>295028.01799999998</v>
      </c>
      <c r="R34" s="18">
        <v>360441.83100000001</v>
      </c>
      <c r="S34" s="1">
        <v>404458.25</v>
      </c>
      <c r="T34" s="44">
        <v>390630.163</v>
      </c>
      <c r="U34" s="1">
        <v>373624.27500000002</v>
      </c>
      <c r="V34" s="1">
        <v>352703.05599999998</v>
      </c>
      <c r="W34" s="126">
        <v>349214.80499999999</v>
      </c>
      <c r="X34" s="126">
        <v>366205.49900000001</v>
      </c>
      <c r="Y34" s="126">
        <v>382937.53700000001</v>
      </c>
      <c r="Z34" s="126">
        <v>459106.31199999998</v>
      </c>
      <c r="AA34" s="126">
        <v>321300.03499999997</v>
      </c>
      <c r="AB34" s="126">
        <v>374722.80099999998</v>
      </c>
      <c r="AC34" s="126">
        <v>377408</v>
      </c>
      <c r="AD34" s="1">
        <v>318871.32400000002</v>
      </c>
      <c r="AE34" s="1">
        <v>324510.05699999997</v>
      </c>
      <c r="AF34" s="1">
        <v>350542.625</v>
      </c>
      <c r="AG34" s="1">
        <v>384882.14500000002</v>
      </c>
      <c r="AH34" s="1">
        <v>446087.12</v>
      </c>
      <c r="AI34" s="1">
        <v>465158.929</v>
      </c>
      <c r="AK34" s="1">
        <v>520774.11700000003</v>
      </c>
      <c r="AL34" s="1">
        <v>571392.78200000001</v>
      </c>
    </row>
    <row r="35" spans="1:38" ht="12.75" customHeight="1">
      <c r="A35" s="1" t="s">
        <v>49</v>
      </c>
      <c r="J35" s="126">
        <v>259617.01699999999</v>
      </c>
      <c r="M35" s="1">
        <v>329534.179</v>
      </c>
      <c r="O35" s="1">
        <v>365514.95400000003</v>
      </c>
      <c r="R35" s="18">
        <v>424802.09700000001</v>
      </c>
      <c r="S35" s="1">
        <v>451868.15500000003</v>
      </c>
      <c r="T35" s="44">
        <v>510504.84100000001</v>
      </c>
      <c r="U35" s="1">
        <v>489874.33500000002</v>
      </c>
      <c r="V35" s="1">
        <v>495330.99599999998</v>
      </c>
      <c r="W35" s="126">
        <v>516562.65899999999</v>
      </c>
      <c r="X35" s="126">
        <v>551153.68099999998</v>
      </c>
      <c r="Y35" s="126">
        <v>577686.57499999995</v>
      </c>
      <c r="Z35" s="126">
        <v>644718.69099999999</v>
      </c>
      <c r="AA35" s="126">
        <v>601711.97900000005</v>
      </c>
      <c r="AB35" s="126">
        <v>534332.52899999998</v>
      </c>
      <c r="AC35" s="126">
        <v>548641</v>
      </c>
      <c r="AD35" s="1">
        <v>592955.90099999995</v>
      </c>
      <c r="AE35" s="1">
        <v>581808.07999999996</v>
      </c>
      <c r="AF35" s="1">
        <v>616205.70400000003</v>
      </c>
      <c r="AG35" s="1">
        <v>676975.26500000001</v>
      </c>
      <c r="AH35" s="1">
        <v>750240.34400000004</v>
      </c>
      <c r="AI35" s="1">
        <v>781886.56</v>
      </c>
      <c r="AK35" s="1">
        <v>885003.76599999995</v>
      </c>
      <c r="AL35" s="1">
        <v>871690.33900000004</v>
      </c>
    </row>
    <row r="36" spans="1:38" ht="12.75" customHeight="1">
      <c r="A36" s="1" t="s">
        <v>50</v>
      </c>
      <c r="J36" s="126">
        <v>543338.37800000003</v>
      </c>
      <c r="M36" s="1">
        <v>528965.74600000004</v>
      </c>
      <c r="O36" s="1">
        <v>576839.05500000005</v>
      </c>
      <c r="R36" s="18">
        <v>665322.696</v>
      </c>
      <c r="S36" s="1">
        <v>708246.81400000001</v>
      </c>
      <c r="T36" s="44">
        <v>720107.03500000003</v>
      </c>
      <c r="U36" s="1">
        <v>692794.46100000001</v>
      </c>
      <c r="V36" s="1">
        <v>657268.31700000004</v>
      </c>
      <c r="W36" s="126">
        <v>684250.42799999996</v>
      </c>
      <c r="X36" s="126">
        <v>734275.929</v>
      </c>
      <c r="Y36" s="126">
        <v>865522.94799999997</v>
      </c>
      <c r="Z36" s="126">
        <v>948139.84</v>
      </c>
      <c r="AA36" s="126">
        <v>861130.83799999999</v>
      </c>
      <c r="AB36" s="126">
        <v>694930.07400000002</v>
      </c>
      <c r="AC36" s="126">
        <v>656012</v>
      </c>
      <c r="AD36" s="1">
        <v>500770.95699999999</v>
      </c>
      <c r="AE36" s="1">
        <v>496007.61</v>
      </c>
      <c r="AF36" s="1">
        <v>590621.67000000004</v>
      </c>
      <c r="AG36" s="1">
        <v>580802.27500000002</v>
      </c>
      <c r="AH36" s="1">
        <v>694319.99300000002</v>
      </c>
      <c r="AI36" s="1">
        <v>802521.34299999999</v>
      </c>
      <c r="AK36" s="1">
        <v>863541.27899999998</v>
      </c>
      <c r="AL36" s="1">
        <v>934474.08400000003</v>
      </c>
    </row>
    <row r="37" spans="1:38" ht="12.75" customHeight="1">
      <c r="A37" s="27" t="s">
        <v>51</v>
      </c>
      <c r="B37" s="27"/>
      <c r="C37" s="27"/>
      <c r="D37" s="27"/>
      <c r="E37" s="27"/>
      <c r="F37" s="27"/>
      <c r="G37" s="27"/>
      <c r="H37" s="27"/>
      <c r="I37" s="27"/>
      <c r="J37" s="127">
        <v>81222.342000000004</v>
      </c>
      <c r="K37" s="27"/>
      <c r="L37" s="27"/>
      <c r="M37" s="27">
        <v>82408.365000000005</v>
      </c>
      <c r="N37" s="27"/>
      <c r="O37" s="27">
        <v>87281.148000000001</v>
      </c>
      <c r="P37" s="27"/>
      <c r="Q37" s="27"/>
      <c r="R37" s="37">
        <v>92196.493000000002</v>
      </c>
      <c r="S37" s="27">
        <v>100923.863</v>
      </c>
      <c r="T37" s="61">
        <v>109686.44</v>
      </c>
      <c r="U37" s="27">
        <v>123024.882</v>
      </c>
      <c r="V37" s="27">
        <v>128302.542</v>
      </c>
      <c r="W37" s="127">
        <v>139588.34700000001</v>
      </c>
      <c r="X37" s="127">
        <v>150212.42600000001</v>
      </c>
      <c r="Y37" s="127">
        <v>173982.93900000001</v>
      </c>
      <c r="Z37" s="127">
        <v>184671.75899999999</v>
      </c>
      <c r="AA37" s="127">
        <v>207463.92</v>
      </c>
      <c r="AB37" s="127">
        <v>202455.568</v>
      </c>
      <c r="AC37" s="127">
        <v>213211</v>
      </c>
      <c r="AD37" s="27">
        <v>218480.58300000001</v>
      </c>
      <c r="AE37" s="27">
        <v>232722.15400000001</v>
      </c>
      <c r="AF37" s="27">
        <v>216554.986</v>
      </c>
      <c r="AG37" s="27">
        <v>236225.52499999999</v>
      </c>
      <c r="AH37" s="27">
        <v>246019.47899999999</v>
      </c>
      <c r="AI37" s="27">
        <v>231839.87100000001</v>
      </c>
      <c r="AJ37" s="27"/>
      <c r="AK37" s="27">
        <v>214139</v>
      </c>
      <c r="AL37" s="1">
        <v>209451</v>
      </c>
    </row>
    <row r="38" spans="1:38" ht="12.75" customHeight="1">
      <c r="A38" s="6" t="s">
        <v>52</v>
      </c>
      <c r="J38" s="51">
        <f t="shared" ref="J38" si="25">SUM(J40:J51)</f>
        <v>7264371.0070000002</v>
      </c>
      <c r="M38" s="51">
        <f t="shared" ref="M38" si="26">SUM(M40:M51)</f>
        <v>7706541.1429999983</v>
      </c>
      <c r="O38" s="51">
        <f t="shared" ref="O38" si="27">SUM(O40:O51)</f>
        <v>8471512.9173799995</v>
      </c>
      <c r="R38" s="51">
        <f t="shared" ref="R38:AK38" si="28">SUM(R40:R51)</f>
        <v>9667319.6330000013</v>
      </c>
      <c r="S38" s="51">
        <f t="shared" si="28"/>
        <v>10365949.614</v>
      </c>
      <c r="T38" s="60">
        <f t="shared" si="28"/>
        <v>10103595.335000001</v>
      </c>
      <c r="U38" s="51">
        <f t="shared" si="28"/>
        <v>9903626.6120000016</v>
      </c>
      <c r="V38" s="51">
        <f t="shared" si="28"/>
        <v>9633079.9129999988</v>
      </c>
      <c r="W38" s="51">
        <f t="shared" si="28"/>
        <v>9580718.2539999988</v>
      </c>
      <c r="X38" s="51">
        <f t="shared" si="28"/>
        <v>9715997.5099999998</v>
      </c>
      <c r="Y38" s="51">
        <f t="shared" si="28"/>
        <v>9832093.430999998</v>
      </c>
      <c r="Z38" s="51">
        <f t="shared" si="28"/>
        <v>10602736.895000001</v>
      </c>
      <c r="AA38" s="51">
        <f t="shared" si="28"/>
        <v>10449846.903000001</v>
      </c>
      <c r="AB38" s="51">
        <f t="shared" si="28"/>
        <v>10121041.630000001</v>
      </c>
      <c r="AC38" s="51">
        <f t="shared" si="28"/>
        <v>9939617</v>
      </c>
      <c r="AD38" s="51">
        <f t="shared" si="28"/>
        <v>9323116.1359999981</v>
      </c>
      <c r="AE38" s="51">
        <f t="shared" si="28"/>
        <v>9387996.5690000001</v>
      </c>
      <c r="AF38" s="51">
        <f t="shared" si="28"/>
        <v>9618173.771999998</v>
      </c>
      <c r="AG38" s="51">
        <f t="shared" si="28"/>
        <v>9783246.220999999</v>
      </c>
      <c r="AH38" s="51">
        <f t="shared" si="28"/>
        <v>9073239.8089999985</v>
      </c>
      <c r="AI38" s="51">
        <f t="shared" si="28"/>
        <v>9351721.4960000012</v>
      </c>
      <c r="AJ38" s="51">
        <f t="shared" si="28"/>
        <v>0</v>
      </c>
      <c r="AK38" s="51">
        <f t="shared" si="28"/>
        <v>9932510.3310000021</v>
      </c>
      <c r="AL38" s="131">
        <f t="shared" ref="AL38" si="29">SUM(AL40:AL51)</f>
        <v>9902855.2909999993</v>
      </c>
    </row>
    <row r="39" spans="1:38" ht="12.75" customHeight="1">
      <c r="A39" s="6" t="s">
        <v>94</v>
      </c>
      <c r="T39" s="44"/>
      <c r="AA39" s="10">
        <v>0</v>
      </c>
      <c r="AD39" s="1">
        <v>0</v>
      </c>
      <c r="AF39" s="1">
        <v>0</v>
      </c>
      <c r="AH39" s="1">
        <v>0</v>
      </c>
      <c r="AI39" s="1">
        <v>0</v>
      </c>
    </row>
    <row r="40" spans="1:38" ht="12.75" customHeight="1">
      <c r="A40" s="1" t="s">
        <v>53</v>
      </c>
      <c r="J40" s="126">
        <v>993633.201</v>
      </c>
      <c r="M40" s="1">
        <v>1069239.2579999999</v>
      </c>
      <c r="O40" s="1">
        <v>1203816.125</v>
      </c>
      <c r="R40" s="18">
        <v>1333639.21</v>
      </c>
      <c r="S40" s="1">
        <v>1415970.548</v>
      </c>
      <c r="T40" s="44">
        <v>1456328.8740000001</v>
      </c>
      <c r="U40" s="1">
        <v>1356733.1159999999</v>
      </c>
      <c r="V40" s="1">
        <v>1422855.7180000001</v>
      </c>
      <c r="W40" s="126">
        <v>1250475.183</v>
      </c>
      <c r="X40" s="126">
        <v>1249354.5179999999</v>
      </c>
      <c r="Y40" s="126">
        <v>1275420.2339999999</v>
      </c>
      <c r="Z40" s="126">
        <v>1319428.851</v>
      </c>
      <c r="AA40" s="126">
        <v>1338621.446</v>
      </c>
      <c r="AB40" s="126">
        <v>1335479.0430000001</v>
      </c>
      <c r="AC40" s="126">
        <v>1330349</v>
      </c>
      <c r="AD40" s="1">
        <v>1339809.297</v>
      </c>
      <c r="AE40" s="1">
        <v>1318806.8670000001</v>
      </c>
      <c r="AF40" s="1">
        <v>1284662.4790000001</v>
      </c>
      <c r="AG40" s="1">
        <v>1192980.767</v>
      </c>
      <c r="AH40" s="1">
        <v>321272.01699999999</v>
      </c>
      <c r="AI40" s="1">
        <v>572887.25</v>
      </c>
      <c r="AK40" s="1">
        <v>1022918.595</v>
      </c>
      <c r="AL40" s="1">
        <v>1043920.344</v>
      </c>
    </row>
    <row r="41" spans="1:38" ht="12.75" customHeight="1">
      <c r="A41" s="1" t="s">
        <v>54</v>
      </c>
      <c r="J41" s="126">
        <v>834341.48699999996</v>
      </c>
      <c r="M41" s="1">
        <v>842732.69</v>
      </c>
      <c r="O41" s="1">
        <v>921073.24600000004</v>
      </c>
      <c r="R41" s="18">
        <v>1081126.8540000001</v>
      </c>
      <c r="S41" s="1">
        <v>1117576.3770000001</v>
      </c>
      <c r="T41" s="44">
        <v>1107162.112</v>
      </c>
      <c r="U41" s="1">
        <v>1119188.818</v>
      </c>
      <c r="V41" s="1">
        <v>1168285.4569999999</v>
      </c>
      <c r="W41" s="126">
        <v>1193900.297</v>
      </c>
      <c r="X41" s="126">
        <v>1188447.567</v>
      </c>
      <c r="Y41" s="126">
        <v>1202616.9169999999</v>
      </c>
      <c r="Z41" s="126">
        <v>1253653.5009999999</v>
      </c>
      <c r="AA41" s="126">
        <v>1280846.554</v>
      </c>
      <c r="AB41" s="126">
        <v>1244476.902</v>
      </c>
      <c r="AC41" s="126">
        <v>1236909</v>
      </c>
      <c r="AD41" s="1">
        <v>1199600.2239999999</v>
      </c>
      <c r="AE41" s="1">
        <v>1133909.4990000001</v>
      </c>
      <c r="AF41" s="1">
        <v>1172673.54</v>
      </c>
      <c r="AG41" s="1">
        <v>1192717.398</v>
      </c>
      <c r="AH41" s="1">
        <v>1274588.2749999999</v>
      </c>
      <c r="AI41" s="1">
        <v>1273609.5889999999</v>
      </c>
      <c r="AK41" s="1">
        <v>1267843.615</v>
      </c>
      <c r="AL41" s="1">
        <v>1274430.1850000001</v>
      </c>
    </row>
    <row r="42" spans="1:38" ht="12.75" customHeight="1">
      <c r="A42" s="1" t="s">
        <v>55</v>
      </c>
      <c r="J42" s="126">
        <v>425418.20400000003</v>
      </c>
      <c r="M42" s="1">
        <v>498693.72100000002</v>
      </c>
      <c r="O42" s="1">
        <v>551602.23600000003</v>
      </c>
      <c r="R42" s="18">
        <v>636464.23899999994</v>
      </c>
      <c r="S42" s="1">
        <v>656127.31799999997</v>
      </c>
      <c r="T42" s="44">
        <v>649878.74800000002</v>
      </c>
      <c r="U42" s="1">
        <v>631218.70700000005</v>
      </c>
      <c r="V42" s="1">
        <v>598667.81799999997</v>
      </c>
      <c r="W42" s="126">
        <v>598278.15300000005</v>
      </c>
      <c r="X42" s="126">
        <v>626490.43799999997</v>
      </c>
      <c r="Y42" s="126">
        <v>650417.78599999996</v>
      </c>
      <c r="Z42" s="126">
        <v>711009.81799999997</v>
      </c>
      <c r="AA42" s="126">
        <v>679974.42700000003</v>
      </c>
      <c r="AB42" s="126">
        <v>603828.74</v>
      </c>
      <c r="AC42" s="126">
        <v>548779</v>
      </c>
      <c r="AD42" s="1">
        <v>521048.96</v>
      </c>
      <c r="AE42" s="1">
        <v>544762.21</v>
      </c>
      <c r="AF42" s="1">
        <v>579238.72199999995</v>
      </c>
      <c r="AG42" s="1">
        <v>593867.97499999998</v>
      </c>
      <c r="AH42" s="1">
        <v>596395.14800000004</v>
      </c>
      <c r="AI42" s="1">
        <v>581279.63600000006</v>
      </c>
      <c r="AK42" s="1">
        <v>568135.04599999997</v>
      </c>
      <c r="AL42" s="1">
        <v>583965.98499999999</v>
      </c>
    </row>
    <row r="43" spans="1:38" ht="12.75" customHeight="1">
      <c r="A43" s="1" t="s">
        <v>56</v>
      </c>
      <c r="J43" s="126">
        <v>395951.446</v>
      </c>
      <c r="M43" s="1">
        <v>437830.87400000001</v>
      </c>
      <c r="O43" s="1">
        <v>456958.81438</v>
      </c>
      <c r="R43" s="18">
        <v>547884.61100000003</v>
      </c>
      <c r="S43" s="1">
        <v>565097.522</v>
      </c>
      <c r="T43" s="44">
        <v>584004.18700000003</v>
      </c>
      <c r="U43" s="1">
        <v>555854.58200000005</v>
      </c>
      <c r="V43" s="1">
        <v>558037.61100000003</v>
      </c>
      <c r="W43" s="126">
        <v>577903.84299999999</v>
      </c>
      <c r="X43" s="126">
        <v>607743.93400000001</v>
      </c>
      <c r="Y43" s="126">
        <v>628991.44499999995</v>
      </c>
      <c r="Z43" s="126">
        <v>654621.93700000003</v>
      </c>
      <c r="AA43" s="126">
        <v>626675.40500000003</v>
      </c>
      <c r="AB43" s="126">
        <v>594378.54099999997</v>
      </c>
      <c r="AC43" s="126">
        <v>603651</v>
      </c>
      <c r="AD43" s="1">
        <v>588009.41500000004</v>
      </c>
      <c r="AE43" s="1">
        <v>594343.66200000001</v>
      </c>
      <c r="AF43" s="1">
        <v>578806.09299999999</v>
      </c>
      <c r="AG43" s="1">
        <v>594262.00600000005</v>
      </c>
      <c r="AH43" s="1">
        <v>578390.91</v>
      </c>
      <c r="AI43" s="1">
        <v>580492.20799999998</v>
      </c>
      <c r="AK43" s="1">
        <v>599204.26800000004</v>
      </c>
      <c r="AL43" s="1">
        <v>639790.353</v>
      </c>
    </row>
    <row r="44" spans="1:38" ht="12.75" customHeight="1">
      <c r="A44" s="1" t="s">
        <v>57</v>
      </c>
      <c r="J44" s="126">
        <v>1240247.8230000001</v>
      </c>
      <c r="M44" s="1">
        <v>1243016.6200000001</v>
      </c>
      <c r="O44" s="1">
        <v>1376089.855</v>
      </c>
      <c r="R44" s="18">
        <v>1577126.439</v>
      </c>
      <c r="S44" s="1">
        <v>1678040.4269999999</v>
      </c>
      <c r="T44" s="44">
        <v>1687333.192</v>
      </c>
      <c r="U44" s="1">
        <v>1626287.0859999999</v>
      </c>
      <c r="V44" s="1">
        <v>1458621.0959999999</v>
      </c>
      <c r="W44" s="126">
        <v>1520640.4680000001</v>
      </c>
      <c r="X44" s="126">
        <v>1493217.5449999999</v>
      </c>
      <c r="Y44" s="126">
        <v>1361786.3729999999</v>
      </c>
      <c r="Z44" s="126">
        <v>1650119.3570000001</v>
      </c>
      <c r="AA44" s="126">
        <v>1531265.084</v>
      </c>
      <c r="AB44" s="126">
        <v>1492197.074</v>
      </c>
      <c r="AC44" s="126">
        <v>1420201</v>
      </c>
      <c r="AD44" s="1">
        <v>1207194.209</v>
      </c>
      <c r="AE44" s="1">
        <v>1243571.8759999999</v>
      </c>
      <c r="AF44" s="1">
        <v>1267097.1200000001</v>
      </c>
      <c r="AG44" s="1">
        <v>1345076.51</v>
      </c>
      <c r="AH44" s="1">
        <v>1361865.382</v>
      </c>
      <c r="AI44" s="1">
        <v>1404317.827</v>
      </c>
      <c r="AK44" s="1">
        <v>1461526.6470000001</v>
      </c>
      <c r="AL44" s="1">
        <v>1313160.6189999999</v>
      </c>
    </row>
    <row r="45" spans="1:38" ht="12.75" customHeight="1">
      <c r="A45" s="1" t="s">
        <v>58</v>
      </c>
      <c r="J45" s="126">
        <v>605269.71299999999</v>
      </c>
      <c r="M45" s="1">
        <v>621137.77300000004</v>
      </c>
      <c r="O45" s="1">
        <v>660875.88899999997</v>
      </c>
      <c r="R45" s="18">
        <v>807378.03700000001</v>
      </c>
      <c r="S45" s="1">
        <v>843829.90300000005</v>
      </c>
      <c r="T45" s="44">
        <v>878327.27399999998</v>
      </c>
      <c r="U45" s="1">
        <v>871340.47400000005</v>
      </c>
      <c r="V45" s="1">
        <v>799918.16500000004</v>
      </c>
      <c r="W45" s="126">
        <v>767539.91500000004</v>
      </c>
      <c r="X45" s="126">
        <v>855266.147</v>
      </c>
      <c r="Y45" s="126">
        <v>883569.17599999998</v>
      </c>
      <c r="Z45" s="126">
        <v>1000507.058</v>
      </c>
      <c r="AA45" s="126">
        <v>969365.39199999999</v>
      </c>
      <c r="AB45" s="126">
        <v>886753.38399999996</v>
      </c>
      <c r="AC45" s="126">
        <v>853493</v>
      </c>
      <c r="AD45" s="1">
        <v>780334.27800000005</v>
      </c>
      <c r="AE45" s="1">
        <v>785091.30900000001</v>
      </c>
      <c r="AF45" s="1">
        <v>842292.50600000005</v>
      </c>
      <c r="AG45" s="1">
        <v>882541.26500000001</v>
      </c>
      <c r="AH45" s="1">
        <v>922207.70299999998</v>
      </c>
      <c r="AI45" s="1">
        <v>909094.59600000002</v>
      </c>
      <c r="AK45" s="1">
        <v>945683.65300000005</v>
      </c>
      <c r="AL45" s="1">
        <v>975268.04</v>
      </c>
    </row>
    <row r="46" spans="1:38" ht="12.75" customHeight="1">
      <c r="A46" s="1" t="s">
        <v>59</v>
      </c>
      <c r="J46" s="126">
        <v>443154.52100000001</v>
      </c>
      <c r="M46" s="1">
        <v>513507.11099999998</v>
      </c>
      <c r="O46" s="1">
        <v>617306.28300000005</v>
      </c>
      <c r="R46" s="18">
        <v>694059.51699999999</v>
      </c>
      <c r="S46" s="1">
        <v>915940.152</v>
      </c>
      <c r="T46" s="44">
        <v>656231.63399999996</v>
      </c>
      <c r="U46" s="1">
        <v>671978.17799999996</v>
      </c>
      <c r="V46" s="1">
        <v>662293.00600000005</v>
      </c>
      <c r="W46" s="126">
        <v>694971.1</v>
      </c>
      <c r="X46" s="126">
        <v>700568.98600000003</v>
      </c>
      <c r="Y46" s="126">
        <v>717480.14300000004</v>
      </c>
      <c r="Z46" s="126">
        <v>753792.89899999998</v>
      </c>
      <c r="AA46" s="126">
        <v>795143.88800000004</v>
      </c>
      <c r="AB46" s="126">
        <v>811895.47100000002</v>
      </c>
      <c r="AC46" s="126">
        <v>737586</v>
      </c>
      <c r="AD46" s="1">
        <v>676269.27599999995</v>
      </c>
      <c r="AE46" s="1">
        <v>680444.43</v>
      </c>
      <c r="AF46" s="1">
        <v>694721.98800000001</v>
      </c>
      <c r="AG46" s="1">
        <v>736723.00199999998</v>
      </c>
      <c r="AH46" s="1">
        <v>743453.23600000003</v>
      </c>
      <c r="AI46" s="1">
        <v>713320.83700000006</v>
      </c>
      <c r="AK46" s="1">
        <v>702252.82499999995</v>
      </c>
      <c r="AL46" s="1">
        <v>634267.37800000003</v>
      </c>
    </row>
    <row r="47" spans="1:38" ht="12.75" customHeight="1">
      <c r="A47" s="1" t="s">
        <v>60</v>
      </c>
      <c r="J47" s="126">
        <v>295481.78000000003</v>
      </c>
      <c r="M47" s="1">
        <v>321502.424</v>
      </c>
      <c r="O47" s="1">
        <v>354538.239</v>
      </c>
      <c r="R47" s="24">
        <v>390736.01199999999</v>
      </c>
      <c r="S47" s="1">
        <v>410472.99900000001</v>
      </c>
      <c r="T47" s="44">
        <v>433679.92</v>
      </c>
      <c r="U47" s="1">
        <v>435292.53200000001</v>
      </c>
      <c r="V47" s="1">
        <v>413917.30300000001</v>
      </c>
      <c r="W47" s="126">
        <v>422868.88400000002</v>
      </c>
      <c r="X47" s="126">
        <v>449200.58199999999</v>
      </c>
      <c r="Y47" s="126">
        <v>477964.01500000001</v>
      </c>
      <c r="Z47" s="126">
        <v>493249.70799999998</v>
      </c>
      <c r="AA47" s="126">
        <v>383437.56099999999</v>
      </c>
      <c r="AB47" s="126">
        <v>518630.288</v>
      </c>
      <c r="AC47" s="126">
        <v>516993</v>
      </c>
      <c r="AD47" s="1">
        <v>513526.842</v>
      </c>
      <c r="AE47" s="1">
        <v>526046.446</v>
      </c>
      <c r="AF47" s="1">
        <v>557014.22499999998</v>
      </c>
      <c r="AG47" s="1">
        <v>579078.67200000002</v>
      </c>
      <c r="AH47" s="1">
        <v>588532.94099999999</v>
      </c>
      <c r="AI47" s="1">
        <v>605874.76599999995</v>
      </c>
      <c r="AK47" s="1">
        <v>597373.04</v>
      </c>
      <c r="AL47" s="1">
        <v>613547.69799999997</v>
      </c>
    </row>
    <row r="48" spans="1:38" ht="12.75" customHeight="1">
      <c r="A48" s="1" t="s">
        <v>61</v>
      </c>
      <c r="J48" s="126">
        <v>118911.268</v>
      </c>
      <c r="M48" s="1">
        <v>127600.40399999999</v>
      </c>
      <c r="O48" s="1">
        <v>131797.90100000001</v>
      </c>
      <c r="R48" s="18">
        <v>141948.63399999999</v>
      </c>
      <c r="S48" s="1">
        <v>161197.85999999999</v>
      </c>
      <c r="T48" s="44">
        <v>156669.223</v>
      </c>
      <c r="U48" s="1">
        <v>166589.48300000001</v>
      </c>
      <c r="V48" s="1">
        <v>146561.57199999999</v>
      </c>
      <c r="W48" s="126">
        <v>160719.723</v>
      </c>
      <c r="X48" s="126">
        <v>165835.00099999999</v>
      </c>
      <c r="Y48" s="126">
        <v>180645.65900000001</v>
      </c>
      <c r="Z48" s="126">
        <v>202259.31899999999</v>
      </c>
      <c r="AA48" s="126">
        <v>209948.84400000001</v>
      </c>
      <c r="AB48" s="126">
        <v>229769.90900000001</v>
      </c>
      <c r="AC48" s="126">
        <v>229068</v>
      </c>
      <c r="AD48" s="1">
        <v>232857.89300000001</v>
      </c>
      <c r="AE48" s="1">
        <v>268347.67099999997</v>
      </c>
      <c r="AF48" s="1">
        <v>276125.87900000002</v>
      </c>
      <c r="AG48" s="1">
        <v>285078.777</v>
      </c>
      <c r="AH48" s="1">
        <v>297602.261</v>
      </c>
      <c r="AI48" s="1">
        <v>283585.11599999998</v>
      </c>
      <c r="AK48" s="1">
        <v>261737.073</v>
      </c>
      <c r="AL48" s="1">
        <v>267468.15000000002</v>
      </c>
    </row>
    <row r="49" spans="1:38" ht="12.75" customHeight="1">
      <c r="A49" s="1" t="s">
        <v>62</v>
      </c>
      <c r="J49" s="126">
        <v>1094864.598</v>
      </c>
      <c r="M49" s="1">
        <v>1160633.835</v>
      </c>
      <c r="O49" s="1">
        <v>1298796.5830000001</v>
      </c>
      <c r="R49" s="18">
        <v>1467549.51</v>
      </c>
      <c r="S49" s="1">
        <v>1523754.602</v>
      </c>
      <c r="T49" s="44">
        <v>1520538.976</v>
      </c>
      <c r="U49" s="1">
        <v>1459688.1070000001</v>
      </c>
      <c r="V49" s="1">
        <v>1469930.9739999999</v>
      </c>
      <c r="W49" s="126">
        <v>1457183.9509999999</v>
      </c>
      <c r="X49" s="126">
        <v>1451792.28</v>
      </c>
      <c r="Y49" s="126">
        <v>1478499.3729999999</v>
      </c>
      <c r="Z49" s="126">
        <v>1544241.281</v>
      </c>
      <c r="AA49" s="126">
        <v>1562873.55</v>
      </c>
      <c r="AB49" s="126">
        <v>1393837.706</v>
      </c>
      <c r="AC49" s="126">
        <v>1418113</v>
      </c>
      <c r="AD49" s="1">
        <v>1383837.8589999999</v>
      </c>
      <c r="AE49" s="1">
        <v>1362970.382</v>
      </c>
      <c r="AF49" s="1">
        <v>1393891.28</v>
      </c>
      <c r="AG49" s="1">
        <v>1421365.2860000001</v>
      </c>
      <c r="AH49" s="1">
        <v>1509113.5719999999</v>
      </c>
      <c r="AI49" s="1">
        <v>1549827.554</v>
      </c>
      <c r="AK49" s="1">
        <v>1545913.845</v>
      </c>
      <c r="AL49" s="1">
        <v>1523601.2649999999</v>
      </c>
    </row>
    <row r="50" spans="1:38" ht="12.75" customHeight="1">
      <c r="A50" s="1" t="s">
        <v>63</v>
      </c>
      <c r="J50" s="126">
        <v>87443.3</v>
      </c>
      <c r="M50" s="1">
        <v>99059.543000000005</v>
      </c>
      <c r="O50" s="1">
        <v>103307.47199999999</v>
      </c>
      <c r="R50" s="18">
        <v>118417.02800000001</v>
      </c>
      <c r="S50" s="1">
        <v>119041.348</v>
      </c>
      <c r="T50" s="44">
        <v>128326.33100000001</v>
      </c>
      <c r="U50" s="1">
        <v>130107.446</v>
      </c>
      <c r="V50" s="1">
        <v>133242.81</v>
      </c>
      <c r="W50" s="126">
        <v>137912.03200000001</v>
      </c>
      <c r="X50" s="126">
        <v>143069.671</v>
      </c>
      <c r="Y50" s="126">
        <v>152834.78</v>
      </c>
      <c r="Z50" s="126">
        <v>159061.42300000001</v>
      </c>
      <c r="AA50" s="126">
        <v>154337.02299999999</v>
      </c>
      <c r="AB50" s="126">
        <v>152065.48300000001</v>
      </c>
      <c r="AC50" s="126">
        <v>144300</v>
      </c>
      <c r="AD50" s="1">
        <v>146999.614</v>
      </c>
      <c r="AE50" s="1">
        <v>155452.69099999999</v>
      </c>
      <c r="AF50" s="1">
        <v>166297.802</v>
      </c>
      <c r="AG50" s="1">
        <v>171510.78200000001</v>
      </c>
      <c r="AH50" s="1">
        <v>172609.12400000001</v>
      </c>
      <c r="AI50" s="1">
        <v>178317.49900000001</v>
      </c>
      <c r="AK50" s="1">
        <v>182513.902</v>
      </c>
      <c r="AL50" s="1">
        <v>194615.63</v>
      </c>
    </row>
    <row r="51" spans="1:38" ht="12.75" customHeight="1">
      <c r="A51" s="27" t="s">
        <v>64</v>
      </c>
      <c r="B51" s="27"/>
      <c r="C51" s="27"/>
      <c r="D51" s="27"/>
      <c r="E51" s="27"/>
      <c r="F51" s="27"/>
      <c r="G51" s="27"/>
      <c r="H51" s="27"/>
      <c r="I51" s="27"/>
      <c r="J51" s="127">
        <v>729653.66599999997</v>
      </c>
      <c r="K51" s="27"/>
      <c r="L51" s="27"/>
      <c r="M51" s="27">
        <v>771586.89</v>
      </c>
      <c r="N51" s="27"/>
      <c r="O51" s="27">
        <v>795350.27399999998</v>
      </c>
      <c r="P51" s="27"/>
      <c r="Q51" s="27"/>
      <c r="R51" s="37">
        <v>870989.54200000002</v>
      </c>
      <c r="S51" s="27">
        <v>958900.55799999996</v>
      </c>
      <c r="T51" s="61">
        <v>845114.86399999994</v>
      </c>
      <c r="U51" s="27">
        <v>879348.08299999998</v>
      </c>
      <c r="V51" s="27">
        <v>800748.38300000003</v>
      </c>
      <c r="W51" s="127">
        <v>798324.70499999996</v>
      </c>
      <c r="X51" s="127">
        <v>785010.84100000001</v>
      </c>
      <c r="Y51" s="127">
        <v>821867.53</v>
      </c>
      <c r="Z51" s="127">
        <v>860791.74300000002</v>
      </c>
      <c r="AA51" s="127">
        <v>917357.72900000005</v>
      </c>
      <c r="AB51" s="127">
        <v>857729.08900000004</v>
      </c>
      <c r="AC51" s="127">
        <v>900175</v>
      </c>
      <c r="AD51" s="27">
        <v>733628.26899999997</v>
      </c>
      <c r="AE51" s="27">
        <v>774249.52599999995</v>
      </c>
      <c r="AF51" s="27">
        <v>805352.13800000004</v>
      </c>
      <c r="AG51" s="27">
        <v>788043.78099999996</v>
      </c>
      <c r="AH51" s="27">
        <v>707209.24</v>
      </c>
      <c r="AI51" s="27">
        <v>699114.61800000002</v>
      </c>
      <c r="AJ51" s="27"/>
      <c r="AK51" s="27">
        <v>777407.82200000004</v>
      </c>
      <c r="AL51" s="1">
        <v>838819.64399999997</v>
      </c>
    </row>
    <row r="52" spans="1:38" ht="12.75" customHeight="1">
      <c r="A52" s="6" t="s">
        <v>65</v>
      </c>
      <c r="J52" s="51">
        <f t="shared" ref="J52" si="30">SUM(J54:J62)</f>
        <v>4112509.3930000002</v>
      </c>
      <c r="M52" s="51">
        <f t="shared" ref="M52" si="31">SUM(M54:M62)</f>
        <v>4670819.8590000002</v>
      </c>
      <c r="O52" s="51">
        <f>SUM(O54:O62)</f>
        <v>5010168.9799999986</v>
      </c>
      <c r="R52" s="51">
        <f t="shared" ref="R52:AK52" si="32">SUM(R54:R62)</f>
        <v>5347615.9820000008</v>
      </c>
      <c r="S52" s="51">
        <f t="shared" si="32"/>
        <v>5507265.2210000008</v>
      </c>
      <c r="T52" s="60">
        <f t="shared" si="32"/>
        <v>5671303.6420000009</v>
      </c>
      <c r="U52" s="51">
        <f t="shared" si="32"/>
        <v>5068328.8029999994</v>
      </c>
      <c r="V52" s="51">
        <f t="shared" si="32"/>
        <v>5097720.9440000011</v>
      </c>
      <c r="W52" s="51">
        <f t="shared" si="32"/>
        <v>5877253.3300000001</v>
      </c>
      <c r="X52" s="51">
        <f t="shared" si="32"/>
        <v>6554964.277999999</v>
      </c>
      <c r="Y52" s="51">
        <f t="shared" si="32"/>
        <v>7092419.5729999999</v>
      </c>
      <c r="Z52" s="51">
        <f t="shared" si="32"/>
        <v>7504503.7889999999</v>
      </c>
      <c r="AA52" s="51">
        <f t="shared" si="32"/>
        <v>6292623.6940000001</v>
      </c>
      <c r="AB52" s="51">
        <f t="shared" si="32"/>
        <v>7209679.4630000005</v>
      </c>
      <c r="AC52" s="51">
        <f t="shared" si="32"/>
        <v>7259350</v>
      </c>
      <c r="AD52" s="51">
        <f t="shared" si="32"/>
        <v>7006894.1620000005</v>
      </c>
      <c r="AE52" s="51">
        <f t="shared" si="32"/>
        <v>6205671.9699999997</v>
      </c>
      <c r="AF52" s="51">
        <f t="shared" si="32"/>
        <v>7154566.0720000006</v>
      </c>
      <c r="AG52" s="51">
        <f t="shared" si="32"/>
        <v>7392945.9959999993</v>
      </c>
      <c r="AH52" s="51">
        <f t="shared" si="32"/>
        <v>8345729.989000001</v>
      </c>
      <c r="AI52" s="51">
        <f t="shared" si="32"/>
        <v>8294107.2740000011</v>
      </c>
      <c r="AJ52" s="51">
        <f t="shared" si="32"/>
        <v>0</v>
      </c>
      <c r="AK52" s="51">
        <f t="shared" si="32"/>
        <v>9004564.3249999993</v>
      </c>
      <c r="AL52" s="131">
        <f t="shared" ref="AL52" si="33">SUM(AL54:AL62)</f>
        <v>8815706.2160000019</v>
      </c>
    </row>
    <row r="53" spans="1:38" ht="12.75" customHeight="1">
      <c r="A53" s="6" t="s">
        <v>94</v>
      </c>
      <c r="T53" s="44"/>
      <c r="AA53" s="10">
        <v>0</v>
      </c>
      <c r="AD53" s="1">
        <v>0</v>
      </c>
      <c r="AF53" s="1">
        <v>0</v>
      </c>
      <c r="AH53" s="1">
        <v>0</v>
      </c>
      <c r="AI53" s="1">
        <v>0</v>
      </c>
    </row>
    <row r="54" spans="1:38" ht="12.75" customHeight="1">
      <c r="A54" s="1" t="s">
        <v>66</v>
      </c>
      <c r="J54" s="126">
        <v>271791.02899999998</v>
      </c>
      <c r="M54" s="1">
        <v>370893.97600000002</v>
      </c>
      <c r="O54" s="1">
        <v>358512.05099999998</v>
      </c>
      <c r="R54" s="18">
        <v>529849.15</v>
      </c>
      <c r="S54" s="1">
        <v>519353.10200000001</v>
      </c>
      <c r="T54" s="44">
        <v>556563.84100000001</v>
      </c>
      <c r="U54" s="1">
        <v>553732.01</v>
      </c>
      <c r="V54" s="1">
        <v>560897.07400000002</v>
      </c>
      <c r="W54" s="126">
        <v>590555.81099999999</v>
      </c>
      <c r="X54" s="126">
        <v>624219.09100000001</v>
      </c>
      <c r="Y54" s="126">
        <v>682950.13399999996</v>
      </c>
      <c r="Z54" s="126">
        <v>752967.84400000004</v>
      </c>
      <c r="AA54" s="126">
        <v>767428.16500000004</v>
      </c>
      <c r="AB54" s="126">
        <v>772124.73400000005</v>
      </c>
      <c r="AC54" s="126">
        <v>792583</v>
      </c>
      <c r="AD54" s="1">
        <v>689483.28099999996</v>
      </c>
      <c r="AE54" s="1">
        <v>716301.19299999997</v>
      </c>
      <c r="AF54" s="1">
        <v>831167.49399999995</v>
      </c>
      <c r="AG54" s="1">
        <v>909060.04799999995</v>
      </c>
      <c r="AH54" s="1">
        <v>966671.26199999999</v>
      </c>
      <c r="AI54" s="1">
        <v>925024.15</v>
      </c>
      <c r="AK54" s="1">
        <v>886225.73</v>
      </c>
      <c r="AL54" s="1">
        <v>953016.97699999996</v>
      </c>
    </row>
    <row r="55" spans="1:38" ht="12.75" customHeight="1">
      <c r="A55" s="1" t="s">
        <v>67</v>
      </c>
      <c r="J55" s="126">
        <v>119046.15399999999</v>
      </c>
      <c r="M55" s="1">
        <v>123600.692</v>
      </c>
      <c r="O55" s="1">
        <v>142023.628</v>
      </c>
      <c r="R55" s="18">
        <v>150530.073</v>
      </c>
      <c r="S55" s="1">
        <v>160082.484</v>
      </c>
      <c r="T55" s="44">
        <v>166925.38500000001</v>
      </c>
      <c r="U55" s="1">
        <v>169162.37899999999</v>
      </c>
      <c r="V55" s="1">
        <v>167295.93799999999</v>
      </c>
      <c r="W55" s="126">
        <v>172349.28099999999</v>
      </c>
      <c r="X55" s="126">
        <v>176327.82</v>
      </c>
      <c r="Y55" s="126">
        <v>183586.54699999999</v>
      </c>
      <c r="Z55" s="126">
        <v>193714.47399999999</v>
      </c>
      <c r="AA55" s="126">
        <v>188108.93900000001</v>
      </c>
      <c r="AB55" s="126">
        <v>184394.02499999999</v>
      </c>
      <c r="AC55" s="126">
        <v>188029</v>
      </c>
      <c r="AD55" s="1">
        <v>186580.70600000001</v>
      </c>
      <c r="AE55" s="1">
        <v>182060.60800000001</v>
      </c>
      <c r="AF55" s="1">
        <v>184960.33799999999</v>
      </c>
      <c r="AG55" s="1">
        <v>183035.19</v>
      </c>
      <c r="AH55" s="1">
        <v>193811.39199999999</v>
      </c>
      <c r="AI55" s="1">
        <v>206918.32399999999</v>
      </c>
      <c r="AK55" s="1">
        <v>213088.522</v>
      </c>
      <c r="AL55" s="1">
        <v>215612.05499999999</v>
      </c>
    </row>
    <row r="56" spans="1:38" ht="12.75" customHeight="1">
      <c r="A56" s="1" t="s">
        <v>68</v>
      </c>
      <c r="J56" s="126">
        <v>352106.56599999999</v>
      </c>
      <c r="M56" s="1">
        <v>450947.837</v>
      </c>
      <c r="O56" s="1">
        <v>529800.13199999998</v>
      </c>
      <c r="R56" s="18">
        <v>653665.70299999998</v>
      </c>
      <c r="S56" s="1">
        <v>728699.39800000004</v>
      </c>
      <c r="T56" s="44">
        <v>686236.79299999995</v>
      </c>
      <c r="U56" s="1">
        <v>653333.80799999996</v>
      </c>
      <c r="V56" s="1">
        <v>585624.70600000001</v>
      </c>
      <c r="W56" s="126">
        <v>686303.60900000005</v>
      </c>
      <c r="X56" s="126">
        <v>762052.37399999995</v>
      </c>
      <c r="Y56" s="126">
        <v>839350.71200000006</v>
      </c>
      <c r="Z56" s="126">
        <v>896190.87399999995</v>
      </c>
      <c r="AA56" s="126">
        <v>703868.13399999996</v>
      </c>
      <c r="AB56" s="126">
        <v>655418.90300000005</v>
      </c>
      <c r="AC56" s="126">
        <v>750007</v>
      </c>
      <c r="AD56" s="1">
        <v>755465.74100000004</v>
      </c>
      <c r="AE56" s="1">
        <v>763165.71799999999</v>
      </c>
      <c r="AF56" s="1">
        <v>857246.13399999996</v>
      </c>
      <c r="AG56" s="1">
        <v>924444.36100000003</v>
      </c>
      <c r="AH56" s="1">
        <v>986760.82499999995</v>
      </c>
      <c r="AI56" s="1">
        <v>1054473.277</v>
      </c>
      <c r="AK56" s="1">
        <v>1154423.683</v>
      </c>
      <c r="AL56" s="1">
        <v>1187579.1850000001</v>
      </c>
    </row>
    <row r="57" spans="1:38" ht="12.75" customHeight="1">
      <c r="A57" s="1" t="s">
        <v>69</v>
      </c>
      <c r="J57" s="126">
        <v>54040</v>
      </c>
      <c r="M57" s="1">
        <v>63500</v>
      </c>
      <c r="O57" s="1">
        <v>63750</v>
      </c>
      <c r="R57" s="24">
        <v>71766.997000000003</v>
      </c>
      <c r="S57" s="1">
        <v>75365.349000000002</v>
      </c>
      <c r="T57" s="44">
        <v>79133.611000000004</v>
      </c>
      <c r="U57" s="1">
        <v>83090.297999999995</v>
      </c>
      <c r="V57" s="1">
        <v>83090.274999999994</v>
      </c>
      <c r="W57" s="126">
        <v>85583</v>
      </c>
      <c r="X57" s="126">
        <v>87450</v>
      </c>
      <c r="Y57" s="126">
        <v>92250</v>
      </c>
      <c r="Z57" s="126">
        <v>96000</v>
      </c>
      <c r="AA57" s="126">
        <v>97286.043999999994</v>
      </c>
      <c r="AB57" s="126">
        <v>97286</v>
      </c>
      <c r="AC57" s="126">
        <v>97286</v>
      </c>
      <c r="AD57" s="1">
        <v>50950.071000000004</v>
      </c>
      <c r="AE57" s="1">
        <v>53647.218000000001</v>
      </c>
      <c r="AF57" s="1">
        <v>69000</v>
      </c>
      <c r="AG57" s="1">
        <v>81000</v>
      </c>
      <c r="AH57" s="1">
        <v>81000</v>
      </c>
      <c r="AI57" s="1">
        <v>81000</v>
      </c>
      <c r="AK57" s="1">
        <v>81000</v>
      </c>
      <c r="AL57" s="1">
        <v>85500</v>
      </c>
    </row>
    <row r="58" spans="1:38" ht="12.75" customHeight="1">
      <c r="A58" s="1" t="s">
        <v>70</v>
      </c>
      <c r="J58" s="126">
        <v>507926.19</v>
      </c>
      <c r="M58" s="1">
        <v>563432.69499999995</v>
      </c>
      <c r="O58" s="1">
        <v>941797.03899999999</v>
      </c>
      <c r="R58" s="24">
        <v>627095.71699999995</v>
      </c>
      <c r="S58" s="1">
        <v>665270.36300000001</v>
      </c>
      <c r="T58" s="44">
        <v>708251.67500000005</v>
      </c>
      <c r="U58" s="1">
        <v>782728.23800000001</v>
      </c>
      <c r="V58" s="1">
        <v>810223.054</v>
      </c>
      <c r="W58" s="126">
        <v>1384544.7930000001</v>
      </c>
      <c r="X58" s="126">
        <v>1481630.659</v>
      </c>
      <c r="Y58" s="126">
        <v>1407349.9040000001</v>
      </c>
      <c r="Z58" s="126">
        <v>1436349.746</v>
      </c>
      <c r="AA58" s="126">
        <v>973603.88300000003</v>
      </c>
      <c r="AB58" s="126">
        <v>1409728.0160000001</v>
      </c>
      <c r="AC58" s="126">
        <v>1358685</v>
      </c>
      <c r="AD58" s="1">
        <v>1360176.3959999999</v>
      </c>
      <c r="AE58" s="1">
        <v>991492.22</v>
      </c>
      <c r="AF58" s="1">
        <v>1434487.9920000001</v>
      </c>
      <c r="AG58" s="1">
        <v>1425894.628</v>
      </c>
      <c r="AH58" s="1">
        <v>1411443.017</v>
      </c>
      <c r="AI58" s="1">
        <v>1454737.9790000001</v>
      </c>
      <c r="AK58" s="1">
        <v>1613458.504</v>
      </c>
      <c r="AL58" s="1">
        <v>1464798.3430000001</v>
      </c>
    </row>
    <row r="59" spans="1:38" ht="12.75" customHeight="1">
      <c r="A59" s="1" t="s">
        <v>71</v>
      </c>
      <c r="J59" s="126">
        <v>1807941.3289999999</v>
      </c>
      <c r="M59" s="1">
        <v>2022754.6510000001</v>
      </c>
      <c r="O59" s="1">
        <v>1846829.3359999999</v>
      </c>
      <c r="R59" s="24">
        <v>2061103.6810000001</v>
      </c>
      <c r="S59" s="1">
        <v>2241338.8640000001</v>
      </c>
      <c r="T59" s="44">
        <v>2653351.0129999998</v>
      </c>
      <c r="U59" s="1">
        <v>2198161.0129999998</v>
      </c>
      <c r="V59" s="1">
        <v>2295371.5240000002</v>
      </c>
      <c r="W59" s="126">
        <v>2342101.5520000001</v>
      </c>
      <c r="X59" s="126">
        <v>2784401.8369999998</v>
      </c>
      <c r="Y59" s="126">
        <v>3220045.2009999999</v>
      </c>
      <c r="Z59" s="126">
        <v>3453554.1579999998</v>
      </c>
      <c r="AA59" s="126">
        <v>2920233.6880000001</v>
      </c>
      <c r="AB59" s="126">
        <v>3476429.074</v>
      </c>
      <c r="AC59" s="126">
        <v>3461863</v>
      </c>
      <c r="AD59" s="1">
        <v>3396550.5989999999</v>
      </c>
      <c r="AE59" s="1">
        <v>2937525.3059999999</v>
      </c>
      <c r="AF59" s="1">
        <v>3207891.4070000001</v>
      </c>
      <c r="AG59" s="1">
        <v>3291118.8139999998</v>
      </c>
      <c r="AH59" s="1">
        <v>4096995.733</v>
      </c>
      <c r="AI59" s="1">
        <v>3945017.165</v>
      </c>
      <c r="AK59" s="1">
        <v>4397693.9610000001</v>
      </c>
      <c r="AL59" s="1">
        <v>4232209.8660000004</v>
      </c>
    </row>
    <row r="60" spans="1:38" ht="12.75" customHeight="1">
      <c r="A60" s="1" t="s">
        <v>72</v>
      </c>
      <c r="J60" s="126">
        <v>883121.04299999995</v>
      </c>
      <c r="M60" s="1">
        <v>949940.53899999999</v>
      </c>
      <c r="O60" s="1">
        <v>985571.56599999999</v>
      </c>
      <c r="R60" s="18">
        <v>1094368.118</v>
      </c>
      <c r="S60" s="1">
        <v>946848.75300000003</v>
      </c>
      <c r="T60" s="44">
        <v>641453.76399999997</v>
      </c>
      <c r="U60" s="1">
        <v>448234.65600000002</v>
      </c>
      <c r="V60" s="1">
        <v>413575.48</v>
      </c>
      <c r="W60" s="126">
        <v>431645.51299999998</v>
      </c>
      <c r="X60" s="126">
        <v>452289.16399999999</v>
      </c>
      <c r="Y60" s="126">
        <v>472889.89</v>
      </c>
      <c r="Z60" s="126">
        <v>490033.05499999999</v>
      </c>
      <c r="AA60" s="126">
        <v>483228.663</v>
      </c>
      <c r="AB60" s="126">
        <v>448947.69</v>
      </c>
      <c r="AC60" s="126">
        <v>449669</v>
      </c>
      <c r="AD60" s="1">
        <v>408150.28499999997</v>
      </c>
      <c r="AE60" s="1">
        <v>408349.41800000001</v>
      </c>
      <c r="AF60" s="1">
        <v>407912.08600000001</v>
      </c>
      <c r="AG60" s="1">
        <v>408131.16800000001</v>
      </c>
      <c r="AH60" s="1">
        <v>428146.48499999999</v>
      </c>
      <c r="AI60" s="1">
        <v>439258.15</v>
      </c>
      <c r="AK60" s="1">
        <v>462626.16399999999</v>
      </c>
      <c r="AL60" s="1">
        <v>472825.94699999999</v>
      </c>
    </row>
    <row r="61" spans="1:38" ht="12.75" customHeight="1">
      <c r="A61" s="1" t="s">
        <v>73</v>
      </c>
      <c r="J61" s="126">
        <v>82221.581999999995</v>
      </c>
      <c r="M61" s="1">
        <v>89178.240000000005</v>
      </c>
      <c r="O61" s="1">
        <v>100610.895</v>
      </c>
      <c r="R61" s="18">
        <v>114898.44</v>
      </c>
      <c r="S61" s="1">
        <v>121921.40700000001</v>
      </c>
      <c r="T61" s="44">
        <v>127850.16</v>
      </c>
      <c r="U61" s="1">
        <v>125458.436</v>
      </c>
      <c r="V61" s="1">
        <v>126174.212</v>
      </c>
      <c r="W61" s="126">
        <v>126802.71400000001</v>
      </c>
      <c r="X61" s="126">
        <v>127257.182</v>
      </c>
      <c r="Y61" s="126">
        <v>128383.37699999999</v>
      </c>
      <c r="Z61" s="126">
        <v>119736.315</v>
      </c>
      <c r="AA61" s="126">
        <v>102214.30100000001</v>
      </c>
      <c r="AB61" s="126">
        <v>94438.798999999999</v>
      </c>
      <c r="AC61" s="126">
        <v>94186</v>
      </c>
      <c r="AD61" s="1">
        <v>96724.928</v>
      </c>
      <c r="AE61" s="1">
        <v>97341.801999999996</v>
      </c>
      <c r="AF61" s="1">
        <v>103877.156</v>
      </c>
      <c r="AG61" s="1">
        <v>112572.928</v>
      </c>
      <c r="AH61" s="1">
        <v>117006.876</v>
      </c>
      <c r="AI61" s="1">
        <v>123662.92</v>
      </c>
      <c r="AK61" s="1">
        <v>129813.285</v>
      </c>
      <c r="AL61" s="1">
        <v>126947.625</v>
      </c>
    </row>
    <row r="62" spans="1:38" ht="12.75" customHeight="1">
      <c r="A62" s="27" t="s">
        <v>74</v>
      </c>
      <c r="B62" s="27"/>
      <c r="C62" s="27"/>
      <c r="D62" s="27"/>
      <c r="E62" s="27"/>
      <c r="F62" s="27"/>
      <c r="G62" s="27"/>
      <c r="H62" s="27"/>
      <c r="I62" s="27"/>
      <c r="J62" s="127">
        <v>34315.5</v>
      </c>
      <c r="K62" s="27"/>
      <c r="L62" s="27"/>
      <c r="M62" s="27">
        <v>36571.228999999999</v>
      </c>
      <c r="N62" s="27"/>
      <c r="O62" s="27">
        <v>41274.332999999999</v>
      </c>
      <c r="P62" s="27"/>
      <c r="Q62" s="27"/>
      <c r="R62" s="37">
        <v>44338.103000000003</v>
      </c>
      <c r="S62" s="27">
        <v>48385.500999999997</v>
      </c>
      <c r="T62" s="61">
        <v>51537.4</v>
      </c>
      <c r="U62" s="27">
        <v>54427.964999999997</v>
      </c>
      <c r="V62" s="27">
        <v>55468.680999999997</v>
      </c>
      <c r="W62" s="127">
        <v>57367.057000000001</v>
      </c>
      <c r="X62" s="127">
        <v>59336.150999999998</v>
      </c>
      <c r="Y62" s="127">
        <v>65613.808000000005</v>
      </c>
      <c r="Z62" s="127">
        <v>65957.323000000004</v>
      </c>
      <c r="AA62" s="127">
        <v>56651.877</v>
      </c>
      <c r="AB62" s="127">
        <v>70912.221999999994</v>
      </c>
      <c r="AC62" s="127">
        <v>67042</v>
      </c>
      <c r="AD62" s="27">
        <v>62812.154999999999</v>
      </c>
      <c r="AE62" s="27">
        <v>55788.487000000001</v>
      </c>
      <c r="AF62" s="27">
        <v>58023.464999999997</v>
      </c>
      <c r="AG62" s="27">
        <v>57688.858999999997</v>
      </c>
      <c r="AH62" s="27">
        <v>63894.398999999998</v>
      </c>
      <c r="AI62" s="27">
        <v>64015.309000000001</v>
      </c>
      <c r="AJ62" s="27"/>
      <c r="AK62" s="27">
        <v>66234.475999999995</v>
      </c>
      <c r="AL62" s="1">
        <v>77216.217999999993</v>
      </c>
    </row>
    <row r="63" spans="1:38">
      <c r="A63" s="49" t="s">
        <v>75</v>
      </c>
      <c r="B63" s="46"/>
      <c r="C63" s="46"/>
      <c r="D63" s="46"/>
      <c r="E63" s="46"/>
      <c r="F63" s="46"/>
      <c r="G63" s="46"/>
      <c r="H63" s="46"/>
      <c r="I63" s="46"/>
      <c r="J63" s="128">
        <v>0</v>
      </c>
      <c r="K63" s="46"/>
      <c r="L63" s="46"/>
      <c r="M63" s="46">
        <v>0</v>
      </c>
      <c r="N63" s="46"/>
      <c r="O63" s="46">
        <v>0</v>
      </c>
      <c r="P63" s="46"/>
      <c r="Q63" s="46"/>
      <c r="R63" s="47">
        <v>0</v>
      </c>
      <c r="S63" s="46">
        <v>3018.973</v>
      </c>
      <c r="T63" s="48">
        <v>5266.8729999999996</v>
      </c>
      <c r="U63" s="46">
        <v>4153.665</v>
      </c>
      <c r="V63" s="46">
        <v>4138.7550000000001</v>
      </c>
      <c r="W63" s="128">
        <v>5237.4380000000001</v>
      </c>
      <c r="X63" s="128">
        <v>6553.74</v>
      </c>
      <c r="Y63" s="128">
        <v>6516.4290000000001</v>
      </c>
      <c r="Z63" s="128">
        <v>7549.1760000000004</v>
      </c>
      <c r="AA63" s="128"/>
      <c r="AB63" s="128">
        <v>62070</v>
      </c>
      <c r="AC63" s="128">
        <v>66420</v>
      </c>
      <c r="AD63" s="27">
        <v>67362.122000000003</v>
      </c>
      <c r="AE63" s="27">
        <v>75404.62</v>
      </c>
      <c r="AF63" s="27">
        <v>66690.62</v>
      </c>
      <c r="AG63" s="27">
        <v>73457.573000000004</v>
      </c>
      <c r="AH63" s="27">
        <v>71942.471999999994</v>
      </c>
      <c r="AI63" s="27">
        <v>77670.774000000005</v>
      </c>
      <c r="AJ63" s="27"/>
      <c r="AK63" s="27">
        <v>89003.490999999995</v>
      </c>
      <c r="AL63" s="130">
        <v>89122849</v>
      </c>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7" ht="9.9499999999999993" customHeight="1"/>
    <row r="82" spans="2:207" ht="9.9499999999999993" customHeight="1">
      <c r="GQ82" s="4"/>
      <c r="GR82" s="4"/>
      <c r="GS82" s="4"/>
      <c r="GT82" s="4"/>
      <c r="GU82" s="4"/>
      <c r="GV82" s="4"/>
      <c r="GW82" s="4"/>
      <c r="GX82" s="4"/>
      <c r="GY82" s="4"/>
    </row>
    <row r="83" spans="2:207">
      <c r="GO83" s="4"/>
      <c r="GP83" s="4"/>
      <c r="GQ83" s="4"/>
      <c r="GR83" s="4"/>
      <c r="GS83" s="4"/>
      <c r="GT83" s="4"/>
      <c r="GU83" s="4"/>
      <c r="GV83" s="4"/>
      <c r="GW83" s="4"/>
      <c r="GX83" s="4"/>
      <c r="GY83" s="4"/>
    </row>
    <row r="84" spans="2:207">
      <c r="GO84" s="4"/>
      <c r="GP84" s="4"/>
      <c r="GQ84" s="4"/>
      <c r="GR84" s="4"/>
      <c r="GS84" s="4"/>
      <c r="GT84" s="4"/>
      <c r="GU84" s="4"/>
      <c r="GV84" s="4"/>
      <c r="GW84" s="4"/>
      <c r="GX84" s="4"/>
      <c r="GY84" s="4"/>
    </row>
    <row r="85" spans="2:207">
      <c r="GQ85" s="4"/>
      <c r="GR85" s="4"/>
      <c r="GS85" s="4"/>
      <c r="GT85" s="4"/>
      <c r="GU85" s="4"/>
      <c r="GV85" s="4"/>
      <c r="GW85" s="4"/>
    </row>
    <row r="86" spans="2:207">
      <c r="GQ86" s="4"/>
      <c r="GR86" s="4"/>
      <c r="GS86" s="4"/>
      <c r="GT86" s="4"/>
      <c r="GU86" s="4"/>
      <c r="GV86" s="4"/>
      <c r="GW86" s="4"/>
    </row>
    <row r="87" spans="2:207">
      <c r="GQ87" s="4"/>
      <c r="GR87" s="4"/>
      <c r="GS87" s="4"/>
      <c r="GT87" s="4"/>
      <c r="GU87" s="4"/>
      <c r="GV87" s="4"/>
      <c r="GW87" s="4"/>
    </row>
    <row r="92" spans="2:207">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5">
    <tabColor indexed="62"/>
  </sheetPr>
  <dimension ref="A1:GW92"/>
  <sheetViews>
    <sheetView showZeros="0" zoomScaleNormal="100" workbookViewId="0">
      <pane xSplit="1" ySplit="3" topLeftCell="AF4" activePane="bottomRight" state="frozen"/>
      <selection pane="bottomRight" activeCell="AQ14" sqref="AQ14"/>
      <selection pane="bottomLeft" activeCell="O44" sqref="O44"/>
      <selection pane="topRight" activeCell="O44" sqref="O44"/>
    </sheetView>
  </sheetViews>
  <sheetFormatPr defaultColWidth="9.7109375" defaultRowHeight="12.75"/>
  <cols>
    <col min="1" max="1" width="19.5703125" style="1" bestFit="1" customWidth="1"/>
    <col min="2" max="22" width="13.85546875" style="1" customWidth="1"/>
    <col min="23" max="29" width="13.85546875" style="10" customWidth="1"/>
    <col min="30" max="31" width="9.7109375" style="1"/>
    <col min="32" max="32" width="10.7109375" style="1" bestFit="1" customWidth="1"/>
    <col min="33" max="33" width="10.7109375" style="1" customWidth="1"/>
    <col min="34" max="34" width="10.7109375" style="1" bestFit="1" customWidth="1"/>
    <col min="35" max="35" width="10.7109375" style="1" customWidth="1"/>
    <col min="36" max="36" width="10.7109375" style="1" bestFit="1" customWidth="1"/>
    <col min="37" max="38" width="10.7109375" style="1" customWidth="1"/>
    <col min="39" max="169" width="9.7109375" style="1"/>
    <col min="170" max="170" width="11.7109375" style="1" customWidth="1"/>
    <col min="171" max="194" width="9.7109375" style="1"/>
    <col min="195" max="195" width="5.7109375" style="1" customWidth="1"/>
    <col min="196" max="196" width="6.7109375" style="1" customWidth="1"/>
    <col min="197" max="198" width="8.7109375" style="1" customWidth="1"/>
    <col min="199" max="200" width="6.7109375" style="1" customWidth="1"/>
    <col min="201" max="202" width="8.7109375" style="1" customWidth="1"/>
    <col min="203" max="204" width="6.7109375" style="1" customWidth="1"/>
    <col min="205" max="205" width="1.7109375" style="1" customWidth="1"/>
    <col min="206" max="16384" width="9.7109375" style="1"/>
  </cols>
  <sheetData>
    <row r="1" spans="1:38">
      <c r="A1" s="36" t="s">
        <v>92</v>
      </c>
      <c r="B1" s="11"/>
      <c r="C1" s="11"/>
      <c r="D1" s="11"/>
      <c r="E1" s="11"/>
      <c r="F1" s="11"/>
      <c r="G1" s="11"/>
      <c r="H1" s="11"/>
      <c r="I1" s="11"/>
      <c r="J1" s="11"/>
      <c r="K1" s="11"/>
      <c r="L1" s="11"/>
    </row>
    <row r="2" spans="1:38">
      <c r="A2" s="1" t="s">
        <v>153</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15">
        <v>2020</v>
      </c>
    </row>
    <row r="4" spans="1:38" ht="12.75" customHeight="1">
      <c r="A4" s="46" t="s">
        <v>20</v>
      </c>
      <c r="B4" s="46">
        <f>41991+114315</f>
        <v>156306</v>
      </c>
      <c r="C4" s="46">
        <f>45452+122091</f>
        <v>167543</v>
      </c>
      <c r="D4" s="46">
        <f>40291+130643</f>
        <v>170934</v>
      </c>
      <c r="E4" s="46"/>
      <c r="F4" s="46"/>
      <c r="G4" s="46"/>
      <c r="H4" s="46"/>
      <c r="I4" s="46">
        <v>221794.818</v>
      </c>
      <c r="J4" s="54">
        <f>+J5+J23+J38+J52+J63</f>
        <v>192631.435</v>
      </c>
      <c r="K4" s="46">
        <v>203098.84299999999</v>
      </c>
      <c r="L4" s="46">
        <v>206170.94399999999</v>
      </c>
      <c r="M4" s="54">
        <f>+M5+M23+M38+M52+M63</f>
        <v>197081.671</v>
      </c>
      <c r="N4" s="46">
        <v>278416.71399999998</v>
      </c>
      <c r="O4" s="54">
        <f>+O5+O23+O38+O52+O63</f>
        <v>195113.28771999999</v>
      </c>
      <c r="P4" s="46"/>
      <c r="Q4" s="46"/>
      <c r="R4" s="54">
        <f t="shared" ref="R4:AA4" si="0">+R5+R23+R38+R52+R63</f>
        <v>195089.58</v>
      </c>
      <c r="S4" s="54">
        <f t="shared" si="0"/>
        <v>191336.54300000001</v>
      </c>
      <c r="T4" s="59">
        <f t="shared" si="0"/>
        <v>173418.90100000001</v>
      </c>
      <c r="U4" s="54">
        <f t="shared" si="0"/>
        <v>181987.61000000002</v>
      </c>
      <c r="V4" s="54">
        <f t="shared" si="0"/>
        <v>229604.18300000002</v>
      </c>
      <c r="W4" s="54">
        <f t="shared" si="0"/>
        <v>245770.96000000002</v>
      </c>
      <c r="X4" s="54">
        <f t="shared" si="0"/>
        <v>267146.69600000005</v>
      </c>
      <c r="Y4" s="54">
        <f t="shared" si="0"/>
        <v>370555.39</v>
      </c>
      <c r="Z4" s="54">
        <f t="shared" si="0"/>
        <v>382559.315</v>
      </c>
      <c r="AA4" s="54">
        <f t="shared" si="0"/>
        <v>329784.68699999998</v>
      </c>
      <c r="AB4" s="54">
        <f t="shared" ref="AB4:AD4" si="1">+AB5+AB23+AB38+AB52+AB63</f>
        <v>181844.58500000002</v>
      </c>
      <c r="AC4" s="54">
        <f t="shared" si="1"/>
        <v>184747</v>
      </c>
      <c r="AD4" s="54">
        <f t="shared" si="1"/>
        <v>186105.89899999998</v>
      </c>
      <c r="AE4" s="54">
        <f t="shared" ref="AE4:AF4" si="2">+AE5+AE23+AE38+AE52+AE63</f>
        <v>212246.97600000002</v>
      </c>
      <c r="AF4" s="54">
        <f t="shared" si="2"/>
        <v>187352.63099999999</v>
      </c>
      <c r="AG4" s="54">
        <f>+AG5+AG23+AG38+AG52+AG63</f>
        <v>211954.95500000002</v>
      </c>
      <c r="AH4" s="54">
        <f>+AH5+AH23+AH38+AH52+AH63</f>
        <v>320831.7</v>
      </c>
      <c r="AI4" s="54">
        <f t="shared" ref="AI4:AK4" si="3">+AI5+AI23+AI38+AI52+AI63</f>
        <v>372297.4</v>
      </c>
      <c r="AJ4" s="54">
        <f t="shared" si="3"/>
        <v>0</v>
      </c>
      <c r="AK4" s="54">
        <f t="shared" si="3"/>
        <v>418988.96400000004</v>
      </c>
      <c r="AL4" s="54">
        <f t="shared" ref="AL4" si="4">+AL5+AL23+AL38+AL52+AL63</f>
        <v>438149.321</v>
      </c>
    </row>
    <row r="5" spans="1:38" ht="12.75" customHeight="1">
      <c r="A5" s="1" t="s">
        <v>21</v>
      </c>
      <c r="B5" s="51">
        <f>SUM(B7:B22)</f>
        <v>15851</v>
      </c>
      <c r="C5" s="51">
        <f t="shared" ref="C5:D5" si="5">SUM(C7:C22)</f>
        <v>19411</v>
      </c>
      <c r="D5" s="51">
        <f t="shared" si="5"/>
        <v>19719</v>
      </c>
      <c r="I5" s="51">
        <f t="shared" ref="I5:L5" si="6">SUM(I7:I22)</f>
        <v>23985.902000000002</v>
      </c>
      <c r="J5" s="51">
        <f t="shared" si="6"/>
        <v>22493.732</v>
      </c>
      <c r="K5" s="51">
        <f t="shared" si="6"/>
        <v>23370.338999999996</v>
      </c>
      <c r="L5" s="51">
        <f t="shared" si="6"/>
        <v>25440.570000000003</v>
      </c>
      <c r="M5" s="51">
        <f t="shared" ref="M5:O5" si="7">SUM(M7:M22)</f>
        <v>21703.82</v>
      </c>
      <c r="N5" s="51">
        <f t="shared" si="7"/>
        <v>25178.800999999999</v>
      </c>
      <c r="O5" s="51">
        <f t="shared" si="7"/>
        <v>25667.924139999996</v>
      </c>
      <c r="R5" s="51">
        <f t="shared" ref="R5:AA5" si="8">SUM(R7:R22)</f>
        <v>29324.542999999998</v>
      </c>
      <c r="S5" s="51">
        <f t="shared" si="8"/>
        <v>35171.167999999998</v>
      </c>
      <c r="T5" s="60">
        <f t="shared" si="8"/>
        <v>22497.332999999999</v>
      </c>
      <c r="U5" s="51">
        <f t="shared" si="8"/>
        <v>26106.387999999999</v>
      </c>
      <c r="V5" s="51">
        <f t="shared" si="8"/>
        <v>71071.608999999997</v>
      </c>
      <c r="W5" s="51">
        <f t="shared" si="8"/>
        <v>76675.642000000007</v>
      </c>
      <c r="X5" s="51">
        <f t="shared" si="8"/>
        <v>91393.018000000011</v>
      </c>
      <c r="Y5" s="51">
        <f t="shared" si="8"/>
        <v>99160.755000000005</v>
      </c>
      <c r="Z5" s="51">
        <f t="shared" si="8"/>
        <v>102735.421</v>
      </c>
      <c r="AA5" s="51">
        <f t="shared" si="8"/>
        <v>53671.085999999996</v>
      </c>
      <c r="AB5" s="51">
        <f t="shared" ref="AB5:AD5" si="9">SUM(AB7:AB22)</f>
        <v>44085.962</v>
      </c>
      <c r="AC5" s="51">
        <f t="shared" si="9"/>
        <v>46597</v>
      </c>
      <c r="AD5" s="51">
        <f t="shared" si="9"/>
        <v>47241.978999999992</v>
      </c>
      <c r="AE5" s="51">
        <f t="shared" ref="AE5:AF5" si="10">SUM(AE7:AE22)</f>
        <v>50950.063000000002</v>
      </c>
      <c r="AF5" s="51">
        <f t="shared" si="10"/>
        <v>34490.889000000003</v>
      </c>
      <c r="AG5" s="51">
        <f t="shared" ref="AG5:AI5" si="11">SUM(AG7:AG22)</f>
        <v>54952.043000000005</v>
      </c>
      <c r="AH5" s="51">
        <f t="shared" si="11"/>
        <v>57154.356</v>
      </c>
      <c r="AI5" s="51">
        <f t="shared" si="11"/>
        <v>39882.970999999998</v>
      </c>
      <c r="AJ5" s="51">
        <f t="shared" ref="AJ5:AK5" si="12">SUM(AJ7:AJ22)</f>
        <v>0</v>
      </c>
      <c r="AK5" s="51">
        <f t="shared" si="12"/>
        <v>35943.324999999997</v>
      </c>
      <c r="AL5" s="51">
        <f t="shared" ref="AL5" si="13">SUM(AL7:AL22)</f>
        <v>36857.307000000001</v>
      </c>
    </row>
    <row r="6" spans="1:38" ht="12.75" customHeight="1">
      <c r="A6" s="6" t="s">
        <v>94</v>
      </c>
      <c r="J6" s="126"/>
      <c r="R6" s="18"/>
      <c r="T6" s="44"/>
      <c r="AA6" s="10">
        <v>0</v>
      </c>
      <c r="AH6" s="1">
        <v>0</v>
      </c>
      <c r="AI6" s="1">
        <v>0</v>
      </c>
    </row>
    <row r="7" spans="1:38" ht="12.75" customHeight="1">
      <c r="A7" s="1" t="s">
        <v>22</v>
      </c>
      <c r="B7" s="1">
        <f>1915+2604</f>
        <v>4519</v>
      </c>
      <c r="C7" s="1">
        <f>2067+2749</f>
        <v>4816</v>
      </c>
      <c r="D7" s="1">
        <f>2190+3195</f>
        <v>5385</v>
      </c>
      <c r="I7" s="1">
        <v>4413.808</v>
      </c>
      <c r="J7" s="126">
        <v>3395.3389999999999</v>
      </c>
      <c r="K7" s="1">
        <v>2432.4119999999998</v>
      </c>
      <c r="L7" s="1">
        <v>3919.4690000000001</v>
      </c>
      <c r="M7" s="1">
        <v>3209.23</v>
      </c>
      <c r="N7" s="1">
        <v>3184.2629999999999</v>
      </c>
      <c r="O7" s="1">
        <v>3246.3969999999999</v>
      </c>
      <c r="R7" s="24">
        <v>2618.9090000000001</v>
      </c>
      <c r="S7" s="1">
        <v>2796.6329999999998</v>
      </c>
      <c r="T7" s="44">
        <v>0</v>
      </c>
      <c r="U7" s="1">
        <v>0</v>
      </c>
      <c r="V7" s="1">
        <v>0</v>
      </c>
      <c r="W7" s="126">
        <v>0</v>
      </c>
      <c r="X7" s="126">
        <v>0</v>
      </c>
      <c r="Y7" s="126">
        <v>0</v>
      </c>
      <c r="Z7" s="126">
        <v>0</v>
      </c>
      <c r="AA7" s="126">
        <v>11805.13</v>
      </c>
      <c r="AB7" s="126">
        <v>0</v>
      </c>
      <c r="AC7" s="126">
        <v>0</v>
      </c>
      <c r="AG7" s="1">
        <v>50</v>
      </c>
      <c r="AH7" s="1">
        <v>0</v>
      </c>
      <c r="AI7" s="1">
        <v>0</v>
      </c>
      <c r="AK7" s="1">
        <v>0</v>
      </c>
      <c r="AL7" s="1">
        <v>0</v>
      </c>
    </row>
    <row r="8" spans="1:38" ht="12.75" customHeight="1">
      <c r="A8" s="1" t="s">
        <v>23</v>
      </c>
      <c r="B8" s="1">
        <v>0</v>
      </c>
      <c r="C8" s="1">
        <v>0</v>
      </c>
      <c r="D8" s="1">
        <v>0</v>
      </c>
      <c r="I8" s="1">
        <v>0</v>
      </c>
      <c r="J8" s="126">
        <v>0</v>
      </c>
      <c r="K8" s="1">
        <v>0</v>
      </c>
      <c r="L8" s="1">
        <v>0</v>
      </c>
      <c r="M8" s="1">
        <v>0</v>
      </c>
      <c r="N8" s="1">
        <v>0</v>
      </c>
      <c r="O8" s="1">
        <v>0</v>
      </c>
      <c r="R8" s="24">
        <v>1835.721</v>
      </c>
      <c r="S8" s="1">
        <v>1979.913</v>
      </c>
      <c r="T8" s="44">
        <v>2093.71</v>
      </c>
      <c r="U8" s="1">
        <v>4323.6580000000004</v>
      </c>
      <c r="V8" s="1">
        <v>4545.8919999999998</v>
      </c>
      <c r="W8" s="126">
        <v>4847.3639999999996</v>
      </c>
      <c r="X8" s="126">
        <v>5166.26</v>
      </c>
      <c r="Y8" s="126">
        <v>0</v>
      </c>
      <c r="Z8" s="126">
        <v>0</v>
      </c>
      <c r="AA8" s="126">
        <v>5753.2839999999997</v>
      </c>
      <c r="AB8" s="126">
        <v>5286.9080000000004</v>
      </c>
      <c r="AC8" s="126">
        <v>5397</v>
      </c>
      <c r="AD8" s="1">
        <v>5658.7950000000001</v>
      </c>
      <c r="AE8" s="1">
        <v>5508.8890000000001</v>
      </c>
      <c r="AF8" s="1">
        <v>5654.9880000000003</v>
      </c>
      <c r="AG8" s="1">
        <v>5839.6790000000001</v>
      </c>
      <c r="AH8" s="1">
        <v>5926.91</v>
      </c>
      <c r="AI8" s="1">
        <v>6147.2089999999998</v>
      </c>
      <c r="AK8" s="1">
        <v>6247.1850000000004</v>
      </c>
      <c r="AL8" s="1">
        <v>6398.3919999999998</v>
      </c>
    </row>
    <row r="9" spans="1:38" ht="12.75" customHeight="1">
      <c r="A9" s="1" t="s">
        <v>24</v>
      </c>
      <c r="D9" s="1">
        <v>0</v>
      </c>
      <c r="J9" s="126">
        <v>0</v>
      </c>
      <c r="M9" s="1">
        <v>0</v>
      </c>
      <c r="N9" s="1">
        <v>0</v>
      </c>
      <c r="O9" s="1">
        <v>0</v>
      </c>
      <c r="R9" s="24">
        <v>0</v>
      </c>
      <c r="S9" s="35">
        <v>0</v>
      </c>
      <c r="T9" s="45">
        <v>0</v>
      </c>
      <c r="U9" s="35">
        <v>0</v>
      </c>
      <c r="V9" s="35">
        <v>0</v>
      </c>
      <c r="W9" s="126">
        <v>0</v>
      </c>
      <c r="X9" s="126">
        <v>0</v>
      </c>
      <c r="Y9" s="126">
        <v>0</v>
      </c>
      <c r="Z9" s="126">
        <v>0</v>
      </c>
      <c r="AA9" s="126">
        <v>0</v>
      </c>
      <c r="AB9" s="126">
        <v>0</v>
      </c>
      <c r="AC9" s="126">
        <v>0</v>
      </c>
      <c r="AD9" s="1">
        <v>0</v>
      </c>
      <c r="AE9" s="1">
        <v>0</v>
      </c>
      <c r="AF9" s="1">
        <v>0</v>
      </c>
      <c r="AG9" s="1">
        <v>0</v>
      </c>
      <c r="AH9" s="1">
        <v>0</v>
      </c>
      <c r="AI9" s="1">
        <v>0</v>
      </c>
      <c r="AK9" s="1">
        <v>0</v>
      </c>
      <c r="AL9" s="1">
        <v>0</v>
      </c>
    </row>
    <row r="10" spans="1:38" ht="12.75" customHeight="1">
      <c r="A10" s="1" t="s">
        <v>25</v>
      </c>
      <c r="B10" s="1">
        <v>0</v>
      </c>
      <c r="C10" s="1">
        <v>0</v>
      </c>
      <c r="D10" s="1">
        <v>0</v>
      </c>
      <c r="I10" s="1">
        <v>0</v>
      </c>
      <c r="J10" s="126">
        <v>0</v>
      </c>
      <c r="K10" s="1">
        <v>0</v>
      </c>
      <c r="L10" s="1">
        <v>0</v>
      </c>
      <c r="M10" s="1">
        <v>0</v>
      </c>
      <c r="N10" s="1">
        <v>0</v>
      </c>
      <c r="O10" s="1">
        <v>0</v>
      </c>
      <c r="R10" s="24">
        <v>0</v>
      </c>
      <c r="S10" s="1">
        <v>0</v>
      </c>
      <c r="T10" s="44">
        <v>0</v>
      </c>
      <c r="U10" s="1">
        <v>0</v>
      </c>
      <c r="V10" s="1">
        <v>0</v>
      </c>
      <c r="W10" s="126">
        <v>0</v>
      </c>
      <c r="X10" s="126">
        <v>0</v>
      </c>
      <c r="Y10" s="126">
        <v>0</v>
      </c>
      <c r="Z10" s="126">
        <v>0</v>
      </c>
      <c r="AA10" s="126">
        <v>0</v>
      </c>
      <c r="AB10" s="126">
        <v>0</v>
      </c>
      <c r="AC10" s="126">
        <v>0</v>
      </c>
      <c r="AD10" s="1">
        <v>0</v>
      </c>
      <c r="AE10" s="1">
        <v>0</v>
      </c>
      <c r="AF10" s="1">
        <v>0</v>
      </c>
      <c r="AG10" s="1">
        <v>0</v>
      </c>
      <c r="AH10" s="1">
        <v>0</v>
      </c>
      <c r="AI10" s="1">
        <v>0</v>
      </c>
      <c r="AK10" s="1">
        <v>0</v>
      </c>
      <c r="AL10" s="1">
        <v>0</v>
      </c>
    </row>
    <row r="11" spans="1:38" ht="12.75" customHeight="1">
      <c r="A11" s="1" t="s">
        <v>26</v>
      </c>
      <c r="B11" s="1">
        <v>5773</v>
      </c>
      <c r="C11" s="1">
        <v>7093</v>
      </c>
      <c r="D11" s="1">
        <f>7208+0</f>
        <v>7208</v>
      </c>
      <c r="I11" s="1">
        <v>8760.2530000000006</v>
      </c>
      <c r="J11" s="126">
        <v>9734.5630000000001</v>
      </c>
      <c r="K11" s="1">
        <v>9877.7990000000009</v>
      </c>
      <c r="L11" s="1">
        <v>10430.201999999999</v>
      </c>
      <c r="M11" s="1">
        <v>9772.1669999999995</v>
      </c>
      <c r="N11" s="1">
        <v>10180.243</v>
      </c>
      <c r="O11" s="1">
        <v>10566.755999999999</v>
      </c>
      <c r="R11" s="24">
        <v>13730.72</v>
      </c>
      <c r="S11" s="1">
        <v>14568.977999999999</v>
      </c>
      <c r="T11" s="44">
        <v>0</v>
      </c>
      <c r="U11" s="1">
        <v>0</v>
      </c>
      <c r="V11" s="1">
        <v>0</v>
      </c>
      <c r="W11" s="126">
        <v>0</v>
      </c>
      <c r="X11" s="126">
        <v>0</v>
      </c>
      <c r="Y11" s="126">
        <v>0</v>
      </c>
      <c r="Z11" s="126">
        <v>0</v>
      </c>
      <c r="AA11" s="126">
        <v>0</v>
      </c>
      <c r="AB11" s="126">
        <v>0</v>
      </c>
      <c r="AC11" s="126">
        <v>0</v>
      </c>
      <c r="AD11" s="1">
        <v>0</v>
      </c>
      <c r="AE11" s="1">
        <v>0</v>
      </c>
      <c r="AF11" s="1">
        <v>0</v>
      </c>
      <c r="AG11" s="1">
        <v>0</v>
      </c>
      <c r="AH11" s="1">
        <v>0</v>
      </c>
      <c r="AI11" s="1">
        <v>0</v>
      </c>
      <c r="AK11" s="1">
        <v>0</v>
      </c>
      <c r="AL11" s="1">
        <v>0</v>
      </c>
    </row>
    <row r="12" spans="1:38" ht="12.75" customHeight="1">
      <c r="A12" s="1" t="s">
        <v>27</v>
      </c>
      <c r="B12" s="1">
        <v>2866</v>
      </c>
      <c r="C12" s="1">
        <v>2955</v>
      </c>
      <c r="D12" s="1">
        <v>3139</v>
      </c>
      <c r="I12" s="1">
        <v>4681.9089999999997</v>
      </c>
      <c r="J12" s="126">
        <v>4904.3339999999998</v>
      </c>
      <c r="K12" s="1">
        <v>4939.1509999999998</v>
      </c>
      <c r="L12" s="1">
        <v>5709.29</v>
      </c>
      <c r="M12" s="1">
        <v>5105.7650000000003</v>
      </c>
      <c r="N12" s="1">
        <v>6041.2439999999997</v>
      </c>
      <c r="O12" s="1">
        <v>6025.8059999999996</v>
      </c>
      <c r="R12" s="18">
        <v>7175.61</v>
      </c>
      <c r="S12" s="1">
        <v>7960.2539999999999</v>
      </c>
      <c r="T12" s="44">
        <v>8649.8150000000005</v>
      </c>
      <c r="U12" s="1">
        <v>9800.4560000000001</v>
      </c>
      <c r="V12" s="1">
        <v>10083.679</v>
      </c>
      <c r="W12" s="126">
        <v>11567.197</v>
      </c>
      <c r="X12" s="126">
        <v>11998.192999999999</v>
      </c>
      <c r="Y12" s="126">
        <v>12817.459000000001</v>
      </c>
      <c r="Z12" s="126">
        <v>14017.057000000001</v>
      </c>
      <c r="AA12" s="126">
        <v>14451.243</v>
      </c>
      <c r="AB12" s="126">
        <v>16393.806</v>
      </c>
      <c r="AC12" s="126">
        <v>18217</v>
      </c>
      <c r="AD12" s="1">
        <v>17456.580999999998</v>
      </c>
      <c r="AE12" s="1">
        <v>19311.605</v>
      </c>
      <c r="AF12" s="1">
        <v>20337.887999999999</v>
      </c>
      <c r="AG12" s="1">
        <v>21974.588</v>
      </c>
      <c r="AH12" s="1">
        <v>23716.534</v>
      </c>
      <c r="AI12" s="1">
        <v>24906.008000000002</v>
      </c>
      <c r="AK12" s="1">
        <v>26688.886999999999</v>
      </c>
      <c r="AL12" s="1">
        <v>27914.994999999999</v>
      </c>
    </row>
    <row r="13" spans="1:38" ht="12.75" customHeight="1">
      <c r="A13" s="1" t="s">
        <v>28</v>
      </c>
      <c r="B13" s="1">
        <v>317</v>
      </c>
      <c r="C13" s="1">
        <v>1094</v>
      </c>
      <c r="D13" s="1">
        <f>0+1152</f>
        <v>1152</v>
      </c>
      <c r="I13" s="1">
        <v>455.858</v>
      </c>
      <c r="J13" s="126">
        <v>445.48599999999999</v>
      </c>
      <c r="K13" s="1">
        <v>441.33300000000003</v>
      </c>
      <c r="L13" s="1">
        <v>449.31</v>
      </c>
      <c r="M13" s="1">
        <v>419.30200000000002</v>
      </c>
      <c r="N13" s="1">
        <v>414.03800000000001</v>
      </c>
      <c r="O13" s="1">
        <v>424.745</v>
      </c>
      <c r="R13" s="18">
        <v>477.73200000000003</v>
      </c>
      <c r="S13" s="1">
        <v>517.15099999999995</v>
      </c>
      <c r="T13" s="44">
        <v>0</v>
      </c>
      <c r="U13" s="1">
        <v>0</v>
      </c>
      <c r="V13" s="1">
        <v>0</v>
      </c>
      <c r="W13" s="126">
        <v>0</v>
      </c>
      <c r="X13" s="126">
        <v>0</v>
      </c>
      <c r="Y13" s="126">
        <v>0</v>
      </c>
      <c r="Z13" s="126">
        <v>0</v>
      </c>
      <c r="AA13" s="126">
        <v>0</v>
      </c>
      <c r="AB13" s="126">
        <v>0</v>
      </c>
      <c r="AC13" s="126">
        <v>0</v>
      </c>
      <c r="AD13" s="1">
        <v>0</v>
      </c>
      <c r="AE13" s="1">
        <v>0</v>
      </c>
      <c r="AF13" s="1">
        <v>0</v>
      </c>
      <c r="AG13" s="1">
        <v>0</v>
      </c>
      <c r="AH13" s="1">
        <v>0</v>
      </c>
      <c r="AI13" s="1">
        <v>0</v>
      </c>
      <c r="AK13" s="1">
        <v>0</v>
      </c>
      <c r="AL13" s="1">
        <v>0</v>
      </c>
    </row>
    <row r="14" spans="1:38" ht="12.75" customHeight="1">
      <c r="A14" s="1" t="s">
        <v>29</v>
      </c>
      <c r="B14" s="1">
        <v>0</v>
      </c>
      <c r="C14" s="1">
        <v>0</v>
      </c>
      <c r="D14" s="1">
        <f>0+0</f>
        <v>0</v>
      </c>
      <c r="I14" s="1">
        <v>0</v>
      </c>
      <c r="J14" s="126">
        <v>22.190999999999999</v>
      </c>
      <c r="K14" s="1">
        <v>0</v>
      </c>
      <c r="L14" s="1">
        <v>0</v>
      </c>
      <c r="M14" s="1">
        <v>0</v>
      </c>
      <c r="N14" s="1">
        <v>0</v>
      </c>
      <c r="O14" s="1">
        <v>0</v>
      </c>
      <c r="R14" s="18">
        <v>0</v>
      </c>
      <c r="S14" s="1">
        <v>0</v>
      </c>
      <c r="T14" s="44">
        <v>0</v>
      </c>
      <c r="U14" s="1">
        <v>0</v>
      </c>
      <c r="V14" s="1">
        <v>0</v>
      </c>
      <c r="W14" s="126">
        <v>0</v>
      </c>
      <c r="X14" s="126">
        <v>0</v>
      </c>
      <c r="Y14" s="126">
        <v>0</v>
      </c>
      <c r="Z14" s="126">
        <v>0</v>
      </c>
      <c r="AA14" s="126">
        <v>0</v>
      </c>
      <c r="AB14" s="126">
        <v>0</v>
      </c>
      <c r="AC14" s="126">
        <v>0</v>
      </c>
      <c r="AD14" s="1">
        <v>0</v>
      </c>
      <c r="AE14" s="1">
        <v>0</v>
      </c>
      <c r="AF14" s="1">
        <v>0</v>
      </c>
      <c r="AG14" s="1">
        <v>0</v>
      </c>
      <c r="AH14" s="1">
        <v>0</v>
      </c>
      <c r="AI14" s="1">
        <v>0</v>
      </c>
      <c r="AK14" s="1">
        <v>0</v>
      </c>
      <c r="AL14" s="1">
        <v>0</v>
      </c>
    </row>
    <row r="15" spans="1:38" ht="12.75" customHeight="1">
      <c r="A15" s="1" t="s">
        <v>30</v>
      </c>
      <c r="B15" s="1">
        <v>2373</v>
      </c>
      <c r="C15" s="1">
        <v>2578</v>
      </c>
      <c r="D15" s="1">
        <f>0+2796</f>
        <v>2796</v>
      </c>
      <c r="I15" s="1">
        <v>3294.3719999999998</v>
      </c>
      <c r="J15" s="126">
        <v>3263.7919999999999</v>
      </c>
      <c r="K15" s="1">
        <v>3099.7440000000001</v>
      </c>
      <c r="L15" s="1">
        <v>2382.5169999999998</v>
      </c>
      <c r="M15" s="1">
        <v>2494.489</v>
      </c>
      <c r="N15" s="1">
        <v>2618.567</v>
      </c>
      <c r="O15" s="1">
        <v>2577.1779999999999</v>
      </c>
      <c r="R15" s="18">
        <v>2882.4780000000001</v>
      </c>
      <c r="S15" s="1">
        <v>3020.9050000000002</v>
      </c>
      <c r="T15" s="44">
        <v>313.63900000000001</v>
      </c>
      <c r="U15" s="1">
        <v>157.5</v>
      </c>
      <c r="V15" s="1">
        <v>88.164000000000001</v>
      </c>
      <c r="W15" s="126">
        <v>0</v>
      </c>
      <c r="X15" s="126">
        <v>0</v>
      </c>
      <c r="Y15" s="126">
        <v>0</v>
      </c>
      <c r="Z15" s="126">
        <v>0</v>
      </c>
      <c r="AA15" s="126">
        <v>0</v>
      </c>
      <c r="AB15" s="126">
        <v>0</v>
      </c>
      <c r="AC15" s="126">
        <v>0</v>
      </c>
      <c r="AD15" s="1">
        <v>0</v>
      </c>
      <c r="AE15" s="1">
        <v>0</v>
      </c>
      <c r="AF15" s="1">
        <v>0</v>
      </c>
      <c r="AG15" s="1">
        <v>0</v>
      </c>
      <c r="AH15" s="1">
        <v>0</v>
      </c>
      <c r="AI15" s="1">
        <v>0</v>
      </c>
      <c r="AK15" s="1">
        <v>0</v>
      </c>
      <c r="AL15" s="1">
        <v>0</v>
      </c>
    </row>
    <row r="16" spans="1:38" ht="12.75" customHeight="1">
      <c r="A16" s="1" t="s">
        <v>31</v>
      </c>
      <c r="B16" s="1">
        <v>0</v>
      </c>
      <c r="C16" s="1">
        <v>0</v>
      </c>
      <c r="D16" s="1">
        <f>0+0</f>
        <v>0</v>
      </c>
      <c r="I16" s="1">
        <v>0</v>
      </c>
      <c r="J16" s="126">
        <v>1.5880000000000001</v>
      </c>
      <c r="K16" s="1">
        <v>0</v>
      </c>
      <c r="L16" s="1">
        <v>0</v>
      </c>
      <c r="M16" s="1">
        <v>0</v>
      </c>
      <c r="N16" s="1">
        <v>0</v>
      </c>
      <c r="O16" s="1">
        <v>0</v>
      </c>
      <c r="R16" s="18">
        <v>0</v>
      </c>
      <c r="S16" s="1">
        <v>0</v>
      </c>
      <c r="T16" s="44">
        <v>0</v>
      </c>
      <c r="U16" s="1">
        <v>0</v>
      </c>
      <c r="V16" s="1">
        <v>0</v>
      </c>
      <c r="W16" s="126">
        <v>0</v>
      </c>
      <c r="X16" s="126">
        <v>0</v>
      </c>
      <c r="Y16" s="126">
        <v>0</v>
      </c>
      <c r="Z16" s="126">
        <v>0</v>
      </c>
      <c r="AA16" s="126">
        <v>0</v>
      </c>
      <c r="AB16" s="126">
        <v>0</v>
      </c>
      <c r="AC16" s="126">
        <v>0</v>
      </c>
      <c r="AD16" s="1">
        <v>0</v>
      </c>
      <c r="AE16" s="1">
        <v>0</v>
      </c>
      <c r="AF16" s="1">
        <v>0</v>
      </c>
      <c r="AG16" s="1">
        <v>0</v>
      </c>
      <c r="AH16" s="1">
        <v>0</v>
      </c>
      <c r="AI16" s="1">
        <v>0</v>
      </c>
      <c r="AK16" s="1">
        <v>0</v>
      </c>
      <c r="AL16" s="1">
        <v>0</v>
      </c>
    </row>
    <row r="17" spans="1:38" ht="12.75" customHeight="1">
      <c r="A17" s="1" t="s">
        <v>32</v>
      </c>
      <c r="B17" s="1">
        <v>0</v>
      </c>
      <c r="C17" s="1">
        <v>0</v>
      </c>
      <c r="D17" s="1">
        <f>0+0</f>
        <v>0</v>
      </c>
      <c r="I17" s="1">
        <v>0</v>
      </c>
      <c r="J17" s="126">
        <v>0</v>
      </c>
      <c r="K17" s="1">
        <v>0</v>
      </c>
      <c r="L17" s="1">
        <v>0</v>
      </c>
      <c r="M17" s="1">
        <v>0</v>
      </c>
      <c r="N17" s="1">
        <v>0</v>
      </c>
      <c r="O17" s="1">
        <v>0</v>
      </c>
      <c r="R17" s="18">
        <v>0</v>
      </c>
      <c r="S17" s="1">
        <v>0</v>
      </c>
      <c r="T17" s="44">
        <v>0</v>
      </c>
      <c r="U17" s="1">
        <v>0</v>
      </c>
      <c r="V17" s="1">
        <v>0</v>
      </c>
      <c r="W17" s="126">
        <v>0</v>
      </c>
      <c r="X17" s="126">
        <v>0</v>
      </c>
      <c r="Y17" s="126">
        <v>5441.3230000000003</v>
      </c>
      <c r="Z17" s="126">
        <v>0</v>
      </c>
      <c r="AA17" s="126">
        <v>0</v>
      </c>
      <c r="AB17" s="126">
        <v>0</v>
      </c>
      <c r="AC17" s="126">
        <v>369</v>
      </c>
      <c r="AD17" s="1">
        <v>698.63800000000003</v>
      </c>
      <c r="AE17" s="1">
        <v>2424.0120000000002</v>
      </c>
      <c r="AF17" s="1">
        <v>2414.498</v>
      </c>
      <c r="AG17" s="1">
        <v>2275.85</v>
      </c>
      <c r="AH17" s="1">
        <v>2268.8110000000001</v>
      </c>
      <c r="AI17" s="1">
        <v>2171.33</v>
      </c>
      <c r="AK17" s="1">
        <v>2675.1089999999999</v>
      </c>
      <c r="AL17" s="1">
        <v>2172.3629999999998</v>
      </c>
    </row>
    <row r="18" spans="1:38" ht="12.75" customHeight="1">
      <c r="A18" s="1" t="s">
        <v>33</v>
      </c>
      <c r="B18" s="1">
        <v>3</v>
      </c>
      <c r="C18" s="1">
        <v>2</v>
      </c>
      <c r="D18" s="1">
        <f>2+0</f>
        <v>2</v>
      </c>
      <c r="I18" s="1">
        <v>0</v>
      </c>
      <c r="J18" s="126">
        <v>0</v>
      </c>
      <c r="L18" s="1">
        <v>0</v>
      </c>
      <c r="M18" s="1">
        <v>0</v>
      </c>
      <c r="N18" s="1">
        <v>0</v>
      </c>
      <c r="O18" s="1">
        <v>0</v>
      </c>
      <c r="R18" s="18">
        <v>0</v>
      </c>
      <c r="S18" s="1">
        <v>0</v>
      </c>
      <c r="T18" s="44">
        <v>312.16000000000003</v>
      </c>
      <c r="U18" s="1">
        <v>243.48</v>
      </c>
      <c r="V18" s="1">
        <v>218.06700000000001</v>
      </c>
      <c r="W18" s="126">
        <v>214.88900000000001</v>
      </c>
      <c r="X18" s="126">
        <v>338.53899999999999</v>
      </c>
      <c r="Y18" s="126">
        <v>315.07900000000001</v>
      </c>
      <c r="Z18" s="126">
        <v>233.67</v>
      </c>
      <c r="AA18" s="126">
        <v>209.65799999999999</v>
      </c>
      <c r="AB18" s="126">
        <v>434.39499999999998</v>
      </c>
      <c r="AC18" s="126">
        <v>238</v>
      </c>
      <c r="AD18" s="1">
        <v>313.125</v>
      </c>
      <c r="AE18" s="1">
        <v>294.58</v>
      </c>
      <c r="AF18" s="1">
        <v>376.875</v>
      </c>
      <c r="AG18" s="1">
        <v>393.32400000000001</v>
      </c>
      <c r="AH18" s="1">
        <v>407.77300000000002</v>
      </c>
      <c r="AI18" s="1">
        <v>404.75900000000001</v>
      </c>
      <c r="AK18" s="1">
        <v>332.14400000000001</v>
      </c>
      <c r="AL18" s="1">
        <v>371.55700000000002</v>
      </c>
    </row>
    <row r="19" spans="1:38" ht="12.75" customHeight="1">
      <c r="A19" s="1" t="s">
        <v>34</v>
      </c>
      <c r="B19" s="1">
        <v>0</v>
      </c>
      <c r="C19" s="1">
        <v>873</v>
      </c>
      <c r="D19" s="1">
        <f>0+37</f>
        <v>37</v>
      </c>
      <c r="I19" s="1">
        <v>1778.6969999999999</v>
      </c>
      <c r="J19" s="126">
        <v>50</v>
      </c>
      <c r="K19" s="1">
        <v>1867.4929999999999</v>
      </c>
      <c r="L19" s="1">
        <v>1934.58</v>
      </c>
      <c r="M19" s="1">
        <v>25</v>
      </c>
      <c r="N19" s="1">
        <v>2113.0329999999999</v>
      </c>
      <c r="O19" s="1">
        <v>2206.14014</v>
      </c>
      <c r="R19" s="24">
        <v>0</v>
      </c>
      <c r="S19" s="1">
        <v>3823.9360000000001</v>
      </c>
      <c r="T19" s="44">
        <v>3871.8490000000002</v>
      </c>
      <c r="U19" s="1">
        <v>3889.1559999999999</v>
      </c>
      <c r="V19" s="1">
        <v>0</v>
      </c>
      <c r="W19" s="126">
        <v>0</v>
      </c>
      <c r="X19" s="126">
        <v>4326.0889999999999</v>
      </c>
      <c r="Y19" s="126">
        <v>4749.1409999999996</v>
      </c>
      <c r="Z19" s="126">
        <v>5019.3580000000002</v>
      </c>
      <c r="AA19" s="126">
        <v>4971.4530000000004</v>
      </c>
      <c r="AB19" s="126">
        <v>5183.652</v>
      </c>
      <c r="AC19" s="126">
        <v>5327</v>
      </c>
      <c r="AD19" s="1">
        <v>5655.0860000000002</v>
      </c>
      <c r="AE19" s="1">
        <v>5683.81</v>
      </c>
      <c r="AF19" s="1">
        <v>5706.64</v>
      </c>
      <c r="AG19" s="1">
        <v>5974.4759999999997</v>
      </c>
      <c r="AH19" s="1">
        <v>6215.6629999999996</v>
      </c>
      <c r="AI19" s="1">
        <v>6253.665</v>
      </c>
      <c r="AK19" s="1">
        <v>0</v>
      </c>
      <c r="AL19" s="1">
        <v>0</v>
      </c>
    </row>
    <row r="20" spans="1:38" ht="12.75" customHeight="1">
      <c r="A20" s="1" t="s">
        <v>35</v>
      </c>
      <c r="B20" s="1">
        <v>0</v>
      </c>
      <c r="C20" s="1">
        <v>0</v>
      </c>
      <c r="D20" s="1">
        <f>0+0</f>
        <v>0</v>
      </c>
      <c r="I20" s="1">
        <v>26.927</v>
      </c>
      <c r="J20" s="126">
        <v>0</v>
      </c>
      <c r="K20" s="1">
        <v>0</v>
      </c>
      <c r="L20" s="1">
        <v>0</v>
      </c>
      <c r="M20" s="1">
        <v>0</v>
      </c>
      <c r="N20" s="1">
        <v>0</v>
      </c>
      <c r="O20" s="1">
        <v>0</v>
      </c>
      <c r="R20" s="18">
        <v>0</v>
      </c>
      <c r="S20" s="1">
        <v>0</v>
      </c>
      <c r="T20" s="44">
        <v>7256.16</v>
      </c>
      <c r="U20" s="1">
        <v>7692.1379999999999</v>
      </c>
      <c r="V20" s="1">
        <v>56135.807000000001</v>
      </c>
      <c r="W20" s="126">
        <v>60046.192000000003</v>
      </c>
      <c r="X20" s="126">
        <v>69563.937000000005</v>
      </c>
      <c r="Y20" s="126">
        <v>75837.752999999997</v>
      </c>
      <c r="Z20" s="126">
        <v>83465.335999999996</v>
      </c>
      <c r="AA20" s="126">
        <v>16480.317999999999</v>
      </c>
      <c r="AB20" s="126">
        <v>16787.201000000001</v>
      </c>
      <c r="AC20" s="126">
        <v>17049</v>
      </c>
      <c r="AD20" s="1">
        <v>17459.754000000001</v>
      </c>
      <c r="AE20" s="1">
        <v>17727.167000000001</v>
      </c>
      <c r="AF20" s="1">
        <v>0</v>
      </c>
      <c r="AG20" s="1">
        <v>18444.126</v>
      </c>
      <c r="AH20" s="1">
        <v>18618.665000000001</v>
      </c>
      <c r="AI20" s="1">
        <v>0</v>
      </c>
      <c r="AK20" s="1">
        <v>0</v>
      </c>
      <c r="AL20" s="1">
        <v>0</v>
      </c>
    </row>
    <row r="21" spans="1:38" ht="12.75" customHeight="1">
      <c r="A21" s="1" t="s">
        <v>36</v>
      </c>
      <c r="B21" s="1">
        <v>0</v>
      </c>
      <c r="D21" s="1">
        <f>0+0</f>
        <v>0</v>
      </c>
      <c r="I21" s="1">
        <v>0</v>
      </c>
      <c r="J21" s="126">
        <v>0</v>
      </c>
      <c r="K21" s="1">
        <v>0</v>
      </c>
      <c r="L21" s="1">
        <v>0</v>
      </c>
      <c r="M21" s="1">
        <v>0</v>
      </c>
      <c r="N21" s="1">
        <v>0</v>
      </c>
      <c r="O21" s="1">
        <v>0</v>
      </c>
      <c r="R21" s="18">
        <v>0</v>
      </c>
      <c r="S21" s="1">
        <v>0</v>
      </c>
      <c r="T21" s="44">
        <v>0</v>
      </c>
      <c r="U21" s="1">
        <v>0</v>
      </c>
      <c r="V21" s="1">
        <v>0</v>
      </c>
      <c r="W21" s="126">
        <v>0</v>
      </c>
      <c r="X21" s="126">
        <v>0</v>
      </c>
      <c r="Y21" s="126">
        <v>0</v>
      </c>
      <c r="Z21" s="126">
        <v>0</v>
      </c>
      <c r="AA21" s="126">
        <v>0</v>
      </c>
      <c r="AB21" s="126">
        <v>0</v>
      </c>
      <c r="AC21" s="126">
        <v>0</v>
      </c>
      <c r="AF21" s="1">
        <v>0</v>
      </c>
      <c r="AG21" s="1">
        <v>0</v>
      </c>
      <c r="AH21" s="1">
        <v>0</v>
      </c>
      <c r="AI21" s="1">
        <v>0</v>
      </c>
      <c r="AK21" s="1">
        <v>0</v>
      </c>
      <c r="AL21" s="1">
        <v>0</v>
      </c>
    </row>
    <row r="22" spans="1:38" ht="12.75" customHeight="1">
      <c r="A22" s="27" t="s">
        <v>37</v>
      </c>
      <c r="B22" s="27">
        <v>0</v>
      </c>
      <c r="C22" s="27">
        <v>0</v>
      </c>
      <c r="D22" s="27">
        <f>0+0</f>
        <v>0</v>
      </c>
      <c r="E22" s="27"/>
      <c r="F22" s="27"/>
      <c r="G22" s="27"/>
      <c r="H22" s="27"/>
      <c r="I22" s="27">
        <v>574.07799999999997</v>
      </c>
      <c r="J22" s="127">
        <v>676.43899999999996</v>
      </c>
      <c r="K22" s="27">
        <v>712.40700000000004</v>
      </c>
      <c r="L22" s="27">
        <v>615.202</v>
      </c>
      <c r="M22" s="27">
        <v>677.86699999999996</v>
      </c>
      <c r="N22" s="27">
        <v>627.41300000000001</v>
      </c>
      <c r="O22" s="27">
        <v>620.90200000000004</v>
      </c>
      <c r="P22" s="27"/>
      <c r="Q22" s="27"/>
      <c r="R22" s="27">
        <v>603.37300000000005</v>
      </c>
      <c r="S22" s="27">
        <v>503.39800000000002</v>
      </c>
      <c r="T22" s="61">
        <v>0</v>
      </c>
      <c r="U22" s="27">
        <v>0</v>
      </c>
      <c r="V22" s="27">
        <v>0</v>
      </c>
      <c r="W22" s="127">
        <v>0</v>
      </c>
      <c r="X22" s="127">
        <v>0</v>
      </c>
      <c r="Y22" s="127">
        <v>0</v>
      </c>
      <c r="Z22" s="127">
        <v>0</v>
      </c>
      <c r="AA22" s="127">
        <v>0</v>
      </c>
      <c r="AB22" s="127">
        <v>0</v>
      </c>
      <c r="AC22" s="127">
        <v>0</v>
      </c>
      <c r="AD22" s="27"/>
      <c r="AE22" s="27"/>
      <c r="AF22" s="27">
        <v>0</v>
      </c>
      <c r="AG22" s="27">
        <v>0</v>
      </c>
      <c r="AH22" s="27">
        <v>0</v>
      </c>
      <c r="AI22" s="27">
        <v>0</v>
      </c>
      <c r="AJ22" s="27"/>
      <c r="AK22" s="27">
        <v>0</v>
      </c>
      <c r="AL22" s="1">
        <v>0</v>
      </c>
    </row>
    <row r="23" spans="1:38" ht="12.75" customHeight="1">
      <c r="A23" s="6" t="s">
        <v>38</v>
      </c>
      <c r="J23" s="51">
        <f>SUM(J25:J37)</f>
        <v>5086.4560000000001</v>
      </c>
      <c r="M23" s="51">
        <f>SUM(M25:M37)</f>
        <v>6256.7020000000002</v>
      </c>
      <c r="O23" s="51">
        <f>SUM(O25:O37)</f>
        <v>6230.9298899999994</v>
      </c>
      <c r="R23" s="51">
        <f t="shared" ref="R23:AK23" si="14">SUM(R25:R37)</f>
        <v>9414.112000000001</v>
      </c>
      <c r="S23" s="51">
        <f t="shared" si="14"/>
        <v>7118.0390000000007</v>
      </c>
      <c r="T23" s="60">
        <f t="shared" si="14"/>
        <v>13473.001999999999</v>
      </c>
      <c r="U23" s="51">
        <f t="shared" si="14"/>
        <v>14097.880999999998</v>
      </c>
      <c r="V23" s="51">
        <f t="shared" si="14"/>
        <v>15443.197</v>
      </c>
      <c r="W23" s="51">
        <f t="shared" si="14"/>
        <v>18920.284</v>
      </c>
      <c r="X23" s="51">
        <f t="shared" si="14"/>
        <v>17303.507999999998</v>
      </c>
      <c r="Y23" s="51">
        <f t="shared" si="14"/>
        <v>22434.571</v>
      </c>
      <c r="Z23" s="51">
        <f t="shared" si="14"/>
        <v>22273.644</v>
      </c>
      <c r="AA23" s="51">
        <f t="shared" si="14"/>
        <v>5266.4570000000003</v>
      </c>
      <c r="AB23" s="51">
        <f t="shared" si="14"/>
        <v>6367.7470000000003</v>
      </c>
      <c r="AC23" s="51">
        <f t="shared" si="14"/>
        <v>7903</v>
      </c>
      <c r="AD23" s="51">
        <f t="shared" si="14"/>
        <v>8083.0029999999997</v>
      </c>
      <c r="AE23" s="51">
        <f t="shared" si="14"/>
        <v>9980.9419999999991</v>
      </c>
      <c r="AF23" s="51">
        <f t="shared" si="14"/>
        <v>9406.0680000000011</v>
      </c>
      <c r="AG23" s="51">
        <f t="shared" si="14"/>
        <v>9885.1880000000001</v>
      </c>
      <c r="AH23" s="51">
        <f t="shared" si="14"/>
        <v>86344.163</v>
      </c>
      <c r="AI23" s="51">
        <f t="shared" si="14"/>
        <v>160173.405</v>
      </c>
      <c r="AJ23" s="51">
        <f t="shared" si="14"/>
        <v>0</v>
      </c>
      <c r="AK23" s="51">
        <f t="shared" si="14"/>
        <v>168035.67800000001</v>
      </c>
      <c r="AL23" s="131">
        <f t="shared" ref="AL23" si="15">SUM(AL25:AL37)</f>
        <v>183774.82</v>
      </c>
    </row>
    <row r="24" spans="1:38" ht="12.75" customHeight="1">
      <c r="A24" s="6" t="s">
        <v>94</v>
      </c>
      <c r="T24" s="44"/>
      <c r="AA24" s="10">
        <v>0</v>
      </c>
      <c r="AF24" s="1">
        <v>0</v>
      </c>
      <c r="AG24" s="1">
        <f t="shared" ref="AG24:AG39" si="16">AF24/1000</f>
        <v>0</v>
      </c>
      <c r="AI24" s="1">
        <v>0</v>
      </c>
    </row>
    <row r="25" spans="1:38" ht="12.75" customHeight="1">
      <c r="A25" s="1" t="s">
        <v>39</v>
      </c>
      <c r="J25" s="126">
        <v>216.75399999999999</v>
      </c>
      <c r="M25" s="1">
        <v>34</v>
      </c>
      <c r="O25" s="1">
        <v>34</v>
      </c>
      <c r="R25" s="18">
        <v>60</v>
      </c>
      <c r="S25" s="1">
        <v>60</v>
      </c>
      <c r="T25" s="44">
        <v>60</v>
      </c>
      <c r="U25" s="1">
        <v>0</v>
      </c>
      <c r="V25" s="1">
        <v>0</v>
      </c>
      <c r="W25" s="126">
        <v>0</v>
      </c>
      <c r="X25" s="126">
        <v>0</v>
      </c>
      <c r="Y25" s="126">
        <v>0</v>
      </c>
      <c r="Z25" s="126">
        <v>0</v>
      </c>
      <c r="AA25" s="126">
        <v>0</v>
      </c>
      <c r="AB25" s="126">
        <v>0</v>
      </c>
      <c r="AC25" s="126">
        <v>0</v>
      </c>
      <c r="AE25" s="1">
        <v>0</v>
      </c>
      <c r="AF25" s="1">
        <v>0</v>
      </c>
      <c r="AG25" s="1">
        <v>0</v>
      </c>
      <c r="AI25" s="1">
        <v>0</v>
      </c>
      <c r="AK25" s="1">
        <v>800</v>
      </c>
      <c r="AL25" s="1">
        <v>868.35500000000002</v>
      </c>
    </row>
    <row r="26" spans="1:38" ht="12.75" customHeight="1">
      <c r="A26" s="1" t="s">
        <v>40</v>
      </c>
      <c r="J26" s="126">
        <v>0</v>
      </c>
      <c r="M26" s="1">
        <v>0</v>
      </c>
      <c r="O26" s="1">
        <v>0</v>
      </c>
      <c r="R26" s="18">
        <v>0</v>
      </c>
      <c r="S26" s="1">
        <v>0</v>
      </c>
      <c r="T26" s="44">
        <v>7850.8339999999998</v>
      </c>
      <c r="U26" s="1">
        <v>8519.9079999999994</v>
      </c>
      <c r="V26" s="1">
        <v>9564.1550000000007</v>
      </c>
      <c r="W26" s="126">
        <v>13475.254000000001</v>
      </c>
      <c r="X26" s="126">
        <v>11861.133</v>
      </c>
      <c r="Y26" s="126">
        <v>16912.965</v>
      </c>
      <c r="Z26" s="126">
        <v>16424.2</v>
      </c>
      <c r="AA26" s="126">
        <v>0</v>
      </c>
      <c r="AB26" s="126">
        <v>0</v>
      </c>
      <c r="AC26" s="126">
        <v>1141</v>
      </c>
      <c r="AD26" s="1">
        <v>1036</v>
      </c>
      <c r="AE26" s="1">
        <v>1155</v>
      </c>
      <c r="AF26" s="1">
        <v>1121</v>
      </c>
      <c r="AG26" s="1">
        <v>1027</v>
      </c>
      <c r="AH26" s="1">
        <v>972</v>
      </c>
      <c r="AI26" s="1">
        <v>1002</v>
      </c>
      <c r="AK26" s="1">
        <v>996</v>
      </c>
      <c r="AL26" s="1">
        <v>1034</v>
      </c>
    </row>
    <row r="27" spans="1:38" ht="12.75" customHeight="1">
      <c r="A27" s="1" t="s">
        <v>41</v>
      </c>
      <c r="J27" s="126">
        <v>0</v>
      </c>
      <c r="M27" s="1">
        <v>19</v>
      </c>
      <c r="O27" s="1">
        <v>0</v>
      </c>
      <c r="R27" s="18">
        <v>0</v>
      </c>
      <c r="S27" s="1">
        <v>0</v>
      </c>
      <c r="T27" s="44">
        <v>0</v>
      </c>
      <c r="U27" s="1">
        <v>0</v>
      </c>
      <c r="V27" s="1">
        <v>0</v>
      </c>
      <c r="W27" s="126">
        <v>0</v>
      </c>
      <c r="X27" s="126">
        <v>0</v>
      </c>
      <c r="Y27" s="126">
        <v>0</v>
      </c>
      <c r="Z27" s="126">
        <v>0</v>
      </c>
      <c r="AA27" s="126">
        <v>0</v>
      </c>
      <c r="AB27" s="126">
        <v>0</v>
      </c>
      <c r="AC27" s="126">
        <v>0</v>
      </c>
      <c r="AD27" s="1">
        <v>0</v>
      </c>
      <c r="AE27" s="1">
        <v>0</v>
      </c>
      <c r="AF27" s="1">
        <v>0</v>
      </c>
      <c r="AG27" s="1">
        <v>0</v>
      </c>
      <c r="AH27" s="111">
        <v>26075.185000000001</v>
      </c>
      <c r="AI27" s="1">
        <v>0</v>
      </c>
      <c r="AK27" s="1">
        <v>0</v>
      </c>
      <c r="AL27" s="1">
        <v>0</v>
      </c>
    </row>
    <row r="28" spans="1:38" ht="12.75" customHeight="1">
      <c r="A28" s="1" t="s">
        <v>42</v>
      </c>
      <c r="J28" s="126">
        <v>0</v>
      </c>
      <c r="M28" s="1">
        <v>260</v>
      </c>
      <c r="O28" s="1">
        <v>267.92289</v>
      </c>
      <c r="R28" s="18">
        <v>0</v>
      </c>
      <c r="S28" s="1">
        <v>0</v>
      </c>
      <c r="T28" s="44">
        <v>0</v>
      </c>
      <c r="U28" s="1">
        <v>0</v>
      </c>
      <c r="V28" s="1">
        <v>0</v>
      </c>
      <c r="W28" s="126">
        <v>0</v>
      </c>
      <c r="X28" s="126">
        <v>0</v>
      </c>
      <c r="Y28" s="126">
        <v>0</v>
      </c>
      <c r="Z28" s="126">
        <v>0</v>
      </c>
      <c r="AA28" s="126">
        <v>0</v>
      </c>
      <c r="AB28" s="126">
        <v>0</v>
      </c>
      <c r="AC28" s="126">
        <v>0</v>
      </c>
      <c r="AD28" s="1">
        <v>0</v>
      </c>
      <c r="AE28" s="1">
        <v>0</v>
      </c>
      <c r="AF28" s="1">
        <v>0</v>
      </c>
      <c r="AG28" s="1">
        <v>0</v>
      </c>
      <c r="AH28" s="111">
        <v>48875.514000000003</v>
      </c>
      <c r="AI28" s="1">
        <v>44884.061999999998</v>
      </c>
      <c r="AK28" s="1">
        <v>47577.258999999998</v>
      </c>
      <c r="AL28" s="1">
        <v>53313.048999999999</v>
      </c>
    </row>
    <row r="29" spans="1:38" ht="12.75" customHeight="1">
      <c r="A29" s="1" t="s">
        <v>43</v>
      </c>
      <c r="J29" s="126">
        <v>0</v>
      </c>
      <c r="M29" s="1">
        <v>0</v>
      </c>
      <c r="O29" s="1">
        <v>0</v>
      </c>
      <c r="R29" s="18">
        <v>0</v>
      </c>
      <c r="S29" s="1">
        <v>0</v>
      </c>
      <c r="T29" s="44">
        <v>0</v>
      </c>
      <c r="U29" s="1">
        <v>0</v>
      </c>
      <c r="V29" s="1">
        <v>0</v>
      </c>
      <c r="W29" s="126">
        <v>0</v>
      </c>
      <c r="X29" s="126">
        <v>0</v>
      </c>
      <c r="Y29" s="126">
        <v>0</v>
      </c>
      <c r="Z29" s="126">
        <v>0</v>
      </c>
      <c r="AA29" s="126">
        <v>0</v>
      </c>
      <c r="AB29" s="126">
        <v>0</v>
      </c>
      <c r="AC29" s="126">
        <v>0</v>
      </c>
      <c r="AD29" s="1">
        <v>0</v>
      </c>
      <c r="AE29" s="1">
        <v>0</v>
      </c>
      <c r="AF29" s="1">
        <v>0</v>
      </c>
      <c r="AG29" s="1">
        <v>0</v>
      </c>
      <c r="AH29" s="1">
        <v>0</v>
      </c>
      <c r="AI29" s="1">
        <v>0</v>
      </c>
      <c r="AK29" s="1">
        <v>0</v>
      </c>
      <c r="AL29" s="1">
        <v>0</v>
      </c>
    </row>
    <row r="30" spans="1:38" ht="12.75" customHeight="1">
      <c r="A30" s="1" t="s">
        <v>44</v>
      </c>
      <c r="J30" s="126">
        <v>0</v>
      </c>
      <c r="M30" s="1">
        <v>0</v>
      </c>
      <c r="O30" s="1">
        <v>0</v>
      </c>
      <c r="R30" s="18">
        <v>0</v>
      </c>
      <c r="S30" s="1">
        <v>0</v>
      </c>
      <c r="T30" s="44">
        <v>0</v>
      </c>
      <c r="U30" s="1">
        <v>0</v>
      </c>
      <c r="V30" s="1">
        <v>0</v>
      </c>
      <c r="W30" s="126">
        <v>0</v>
      </c>
      <c r="X30" s="126">
        <v>0</v>
      </c>
      <c r="Y30" s="126">
        <v>0</v>
      </c>
      <c r="Z30" s="126">
        <v>0</v>
      </c>
      <c r="AA30" s="126">
        <v>0</v>
      </c>
      <c r="AB30" s="126">
        <v>0</v>
      </c>
      <c r="AC30" s="126">
        <v>0</v>
      </c>
      <c r="AD30" s="1">
        <v>0</v>
      </c>
      <c r="AE30" s="1">
        <v>0</v>
      </c>
      <c r="AF30" s="1">
        <v>0</v>
      </c>
      <c r="AG30" s="1">
        <v>0</v>
      </c>
      <c r="AH30" s="1">
        <v>0</v>
      </c>
      <c r="AI30" s="1">
        <v>0</v>
      </c>
      <c r="AK30" s="1">
        <v>0</v>
      </c>
      <c r="AL30" s="1">
        <v>0</v>
      </c>
    </row>
    <row r="31" spans="1:38" ht="12.75" customHeight="1">
      <c r="A31" s="1" t="s">
        <v>45</v>
      </c>
      <c r="J31" s="126">
        <v>0</v>
      </c>
      <c r="M31" s="1">
        <v>0</v>
      </c>
      <c r="O31" s="1">
        <v>0</v>
      </c>
      <c r="R31" s="24">
        <v>0</v>
      </c>
      <c r="S31" s="1">
        <v>0</v>
      </c>
      <c r="T31" s="44">
        <v>0</v>
      </c>
      <c r="U31" s="1">
        <v>0</v>
      </c>
      <c r="V31" s="1">
        <v>0</v>
      </c>
      <c r="W31" s="126">
        <v>0</v>
      </c>
      <c r="X31" s="126">
        <v>0</v>
      </c>
      <c r="Y31" s="126">
        <v>0</v>
      </c>
      <c r="Z31" s="126">
        <v>0</v>
      </c>
      <c r="AA31" s="126">
        <v>0</v>
      </c>
      <c r="AB31" s="126">
        <v>0</v>
      </c>
      <c r="AC31" s="126">
        <v>0</v>
      </c>
      <c r="AD31" s="1">
        <v>0</v>
      </c>
      <c r="AF31" s="1">
        <v>89.77</v>
      </c>
      <c r="AG31" s="1">
        <v>356.173</v>
      </c>
      <c r="AH31" s="1">
        <v>416.60199999999998</v>
      </c>
      <c r="AI31" s="1">
        <v>431.99799999999999</v>
      </c>
      <c r="AK31" s="1">
        <v>518.654</v>
      </c>
      <c r="AL31" s="1">
        <v>522.97299999999996</v>
      </c>
    </row>
    <row r="32" spans="1:38" ht="12.75" customHeight="1">
      <c r="A32" s="1" t="s">
        <v>46</v>
      </c>
      <c r="J32" s="126">
        <v>0</v>
      </c>
      <c r="M32" s="1">
        <v>0</v>
      </c>
      <c r="O32" s="1">
        <v>0</v>
      </c>
      <c r="R32" s="24">
        <v>0</v>
      </c>
      <c r="S32" s="1">
        <v>0</v>
      </c>
      <c r="T32" s="44">
        <v>0</v>
      </c>
      <c r="U32" s="1">
        <v>0</v>
      </c>
      <c r="V32" s="1">
        <v>0</v>
      </c>
      <c r="W32" s="126">
        <v>0</v>
      </c>
      <c r="X32" s="126">
        <v>0</v>
      </c>
      <c r="Y32" s="126">
        <v>0</v>
      </c>
      <c r="Z32" s="126">
        <v>0</v>
      </c>
      <c r="AA32" s="126">
        <v>0</v>
      </c>
      <c r="AB32" s="126">
        <v>0</v>
      </c>
      <c r="AC32" s="126">
        <v>0</v>
      </c>
      <c r="AD32" s="1">
        <v>0</v>
      </c>
      <c r="AF32" s="1">
        <v>0</v>
      </c>
      <c r="AG32" s="1">
        <v>0</v>
      </c>
      <c r="AH32" s="1">
        <v>0</v>
      </c>
      <c r="AI32" s="1">
        <v>0</v>
      </c>
      <c r="AK32" s="1">
        <v>0</v>
      </c>
      <c r="AL32" s="1">
        <v>0</v>
      </c>
    </row>
    <row r="33" spans="1:38" ht="12.75" customHeight="1">
      <c r="A33" s="1" t="s">
        <v>47</v>
      </c>
      <c r="J33" s="126">
        <v>1756.441</v>
      </c>
      <c r="M33" s="1">
        <v>2423.1770000000001</v>
      </c>
      <c r="O33" s="1">
        <v>1893.2629999999999</v>
      </c>
      <c r="R33" s="24">
        <v>4960.2120000000004</v>
      </c>
      <c r="S33" s="1">
        <v>2571.6579999999999</v>
      </c>
      <c r="T33" s="44">
        <v>517.79499999999996</v>
      </c>
      <c r="U33" s="1">
        <v>540.52300000000002</v>
      </c>
      <c r="V33" s="1">
        <v>769.95100000000002</v>
      </c>
      <c r="W33" s="126">
        <v>611.34500000000003</v>
      </c>
      <c r="X33" s="126">
        <v>0</v>
      </c>
      <c r="Y33" s="126">
        <v>0</v>
      </c>
      <c r="Z33" s="126">
        <v>0</v>
      </c>
      <c r="AA33" s="126">
        <v>0</v>
      </c>
      <c r="AB33" s="126">
        <v>0</v>
      </c>
      <c r="AC33" s="126">
        <v>0</v>
      </c>
      <c r="AD33" s="1">
        <v>0</v>
      </c>
      <c r="AE33" s="1">
        <v>1500</v>
      </c>
      <c r="AF33" s="1">
        <v>0</v>
      </c>
      <c r="AG33" s="1">
        <v>0</v>
      </c>
      <c r="AH33" s="1">
        <v>0</v>
      </c>
      <c r="AI33" s="111">
        <v>102906.69100000001</v>
      </c>
      <c r="AK33" s="1">
        <v>105794.58</v>
      </c>
      <c r="AL33" s="1">
        <v>115084.81600000001</v>
      </c>
    </row>
    <row r="34" spans="1:38" ht="12.75" customHeight="1">
      <c r="A34" s="1" t="s">
        <v>48</v>
      </c>
      <c r="J34" s="126">
        <v>3113.261</v>
      </c>
      <c r="M34" s="1">
        <v>3520.5250000000001</v>
      </c>
      <c r="O34" s="1">
        <v>4035.7440000000001</v>
      </c>
      <c r="R34" s="18">
        <v>4393.8999999999996</v>
      </c>
      <c r="S34" s="1">
        <v>4486.3810000000003</v>
      </c>
      <c r="T34" s="44">
        <v>5044.3729999999996</v>
      </c>
      <c r="U34" s="1">
        <v>5037.45</v>
      </c>
      <c r="V34" s="1">
        <v>5109.0910000000003</v>
      </c>
      <c r="W34" s="126">
        <v>4833.6850000000004</v>
      </c>
      <c r="X34" s="126">
        <v>5409.34</v>
      </c>
      <c r="Y34" s="126">
        <v>5521.6059999999998</v>
      </c>
      <c r="Z34" s="126">
        <v>5849.4440000000004</v>
      </c>
      <c r="AA34" s="126">
        <v>5266.4570000000003</v>
      </c>
      <c r="AB34" s="126">
        <v>6367.7470000000003</v>
      </c>
      <c r="AC34" s="126">
        <v>6762</v>
      </c>
      <c r="AD34" s="1">
        <v>7047.0029999999997</v>
      </c>
      <c r="AE34" s="1">
        <v>7325.942</v>
      </c>
      <c r="AF34" s="1">
        <v>8195.2980000000007</v>
      </c>
      <c r="AG34" s="1">
        <v>8502.0149999999994</v>
      </c>
      <c r="AH34" s="1">
        <v>10004.861999999999</v>
      </c>
      <c r="AI34" s="1">
        <v>10948.654</v>
      </c>
      <c r="AK34" s="1">
        <v>12349.184999999999</v>
      </c>
      <c r="AL34" s="1">
        <v>12951.627</v>
      </c>
    </row>
    <row r="35" spans="1:38" ht="12.75" customHeight="1">
      <c r="A35" s="1" t="s">
        <v>49</v>
      </c>
      <c r="J35" s="126">
        <v>0</v>
      </c>
      <c r="M35" s="1">
        <v>0</v>
      </c>
      <c r="O35" s="1">
        <v>0</v>
      </c>
      <c r="R35" s="18">
        <v>0</v>
      </c>
      <c r="S35" s="1">
        <v>0</v>
      </c>
      <c r="T35" s="44">
        <v>0</v>
      </c>
      <c r="U35" s="1">
        <v>0</v>
      </c>
      <c r="V35" s="1">
        <v>0</v>
      </c>
      <c r="W35" s="126">
        <v>0</v>
      </c>
      <c r="X35" s="126">
        <v>0</v>
      </c>
      <c r="Y35" s="126">
        <v>0</v>
      </c>
      <c r="Z35" s="126">
        <v>0</v>
      </c>
      <c r="AA35" s="126">
        <v>0</v>
      </c>
      <c r="AB35" s="126">
        <v>0</v>
      </c>
      <c r="AC35" s="126">
        <v>0</v>
      </c>
      <c r="AF35" s="1">
        <v>0</v>
      </c>
      <c r="AG35" s="1">
        <v>0</v>
      </c>
      <c r="AI35" s="1">
        <v>0</v>
      </c>
      <c r="AK35" s="1">
        <v>0</v>
      </c>
      <c r="AL35" s="1">
        <v>0</v>
      </c>
    </row>
    <row r="36" spans="1:38" ht="12.75" customHeight="1">
      <c r="A36" s="1" t="s">
        <v>50</v>
      </c>
      <c r="J36" s="126">
        <v>0</v>
      </c>
      <c r="M36" s="1">
        <v>0</v>
      </c>
      <c r="O36" s="1">
        <v>0</v>
      </c>
      <c r="R36" s="18">
        <v>0</v>
      </c>
      <c r="S36" s="1">
        <v>0</v>
      </c>
      <c r="T36" s="44">
        <v>0</v>
      </c>
      <c r="U36" s="1">
        <v>0</v>
      </c>
      <c r="V36" s="1">
        <v>0</v>
      </c>
      <c r="W36" s="126">
        <v>0</v>
      </c>
      <c r="X36" s="126">
        <v>33.034999999999997</v>
      </c>
      <c r="Y36" s="126">
        <v>0</v>
      </c>
      <c r="Z36" s="126">
        <v>0</v>
      </c>
      <c r="AA36" s="126">
        <v>0</v>
      </c>
      <c r="AB36" s="126">
        <v>0</v>
      </c>
      <c r="AC36" s="126">
        <v>0</v>
      </c>
      <c r="AF36" s="1">
        <v>0</v>
      </c>
      <c r="AG36" s="1">
        <v>0</v>
      </c>
      <c r="AI36" s="1">
        <v>0</v>
      </c>
      <c r="AK36" s="1">
        <v>0</v>
      </c>
      <c r="AL36" s="1">
        <v>0</v>
      </c>
    </row>
    <row r="37" spans="1:38" ht="12.75" customHeight="1">
      <c r="A37" s="27" t="s">
        <v>51</v>
      </c>
      <c r="B37" s="27"/>
      <c r="C37" s="27"/>
      <c r="D37" s="27"/>
      <c r="E37" s="27"/>
      <c r="F37" s="27"/>
      <c r="G37" s="27"/>
      <c r="H37" s="27"/>
      <c r="I37" s="27"/>
      <c r="J37" s="127">
        <v>0</v>
      </c>
      <c r="K37" s="27"/>
      <c r="L37" s="27"/>
      <c r="M37" s="27">
        <v>0</v>
      </c>
      <c r="N37" s="27"/>
      <c r="O37" s="27">
        <v>0</v>
      </c>
      <c r="P37" s="27"/>
      <c r="Q37" s="27"/>
      <c r="R37" s="37">
        <v>0</v>
      </c>
      <c r="S37" s="27">
        <v>0</v>
      </c>
      <c r="T37" s="61">
        <v>0</v>
      </c>
      <c r="U37" s="27">
        <v>0</v>
      </c>
      <c r="V37" s="27">
        <v>0</v>
      </c>
      <c r="W37" s="127">
        <v>0</v>
      </c>
      <c r="X37" s="127">
        <v>0</v>
      </c>
      <c r="Y37" s="127">
        <v>0</v>
      </c>
      <c r="Z37" s="127">
        <v>0</v>
      </c>
      <c r="AA37" s="127">
        <v>0</v>
      </c>
      <c r="AB37" s="127">
        <v>0</v>
      </c>
      <c r="AC37" s="127">
        <v>0</v>
      </c>
      <c r="AD37" s="27"/>
      <c r="AE37" s="27"/>
      <c r="AF37" s="27">
        <v>0</v>
      </c>
      <c r="AG37" s="27">
        <v>0</v>
      </c>
      <c r="AH37" s="27"/>
      <c r="AI37" s="27">
        <v>0</v>
      </c>
      <c r="AJ37" s="27"/>
      <c r="AK37" s="27">
        <v>0</v>
      </c>
      <c r="AL37" s="1">
        <v>0</v>
      </c>
    </row>
    <row r="38" spans="1:38" ht="12.75" customHeight="1">
      <c r="A38" s="6" t="s">
        <v>52</v>
      </c>
      <c r="J38" s="51">
        <f>SUM(J40:J51)</f>
        <v>21369.254999999997</v>
      </c>
      <c r="M38" s="51">
        <f>SUM(M40:M51)</f>
        <v>39755.406000000003</v>
      </c>
      <c r="O38" s="51">
        <f>SUM(O40:O51)</f>
        <v>27508.368000000002</v>
      </c>
      <c r="R38" s="51">
        <f t="shared" ref="R38:AF38" si="17">SUM(R40:R51)</f>
        <v>46644.945999999996</v>
      </c>
      <c r="S38" s="51">
        <f t="shared" si="17"/>
        <v>46318.861000000004</v>
      </c>
      <c r="T38" s="60">
        <f t="shared" si="17"/>
        <v>31081.023000000001</v>
      </c>
      <c r="U38" s="51">
        <f t="shared" si="17"/>
        <v>32049.979000000003</v>
      </c>
      <c r="V38" s="51">
        <f t="shared" si="17"/>
        <v>28984.877000000004</v>
      </c>
      <c r="W38" s="51">
        <f t="shared" si="17"/>
        <v>33599.019</v>
      </c>
      <c r="X38" s="51">
        <f t="shared" si="17"/>
        <v>31462.928</v>
      </c>
      <c r="Y38" s="51">
        <f t="shared" si="17"/>
        <v>111981.899</v>
      </c>
      <c r="Z38" s="51">
        <f t="shared" si="17"/>
        <v>118553.898</v>
      </c>
      <c r="AA38" s="51">
        <f t="shared" si="17"/>
        <v>124151.28099999999</v>
      </c>
      <c r="AB38" s="51">
        <f t="shared" si="17"/>
        <v>29896.52</v>
      </c>
      <c r="AC38" s="51">
        <f t="shared" si="17"/>
        <v>33279</v>
      </c>
      <c r="AD38" s="51">
        <f t="shared" si="17"/>
        <v>35703.555</v>
      </c>
      <c r="AE38" s="51">
        <f t="shared" si="17"/>
        <v>49746.817999999999</v>
      </c>
      <c r="AF38" s="51">
        <f t="shared" si="17"/>
        <v>51021.018000000004</v>
      </c>
      <c r="AG38" s="51">
        <f>SUM(AG40:AG51)</f>
        <v>55113.749000000003</v>
      </c>
      <c r="AH38" s="51">
        <f>SUM(AH40:AH51)</f>
        <v>55575.290999999997</v>
      </c>
      <c r="AI38" s="51">
        <f>SUM(AI40:AI51)</f>
        <v>53222.578000000001</v>
      </c>
      <c r="AJ38" s="51">
        <f t="shared" ref="AJ38:AL38" si="18">SUM(AJ40:AJ51)</f>
        <v>0</v>
      </c>
      <c r="AK38" s="51">
        <f t="shared" si="18"/>
        <v>58799.864999999998</v>
      </c>
      <c r="AL38" s="131">
        <f t="shared" si="18"/>
        <v>60310.318999999996</v>
      </c>
    </row>
    <row r="39" spans="1:38" ht="12.75" customHeight="1">
      <c r="A39" s="6" t="s">
        <v>94</v>
      </c>
      <c r="T39" s="44"/>
      <c r="AA39" s="10">
        <v>0</v>
      </c>
      <c r="AF39" s="1">
        <v>0</v>
      </c>
      <c r="AG39" s="1">
        <f t="shared" si="16"/>
        <v>0</v>
      </c>
      <c r="AI39" s="1">
        <v>0</v>
      </c>
    </row>
    <row r="40" spans="1:38" ht="12.75" customHeight="1">
      <c r="A40" s="1" t="s">
        <v>53</v>
      </c>
      <c r="J40" s="126">
        <v>0</v>
      </c>
      <c r="M40" s="1">
        <v>0</v>
      </c>
      <c r="O40" s="1">
        <v>0</v>
      </c>
      <c r="R40" s="18">
        <v>0</v>
      </c>
      <c r="S40" s="1">
        <v>0</v>
      </c>
      <c r="T40" s="44">
        <v>0</v>
      </c>
      <c r="U40" s="1">
        <v>0</v>
      </c>
      <c r="V40" s="1">
        <v>0</v>
      </c>
      <c r="W40" s="126">
        <v>0</v>
      </c>
      <c r="X40" s="126">
        <v>0</v>
      </c>
      <c r="Y40" s="126">
        <v>0</v>
      </c>
      <c r="Z40" s="126">
        <v>0</v>
      </c>
      <c r="AA40" s="126">
        <v>0</v>
      </c>
      <c r="AB40" s="126">
        <v>0</v>
      </c>
      <c r="AC40" s="126">
        <v>0</v>
      </c>
      <c r="AF40" s="1">
        <v>0</v>
      </c>
      <c r="AG40" s="1">
        <v>0</v>
      </c>
      <c r="AI40" s="1">
        <v>0</v>
      </c>
      <c r="AK40" s="1">
        <v>0</v>
      </c>
      <c r="AL40" s="1">
        <v>0</v>
      </c>
    </row>
    <row r="41" spans="1:38" ht="12.75" customHeight="1">
      <c r="A41" s="1" t="s">
        <v>54</v>
      </c>
      <c r="J41" s="126">
        <v>1687.2139999999999</v>
      </c>
      <c r="M41" s="1">
        <v>2382.3490000000002</v>
      </c>
      <c r="O41" s="1">
        <v>3408.0030000000002</v>
      </c>
      <c r="R41" s="18">
        <v>6419.8819999999996</v>
      </c>
      <c r="S41" s="1">
        <v>6190.402</v>
      </c>
      <c r="T41" s="44">
        <v>6402.6369999999997</v>
      </c>
      <c r="U41" s="1">
        <v>6538.8919999999998</v>
      </c>
      <c r="V41" s="1">
        <v>6600.0230000000001</v>
      </c>
      <c r="W41" s="126">
        <v>6992.1180000000004</v>
      </c>
      <c r="X41" s="126">
        <v>7378.71</v>
      </c>
      <c r="Y41" s="126">
        <v>7460.3509999999997</v>
      </c>
      <c r="Z41" s="126">
        <v>7861.8190000000004</v>
      </c>
      <c r="AA41" s="126">
        <v>9486.2890000000007</v>
      </c>
      <c r="AB41" s="126">
        <v>6931.9589999999998</v>
      </c>
      <c r="AC41" s="126">
        <v>7951</v>
      </c>
      <c r="AD41" s="1">
        <v>9011.67</v>
      </c>
      <c r="AE41" s="1">
        <v>8241.4580000000005</v>
      </c>
      <c r="AF41" s="1">
        <v>7760.4679999999998</v>
      </c>
      <c r="AG41" s="1">
        <v>8282.7939999999999</v>
      </c>
      <c r="AH41" s="1">
        <v>8501.4889999999996</v>
      </c>
      <c r="AI41" s="1">
        <v>4514.0190000000002</v>
      </c>
      <c r="AK41" s="1">
        <v>9049.9660000000003</v>
      </c>
      <c r="AL41" s="1">
        <v>9509.3029999999999</v>
      </c>
    </row>
    <row r="42" spans="1:38" ht="12.75" customHeight="1">
      <c r="A42" s="1" t="s">
        <v>55</v>
      </c>
      <c r="J42" s="126">
        <v>0</v>
      </c>
      <c r="M42" s="1">
        <v>0</v>
      </c>
      <c r="O42" s="1">
        <v>0</v>
      </c>
      <c r="R42" s="18">
        <v>0</v>
      </c>
      <c r="S42" s="1">
        <v>0</v>
      </c>
      <c r="T42" s="44">
        <v>0</v>
      </c>
      <c r="U42" s="1">
        <v>0</v>
      </c>
      <c r="V42" s="1">
        <v>0</v>
      </c>
      <c r="W42" s="126">
        <v>0</v>
      </c>
      <c r="X42" s="126">
        <v>0</v>
      </c>
      <c r="Y42" s="126">
        <v>0</v>
      </c>
      <c r="Z42" s="126">
        <v>0</v>
      </c>
      <c r="AA42" s="126">
        <v>0</v>
      </c>
      <c r="AB42" s="126">
        <v>0</v>
      </c>
      <c r="AC42" s="126">
        <v>0</v>
      </c>
      <c r="AD42" s="1">
        <v>0</v>
      </c>
      <c r="AE42" s="1">
        <v>0</v>
      </c>
      <c r="AF42" s="1">
        <v>0</v>
      </c>
      <c r="AG42" s="1">
        <v>0</v>
      </c>
      <c r="AH42" s="1">
        <v>0</v>
      </c>
      <c r="AI42" s="1">
        <v>0</v>
      </c>
      <c r="AK42" s="1">
        <v>0</v>
      </c>
      <c r="AL42" s="1">
        <v>0</v>
      </c>
    </row>
    <row r="43" spans="1:38" ht="12.75" customHeight="1">
      <c r="A43" s="1" t="s">
        <v>56</v>
      </c>
      <c r="J43" s="126">
        <v>8099.3329999999996</v>
      </c>
      <c r="M43" s="1">
        <v>8389.3549999999996</v>
      </c>
      <c r="O43" s="1">
        <v>9451.0139999999992</v>
      </c>
      <c r="R43" s="18">
        <v>22387.447</v>
      </c>
      <c r="S43" s="1">
        <v>25437.9</v>
      </c>
      <c r="T43" s="44">
        <v>24423.859</v>
      </c>
      <c r="U43" s="1">
        <v>25348.258000000002</v>
      </c>
      <c r="V43" s="1">
        <v>22364.542000000001</v>
      </c>
      <c r="W43" s="126">
        <v>24873.672999999999</v>
      </c>
      <c r="X43" s="126">
        <v>22278.335999999999</v>
      </c>
      <c r="Y43" s="126">
        <v>22551.192999999999</v>
      </c>
      <c r="Z43" s="126">
        <v>23961.023000000001</v>
      </c>
      <c r="AA43" s="126">
        <v>22931.294999999998</v>
      </c>
      <c r="AB43" s="126">
        <v>22779.75</v>
      </c>
      <c r="AC43" s="126">
        <v>22869</v>
      </c>
      <c r="AD43" s="1">
        <v>24006.062000000002</v>
      </c>
      <c r="AE43" s="1">
        <v>38480.669000000002</v>
      </c>
      <c r="AF43" s="1">
        <v>40178.29</v>
      </c>
      <c r="AG43" s="1">
        <v>40949.023000000001</v>
      </c>
      <c r="AH43" s="1">
        <v>42112.536999999997</v>
      </c>
      <c r="AI43" s="1">
        <v>43284.656999999999</v>
      </c>
      <c r="AK43" s="1">
        <v>44059.055</v>
      </c>
      <c r="AL43" s="1">
        <v>45335.017999999996</v>
      </c>
    </row>
    <row r="44" spans="1:38" ht="12.75" customHeight="1">
      <c r="A44" s="1" t="s">
        <v>57</v>
      </c>
      <c r="J44" s="126">
        <v>0</v>
      </c>
      <c r="M44" s="1">
        <v>0</v>
      </c>
      <c r="O44" s="1">
        <v>0</v>
      </c>
      <c r="R44" s="18">
        <v>0</v>
      </c>
      <c r="S44" s="1">
        <v>0</v>
      </c>
      <c r="T44" s="44">
        <v>0</v>
      </c>
      <c r="U44" s="1">
        <v>0</v>
      </c>
      <c r="V44" s="1">
        <v>0</v>
      </c>
      <c r="W44" s="126">
        <v>0</v>
      </c>
      <c r="X44" s="126">
        <v>0</v>
      </c>
      <c r="Y44" s="126">
        <v>0</v>
      </c>
      <c r="Z44" s="126">
        <v>0</v>
      </c>
      <c r="AA44" s="126">
        <v>0</v>
      </c>
      <c r="AB44" s="126">
        <v>0</v>
      </c>
      <c r="AC44" s="126">
        <v>0</v>
      </c>
      <c r="AD44" s="1">
        <v>0</v>
      </c>
      <c r="AE44" s="1">
        <v>0</v>
      </c>
      <c r="AF44" s="1">
        <v>0</v>
      </c>
      <c r="AG44" s="1">
        <v>0</v>
      </c>
      <c r="AH44" s="1">
        <v>0</v>
      </c>
      <c r="AI44" s="1">
        <v>0</v>
      </c>
      <c r="AK44" s="1">
        <v>0</v>
      </c>
      <c r="AL44" s="1">
        <v>0</v>
      </c>
    </row>
    <row r="45" spans="1:38" ht="12.75" customHeight="1">
      <c r="A45" s="1" t="s">
        <v>58</v>
      </c>
      <c r="J45" s="126">
        <v>0</v>
      </c>
      <c r="M45" s="1">
        <v>0</v>
      </c>
      <c r="O45" s="1">
        <v>0</v>
      </c>
      <c r="R45" s="18">
        <v>0</v>
      </c>
      <c r="S45" s="1">
        <v>0</v>
      </c>
      <c r="T45" s="44">
        <v>0</v>
      </c>
      <c r="U45" s="1">
        <v>0</v>
      </c>
      <c r="V45" s="1">
        <v>0</v>
      </c>
      <c r="W45" s="126">
        <v>0</v>
      </c>
      <c r="X45" s="126">
        <v>0</v>
      </c>
      <c r="Y45" s="126">
        <v>0</v>
      </c>
      <c r="Z45" s="126">
        <v>0</v>
      </c>
      <c r="AA45" s="126">
        <v>0</v>
      </c>
      <c r="AB45" s="126">
        <v>0</v>
      </c>
      <c r="AC45" s="126">
        <v>0</v>
      </c>
      <c r="AD45" s="1">
        <v>0</v>
      </c>
      <c r="AE45" s="1">
        <v>0</v>
      </c>
      <c r="AF45" s="1">
        <v>0</v>
      </c>
      <c r="AG45" s="1">
        <v>0</v>
      </c>
      <c r="AH45" s="1">
        <v>0</v>
      </c>
      <c r="AI45" s="1">
        <v>0</v>
      </c>
      <c r="AK45" s="1">
        <v>0</v>
      </c>
      <c r="AL45" s="1">
        <v>0</v>
      </c>
    </row>
    <row r="46" spans="1:38" ht="12.75" customHeight="1">
      <c r="A46" s="1" t="s">
        <v>59</v>
      </c>
      <c r="J46" s="126">
        <v>0</v>
      </c>
      <c r="M46" s="1">
        <v>0</v>
      </c>
      <c r="O46" s="1">
        <v>0</v>
      </c>
      <c r="R46" s="18">
        <v>0</v>
      </c>
      <c r="S46" s="1">
        <v>0</v>
      </c>
      <c r="T46" s="44">
        <v>0</v>
      </c>
      <c r="U46" s="1">
        <v>0</v>
      </c>
      <c r="V46" s="1">
        <v>0</v>
      </c>
      <c r="W46" s="126">
        <v>0</v>
      </c>
      <c r="X46" s="126">
        <v>0</v>
      </c>
      <c r="Y46" s="126">
        <v>0</v>
      </c>
      <c r="Z46" s="126">
        <v>0</v>
      </c>
      <c r="AA46" s="126">
        <v>0</v>
      </c>
      <c r="AB46" s="126">
        <v>0</v>
      </c>
      <c r="AC46" s="126">
        <v>0</v>
      </c>
      <c r="AD46" s="1">
        <v>0</v>
      </c>
      <c r="AE46" s="1">
        <v>0</v>
      </c>
      <c r="AF46" s="1">
        <v>0</v>
      </c>
      <c r="AG46" s="1">
        <v>0</v>
      </c>
      <c r="AH46" s="1">
        <v>0</v>
      </c>
      <c r="AI46" s="1">
        <v>0</v>
      </c>
      <c r="AK46" s="1">
        <v>0</v>
      </c>
      <c r="AL46" s="1">
        <v>0</v>
      </c>
    </row>
    <row r="47" spans="1:38" ht="12.75" customHeight="1">
      <c r="A47" s="1" t="s">
        <v>60</v>
      </c>
      <c r="J47" s="126">
        <v>20.312000000000001</v>
      </c>
      <c r="M47" s="1">
        <v>20.312000000000001</v>
      </c>
      <c r="O47" s="1">
        <v>20.312000000000001</v>
      </c>
      <c r="R47" s="24">
        <v>20.43</v>
      </c>
      <c r="S47" s="1">
        <v>20.312000000000001</v>
      </c>
      <c r="T47" s="44">
        <v>20.312000000000001</v>
      </c>
      <c r="U47" s="1">
        <v>20.312000000000001</v>
      </c>
      <c r="V47" s="1">
        <v>20.312000000000001</v>
      </c>
      <c r="W47" s="126">
        <v>20.312000000000001</v>
      </c>
      <c r="X47" s="126">
        <v>20.312000000000001</v>
      </c>
      <c r="Y47" s="126">
        <v>20.312000000000001</v>
      </c>
      <c r="Z47" s="126">
        <v>0</v>
      </c>
      <c r="AA47" s="126">
        <v>0</v>
      </c>
      <c r="AB47" s="126">
        <v>0</v>
      </c>
      <c r="AC47" s="126">
        <v>0</v>
      </c>
      <c r="AD47" s="1">
        <v>0</v>
      </c>
      <c r="AE47" s="1">
        <v>0</v>
      </c>
      <c r="AF47" s="1">
        <v>0</v>
      </c>
      <c r="AG47" s="1">
        <v>0</v>
      </c>
      <c r="AH47" s="1">
        <v>0</v>
      </c>
      <c r="AI47" s="1">
        <v>0</v>
      </c>
      <c r="AK47" s="1">
        <v>0</v>
      </c>
      <c r="AL47" s="1">
        <v>0</v>
      </c>
    </row>
    <row r="48" spans="1:38" ht="12.75" customHeight="1">
      <c r="A48" s="1" t="s">
        <v>61</v>
      </c>
      <c r="J48" s="126">
        <v>0</v>
      </c>
      <c r="M48" s="1">
        <v>0</v>
      </c>
      <c r="O48" s="1">
        <v>0</v>
      </c>
      <c r="R48" s="18">
        <v>0</v>
      </c>
      <c r="S48" s="1">
        <v>0</v>
      </c>
      <c r="T48" s="44">
        <v>0</v>
      </c>
      <c r="U48" s="1">
        <v>0</v>
      </c>
      <c r="V48" s="1">
        <v>0</v>
      </c>
      <c r="W48" s="126">
        <v>1712.9159999999999</v>
      </c>
      <c r="X48" s="126">
        <v>1785.57</v>
      </c>
      <c r="Y48" s="126">
        <v>1959.3030000000001</v>
      </c>
      <c r="Z48" s="126">
        <v>2082.5639999999999</v>
      </c>
      <c r="AA48" s="126">
        <v>2130.5659999999998</v>
      </c>
      <c r="AB48" s="126">
        <v>184.81100000000001</v>
      </c>
      <c r="AC48" s="126">
        <v>2459</v>
      </c>
      <c r="AD48" s="1">
        <v>2685.8229999999999</v>
      </c>
      <c r="AE48" s="1">
        <v>3024.6909999999998</v>
      </c>
      <c r="AF48" s="1">
        <v>3082.26</v>
      </c>
      <c r="AG48" s="1">
        <v>5881.9319999999998</v>
      </c>
      <c r="AH48" s="1">
        <v>4961.2650000000003</v>
      </c>
      <c r="AI48" s="1">
        <v>5423.902</v>
      </c>
      <c r="AK48" s="1">
        <v>5690.8440000000001</v>
      </c>
      <c r="AL48" s="1">
        <v>5465.9979999999996</v>
      </c>
    </row>
    <row r="49" spans="1:38" ht="12.75" customHeight="1">
      <c r="A49" s="1" t="s">
        <v>62</v>
      </c>
      <c r="J49" s="126">
        <v>11562.396000000001</v>
      </c>
      <c r="M49" s="1">
        <v>28963.39</v>
      </c>
      <c r="O49" s="1">
        <v>14629.039000000001</v>
      </c>
      <c r="R49" s="18">
        <v>17817.187000000002</v>
      </c>
      <c r="S49" s="1">
        <v>14670.246999999999</v>
      </c>
      <c r="T49" s="44">
        <v>28.599</v>
      </c>
      <c r="U49" s="1">
        <v>0</v>
      </c>
      <c r="V49" s="1">
        <v>0</v>
      </c>
      <c r="W49" s="126">
        <v>0</v>
      </c>
      <c r="X49" s="126">
        <v>0</v>
      </c>
      <c r="Y49" s="126">
        <v>0</v>
      </c>
      <c r="Z49" s="126">
        <v>0</v>
      </c>
      <c r="AA49" s="126">
        <v>0</v>
      </c>
      <c r="AB49" s="126">
        <v>0</v>
      </c>
      <c r="AC49" s="126">
        <v>0</v>
      </c>
      <c r="AF49" s="1">
        <v>0</v>
      </c>
      <c r="AG49" s="1">
        <v>0</v>
      </c>
      <c r="AI49" s="1">
        <v>0</v>
      </c>
      <c r="AK49" s="1">
        <v>0</v>
      </c>
      <c r="AL49" s="1">
        <v>0</v>
      </c>
    </row>
    <row r="50" spans="1:38" ht="12.75" customHeight="1">
      <c r="A50" s="1" t="s">
        <v>63</v>
      </c>
      <c r="J50" s="126">
        <v>0</v>
      </c>
      <c r="M50" s="1">
        <v>0</v>
      </c>
      <c r="O50" s="1">
        <v>0</v>
      </c>
      <c r="R50" s="18">
        <v>0</v>
      </c>
      <c r="S50" s="1">
        <v>0</v>
      </c>
      <c r="T50" s="44">
        <v>205.61600000000001</v>
      </c>
      <c r="U50" s="1">
        <v>142.517</v>
      </c>
      <c r="V50" s="1">
        <v>0</v>
      </c>
      <c r="W50" s="126">
        <v>0</v>
      </c>
      <c r="X50" s="126">
        <v>0</v>
      </c>
      <c r="Y50" s="126">
        <v>0</v>
      </c>
      <c r="Z50" s="126">
        <v>0</v>
      </c>
      <c r="AA50" s="126">
        <v>0</v>
      </c>
      <c r="AB50" s="126">
        <v>0</v>
      </c>
      <c r="AC50" s="126">
        <v>0</v>
      </c>
      <c r="AF50" s="1">
        <v>0</v>
      </c>
      <c r="AG50" s="1">
        <v>0</v>
      </c>
      <c r="AI50" s="1">
        <v>0</v>
      </c>
      <c r="AK50" s="1">
        <v>0</v>
      </c>
      <c r="AL50" s="1">
        <v>0</v>
      </c>
    </row>
    <row r="51" spans="1:38" ht="12.75" customHeight="1">
      <c r="A51" s="27" t="s">
        <v>64</v>
      </c>
      <c r="B51" s="27"/>
      <c r="C51" s="27"/>
      <c r="D51" s="27"/>
      <c r="E51" s="27"/>
      <c r="F51" s="27"/>
      <c r="G51" s="27"/>
      <c r="H51" s="27"/>
      <c r="I51" s="27"/>
      <c r="J51" s="127">
        <v>0</v>
      </c>
      <c r="K51" s="27"/>
      <c r="L51" s="27"/>
      <c r="M51" s="27">
        <v>0</v>
      </c>
      <c r="N51" s="27"/>
      <c r="O51" s="27">
        <v>0</v>
      </c>
      <c r="P51" s="27"/>
      <c r="Q51" s="27"/>
      <c r="R51" s="37">
        <v>0</v>
      </c>
      <c r="S51" s="27">
        <v>0</v>
      </c>
      <c r="T51" s="61">
        <v>0</v>
      </c>
      <c r="U51" s="27">
        <v>0</v>
      </c>
      <c r="V51" s="27">
        <v>0</v>
      </c>
      <c r="W51" s="127">
        <v>0</v>
      </c>
      <c r="X51" s="127">
        <v>0</v>
      </c>
      <c r="Y51" s="127">
        <v>79990.740000000005</v>
      </c>
      <c r="Z51" s="127">
        <v>84648.491999999998</v>
      </c>
      <c r="AA51" s="127">
        <v>89603.130999999994</v>
      </c>
      <c r="AB51" s="127">
        <v>0</v>
      </c>
      <c r="AC51" s="127">
        <v>0</v>
      </c>
      <c r="AD51" s="27"/>
      <c r="AE51" s="27"/>
      <c r="AF51" s="27">
        <v>0</v>
      </c>
      <c r="AG51" s="27">
        <v>0</v>
      </c>
      <c r="AH51" s="27"/>
      <c r="AI51" s="27">
        <v>0</v>
      </c>
      <c r="AJ51" s="27"/>
      <c r="AK51" s="27">
        <v>0</v>
      </c>
      <c r="AL51" s="1">
        <v>0</v>
      </c>
    </row>
    <row r="52" spans="1:38" ht="12.75" customHeight="1">
      <c r="A52" s="6" t="s">
        <v>65</v>
      </c>
      <c r="J52" s="51">
        <f>SUM(J54:J62)</f>
        <v>70186.992000000013</v>
      </c>
      <c r="M52" s="51">
        <f>SUM(M54:M62)</f>
        <v>60028.622000000003</v>
      </c>
      <c r="O52" s="51">
        <f>SUM(O54:O62)</f>
        <v>68283.957999999999</v>
      </c>
      <c r="R52" s="51">
        <f t="shared" ref="R52:AK52" si="19">SUM(R54:R62)</f>
        <v>66447.404999999999</v>
      </c>
      <c r="S52" s="51">
        <f t="shared" si="19"/>
        <v>55795.75</v>
      </c>
      <c r="T52" s="60">
        <f t="shared" si="19"/>
        <v>60299.697</v>
      </c>
      <c r="U52" s="51">
        <f t="shared" si="19"/>
        <v>59189.77</v>
      </c>
      <c r="V52" s="51">
        <f t="shared" si="19"/>
        <v>63243.237000000001</v>
      </c>
      <c r="W52" s="51">
        <f t="shared" si="19"/>
        <v>64995.413</v>
      </c>
      <c r="X52" s="51">
        <f t="shared" si="19"/>
        <v>65720.748999999996</v>
      </c>
      <c r="Y52" s="51">
        <f t="shared" si="19"/>
        <v>74342.611000000004</v>
      </c>
      <c r="Z52" s="51">
        <f t="shared" si="19"/>
        <v>76226.566000000006</v>
      </c>
      <c r="AA52" s="51">
        <f t="shared" si="19"/>
        <v>84625.862999999998</v>
      </c>
      <c r="AB52" s="51">
        <f t="shared" si="19"/>
        <v>101494.356</v>
      </c>
      <c r="AC52" s="51">
        <f t="shared" si="19"/>
        <v>96968</v>
      </c>
      <c r="AD52" s="51">
        <f t="shared" si="19"/>
        <v>95077.361999999994</v>
      </c>
      <c r="AE52" s="51">
        <f t="shared" si="19"/>
        <v>101569.15300000001</v>
      </c>
      <c r="AF52" s="51">
        <f t="shared" si="19"/>
        <v>92434.656000000003</v>
      </c>
      <c r="AG52" s="51">
        <f t="shared" si="19"/>
        <v>92003.975000000006</v>
      </c>
      <c r="AH52" s="51">
        <f t="shared" si="19"/>
        <v>121757.89</v>
      </c>
      <c r="AI52" s="51">
        <f t="shared" si="19"/>
        <v>119018.446</v>
      </c>
      <c r="AJ52" s="51">
        <f t="shared" si="19"/>
        <v>0</v>
      </c>
      <c r="AK52" s="51">
        <f t="shared" si="19"/>
        <v>156210.09599999999</v>
      </c>
      <c r="AL52" s="131">
        <f t="shared" ref="AL52" si="20">SUM(AL54:AL62)</f>
        <v>157206.875</v>
      </c>
    </row>
    <row r="53" spans="1:38" ht="12.75" customHeight="1">
      <c r="A53" s="6" t="s">
        <v>94</v>
      </c>
      <c r="T53" s="44"/>
      <c r="AA53" s="10">
        <v>0</v>
      </c>
      <c r="AF53" s="1">
        <v>0</v>
      </c>
      <c r="AI53" s="1">
        <v>0</v>
      </c>
    </row>
    <row r="54" spans="1:38" ht="12.75" customHeight="1">
      <c r="A54" s="1" t="s">
        <v>66</v>
      </c>
      <c r="J54" s="126">
        <v>0</v>
      </c>
      <c r="M54" s="1">
        <v>0</v>
      </c>
      <c r="O54" s="1">
        <v>0</v>
      </c>
      <c r="R54" s="18">
        <v>0</v>
      </c>
      <c r="S54" s="1">
        <v>0</v>
      </c>
      <c r="T54" s="44">
        <v>0</v>
      </c>
      <c r="U54" s="1">
        <v>0</v>
      </c>
      <c r="V54" s="1">
        <v>0</v>
      </c>
      <c r="W54" s="126">
        <v>0</v>
      </c>
      <c r="X54" s="126">
        <v>0</v>
      </c>
      <c r="Y54" s="126">
        <v>0</v>
      </c>
      <c r="Z54" s="126">
        <v>0</v>
      </c>
      <c r="AA54" s="126">
        <v>0</v>
      </c>
      <c r="AB54" s="126">
        <v>0</v>
      </c>
      <c r="AC54" s="126">
        <v>0</v>
      </c>
      <c r="AF54" s="1">
        <v>0</v>
      </c>
      <c r="AG54" s="1">
        <v>0</v>
      </c>
      <c r="AI54" s="1">
        <v>0</v>
      </c>
      <c r="AK54" s="1">
        <v>0</v>
      </c>
    </row>
    <row r="55" spans="1:38" ht="12.75" customHeight="1">
      <c r="A55" s="1" t="s">
        <v>67</v>
      </c>
      <c r="J55" s="126">
        <v>0</v>
      </c>
      <c r="M55" s="1">
        <v>0</v>
      </c>
      <c r="O55" s="1">
        <v>0</v>
      </c>
      <c r="R55" s="18">
        <v>0</v>
      </c>
      <c r="S55" s="1">
        <v>0</v>
      </c>
      <c r="T55" s="44">
        <v>0</v>
      </c>
      <c r="U55" s="1">
        <v>0</v>
      </c>
      <c r="V55" s="1">
        <v>0</v>
      </c>
      <c r="W55" s="126">
        <v>0</v>
      </c>
      <c r="X55" s="126">
        <v>0</v>
      </c>
      <c r="Y55" s="126">
        <v>0</v>
      </c>
      <c r="Z55" s="126">
        <v>0</v>
      </c>
      <c r="AA55" s="126">
        <v>0</v>
      </c>
      <c r="AB55" s="126">
        <v>0</v>
      </c>
      <c r="AC55" s="126">
        <v>0</v>
      </c>
      <c r="AF55" s="1">
        <v>0</v>
      </c>
      <c r="AG55" s="1">
        <v>0</v>
      </c>
      <c r="AI55" s="1">
        <v>0</v>
      </c>
      <c r="AK55" s="1">
        <v>0</v>
      </c>
    </row>
    <row r="56" spans="1:38" ht="12.75" customHeight="1">
      <c r="A56" s="1" t="s">
        <v>68</v>
      </c>
      <c r="J56" s="126">
        <v>0</v>
      </c>
      <c r="M56" s="1">
        <v>22</v>
      </c>
      <c r="O56" s="1">
        <v>0</v>
      </c>
      <c r="R56" s="18">
        <v>0</v>
      </c>
      <c r="S56" s="1">
        <v>0</v>
      </c>
      <c r="T56" s="44">
        <v>0</v>
      </c>
      <c r="U56" s="1">
        <v>0</v>
      </c>
      <c r="V56" s="1">
        <v>0</v>
      </c>
      <c r="W56" s="126">
        <v>0</v>
      </c>
      <c r="X56" s="126">
        <v>0</v>
      </c>
      <c r="Y56" s="126">
        <v>0</v>
      </c>
      <c r="Z56" s="126">
        <v>0</v>
      </c>
      <c r="AA56" s="126">
        <v>0</v>
      </c>
      <c r="AB56" s="126">
        <v>0</v>
      </c>
      <c r="AC56" s="126">
        <v>0</v>
      </c>
      <c r="AF56" s="1">
        <v>0</v>
      </c>
      <c r="AG56" s="1">
        <v>0</v>
      </c>
      <c r="AI56" s="1">
        <v>0</v>
      </c>
      <c r="AK56" s="1">
        <v>0</v>
      </c>
    </row>
    <row r="57" spans="1:38" ht="12.75" customHeight="1">
      <c r="A57" s="1" t="s">
        <v>69</v>
      </c>
      <c r="J57" s="126">
        <v>0</v>
      </c>
      <c r="M57" s="1">
        <v>0</v>
      </c>
      <c r="O57" s="1">
        <v>0</v>
      </c>
      <c r="R57" s="24">
        <v>0</v>
      </c>
      <c r="S57" s="1">
        <v>0</v>
      </c>
      <c r="T57" s="44">
        <v>0</v>
      </c>
      <c r="U57" s="1">
        <v>0</v>
      </c>
      <c r="V57" s="1">
        <v>0</v>
      </c>
      <c r="W57" s="126">
        <v>0</v>
      </c>
      <c r="X57" s="126">
        <v>0</v>
      </c>
      <c r="Y57" s="126">
        <v>0</v>
      </c>
      <c r="Z57" s="126">
        <v>0</v>
      </c>
      <c r="AA57" s="126">
        <v>0</v>
      </c>
      <c r="AB57" s="126">
        <v>0</v>
      </c>
      <c r="AC57" s="126">
        <v>0</v>
      </c>
      <c r="AF57" s="1">
        <v>0</v>
      </c>
      <c r="AG57" s="1">
        <v>0</v>
      </c>
      <c r="AI57" s="1">
        <v>0</v>
      </c>
      <c r="AK57" s="1">
        <v>0</v>
      </c>
    </row>
    <row r="58" spans="1:38" ht="12.75" customHeight="1">
      <c r="A58" s="1" t="s">
        <v>70</v>
      </c>
      <c r="J58" s="126">
        <v>30</v>
      </c>
      <c r="M58" s="1">
        <v>30</v>
      </c>
      <c r="O58" s="1">
        <v>0</v>
      </c>
      <c r="R58" s="24">
        <v>0</v>
      </c>
      <c r="S58" s="1">
        <v>0</v>
      </c>
      <c r="T58" s="44">
        <v>0</v>
      </c>
      <c r="U58" s="1">
        <v>592.17999999999995</v>
      </c>
      <c r="V58" s="1">
        <v>607.71400000000006</v>
      </c>
      <c r="W58" s="126">
        <v>0</v>
      </c>
      <c r="X58" s="126">
        <v>0</v>
      </c>
      <c r="Y58" s="126">
        <v>0</v>
      </c>
      <c r="Z58" s="126">
        <v>0</v>
      </c>
      <c r="AA58" s="126">
        <v>0</v>
      </c>
      <c r="AB58" s="126">
        <v>0</v>
      </c>
      <c r="AC58" s="126">
        <v>0</v>
      </c>
      <c r="AF58" s="1">
        <v>0</v>
      </c>
      <c r="AG58" s="1">
        <v>0</v>
      </c>
      <c r="AI58" s="1">
        <v>0</v>
      </c>
      <c r="AK58" s="1">
        <v>0</v>
      </c>
    </row>
    <row r="59" spans="1:38" ht="12.75" customHeight="1">
      <c r="A59" s="1" t="s">
        <v>71</v>
      </c>
      <c r="J59" s="126">
        <v>69605.994000000006</v>
      </c>
      <c r="M59" s="1">
        <v>59862.622000000003</v>
      </c>
      <c r="O59" s="1">
        <v>68283.957999999999</v>
      </c>
      <c r="R59" s="24">
        <v>66447.404999999999</v>
      </c>
      <c r="S59" s="1">
        <v>55795.75</v>
      </c>
      <c r="T59" s="44">
        <v>60299.697</v>
      </c>
      <c r="U59" s="1">
        <v>58597.59</v>
      </c>
      <c r="V59" s="1">
        <v>62635.523000000001</v>
      </c>
      <c r="W59" s="126">
        <v>64995.413</v>
      </c>
      <c r="X59" s="126">
        <v>65720.748999999996</v>
      </c>
      <c r="Y59" s="126">
        <v>74342.611000000004</v>
      </c>
      <c r="Z59" s="126">
        <v>76226.566000000006</v>
      </c>
      <c r="AA59" s="126">
        <v>84625.862999999998</v>
      </c>
      <c r="AB59" s="126">
        <v>101494.356</v>
      </c>
      <c r="AC59" s="126">
        <v>96968</v>
      </c>
      <c r="AD59" s="1">
        <v>95077.361999999994</v>
      </c>
      <c r="AE59" s="1">
        <v>101569.15300000001</v>
      </c>
      <c r="AF59" s="1">
        <v>92434.656000000003</v>
      </c>
      <c r="AG59" s="1">
        <v>92003.975000000006</v>
      </c>
      <c r="AH59" s="1">
        <v>121757.89</v>
      </c>
      <c r="AI59" s="1">
        <v>119018.446</v>
      </c>
      <c r="AK59" s="1">
        <v>156210.09599999999</v>
      </c>
      <c r="AL59" s="1">
        <v>157206.875</v>
      </c>
    </row>
    <row r="60" spans="1:38" ht="12.75" customHeight="1">
      <c r="A60" s="1" t="s">
        <v>72</v>
      </c>
      <c r="J60" s="126">
        <v>505.99799999999999</v>
      </c>
      <c r="M60" s="1">
        <v>0</v>
      </c>
      <c r="O60" s="1">
        <v>0</v>
      </c>
      <c r="R60" s="18">
        <v>0</v>
      </c>
      <c r="S60" s="1">
        <v>0</v>
      </c>
      <c r="T60" s="44">
        <v>0</v>
      </c>
      <c r="U60" s="1">
        <v>0</v>
      </c>
      <c r="V60" s="1">
        <v>0</v>
      </c>
      <c r="W60" s="126">
        <v>0</v>
      </c>
      <c r="X60" s="126">
        <v>0</v>
      </c>
      <c r="Y60" s="126">
        <v>0</v>
      </c>
      <c r="Z60" s="126">
        <v>0</v>
      </c>
      <c r="AA60" s="126">
        <v>0</v>
      </c>
      <c r="AB60" s="126">
        <v>0</v>
      </c>
      <c r="AC60" s="126">
        <v>0</v>
      </c>
      <c r="AF60" s="1">
        <v>0</v>
      </c>
      <c r="AG60" s="1">
        <v>0</v>
      </c>
      <c r="AI60" s="1">
        <v>0</v>
      </c>
      <c r="AK60" s="1">
        <v>0</v>
      </c>
    </row>
    <row r="61" spans="1:38" ht="12.75" customHeight="1">
      <c r="A61" s="1" t="s">
        <v>73</v>
      </c>
      <c r="J61" s="126">
        <v>0</v>
      </c>
      <c r="M61" s="1">
        <v>0</v>
      </c>
      <c r="O61" s="1">
        <v>0</v>
      </c>
      <c r="R61" s="18">
        <v>0</v>
      </c>
      <c r="S61" s="1">
        <v>0</v>
      </c>
      <c r="T61" s="44">
        <v>0</v>
      </c>
      <c r="U61" s="1">
        <v>0</v>
      </c>
      <c r="V61" s="1">
        <v>0</v>
      </c>
      <c r="W61" s="126">
        <v>0</v>
      </c>
      <c r="X61" s="126">
        <v>0</v>
      </c>
      <c r="Y61" s="126">
        <v>0</v>
      </c>
      <c r="Z61" s="126">
        <v>0</v>
      </c>
      <c r="AA61" s="126">
        <v>0</v>
      </c>
      <c r="AB61" s="126">
        <v>0</v>
      </c>
      <c r="AC61" s="126">
        <v>0</v>
      </c>
      <c r="AF61" s="1">
        <v>0</v>
      </c>
      <c r="AG61" s="1">
        <v>0</v>
      </c>
      <c r="AK61" s="1">
        <v>0</v>
      </c>
    </row>
    <row r="62" spans="1:38" ht="12.75" customHeight="1">
      <c r="A62" s="27" t="s">
        <v>74</v>
      </c>
      <c r="B62" s="27"/>
      <c r="C62" s="27"/>
      <c r="D62" s="27"/>
      <c r="E62" s="27"/>
      <c r="F62" s="27"/>
      <c r="G62" s="27"/>
      <c r="H62" s="27"/>
      <c r="I62" s="27"/>
      <c r="J62" s="127">
        <v>45</v>
      </c>
      <c r="K62" s="27"/>
      <c r="L62" s="27"/>
      <c r="M62" s="27">
        <v>114</v>
      </c>
      <c r="N62" s="27"/>
      <c r="O62" s="27">
        <v>0</v>
      </c>
      <c r="P62" s="27"/>
      <c r="Q62" s="27"/>
      <c r="R62" s="37">
        <v>0</v>
      </c>
      <c r="S62" s="27">
        <v>0</v>
      </c>
      <c r="T62" s="61">
        <v>0</v>
      </c>
      <c r="U62" s="27">
        <v>0</v>
      </c>
      <c r="V62" s="27">
        <v>0</v>
      </c>
      <c r="W62" s="127">
        <v>0</v>
      </c>
      <c r="X62" s="127">
        <v>0</v>
      </c>
      <c r="Y62" s="127">
        <v>0</v>
      </c>
      <c r="Z62" s="127">
        <v>0</v>
      </c>
      <c r="AA62" s="127">
        <v>0</v>
      </c>
      <c r="AB62" s="127">
        <v>0</v>
      </c>
      <c r="AC62" s="127">
        <v>0</v>
      </c>
      <c r="AD62" s="27"/>
      <c r="AE62" s="27"/>
      <c r="AF62" s="27">
        <v>0</v>
      </c>
      <c r="AG62" s="27">
        <v>0</v>
      </c>
      <c r="AH62" s="27"/>
      <c r="AI62" s="27"/>
      <c r="AJ62" s="27"/>
      <c r="AK62" s="1">
        <v>0</v>
      </c>
    </row>
    <row r="63" spans="1:38">
      <c r="A63" s="49" t="s">
        <v>75</v>
      </c>
      <c r="B63" s="46"/>
      <c r="C63" s="46"/>
      <c r="D63" s="46"/>
      <c r="E63" s="46"/>
      <c r="F63" s="46"/>
      <c r="G63" s="46"/>
      <c r="H63" s="46"/>
      <c r="I63" s="46"/>
      <c r="J63" s="128">
        <v>73495</v>
      </c>
      <c r="K63" s="46"/>
      <c r="L63" s="46"/>
      <c r="M63" s="46">
        <v>69337.120999999999</v>
      </c>
      <c r="N63" s="46"/>
      <c r="O63" s="46">
        <v>67422.107690000004</v>
      </c>
      <c r="P63" s="46"/>
      <c r="Q63" s="46"/>
      <c r="R63" s="47">
        <v>43258.574000000001</v>
      </c>
      <c r="S63" s="46">
        <v>46932.724999999999</v>
      </c>
      <c r="T63" s="48">
        <v>46067.845999999998</v>
      </c>
      <c r="U63" s="46">
        <v>50543.591999999997</v>
      </c>
      <c r="V63" s="46">
        <v>50861.262999999999</v>
      </c>
      <c r="W63" s="128">
        <v>51580.601999999999</v>
      </c>
      <c r="X63" s="128">
        <v>61266.493000000002</v>
      </c>
      <c r="Y63" s="128">
        <v>62635.553999999996</v>
      </c>
      <c r="Z63" s="128">
        <v>62769.786</v>
      </c>
      <c r="AA63" s="128">
        <v>62070</v>
      </c>
      <c r="AB63" s="128">
        <v>0</v>
      </c>
      <c r="AC63" s="128">
        <v>0</v>
      </c>
      <c r="AD63" s="27"/>
      <c r="AE63" s="27"/>
      <c r="AF63" s="27">
        <v>0</v>
      </c>
      <c r="AG63" s="27">
        <v>0</v>
      </c>
      <c r="AH63" s="27"/>
      <c r="AI63" s="27"/>
      <c r="AJ63" s="27"/>
      <c r="AK63" s="130">
        <v>0</v>
      </c>
      <c r="AL63" s="130"/>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5" ht="9.9499999999999993" customHeight="1"/>
    <row r="82" spans="2:205" ht="9.9499999999999993" customHeight="1">
      <c r="GO82" s="4"/>
      <c r="GP82" s="4"/>
      <c r="GQ82" s="4"/>
      <c r="GR82" s="4"/>
      <c r="GS82" s="4"/>
      <c r="GT82" s="4"/>
      <c r="GU82" s="4"/>
      <c r="GV82" s="4"/>
      <c r="GW82" s="4"/>
    </row>
    <row r="83" spans="2:205">
      <c r="GM83" s="4"/>
      <c r="GN83" s="4"/>
      <c r="GO83" s="4"/>
      <c r="GP83" s="4"/>
      <c r="GQ83" s="4"/>
      <c r="GR83" s="4"/>
      <c r="GS83" s="4"/>
      <c r="GT83" s="4"/>
      <c r="GU83" s="4"/>
      <c r="GV83" s="4"/>
      <c r="GW83" s="4"/>
    </row>
    <row r="84" spans="2:205">
      <c r="GM84" s="4"/>
      <c r="GN84" s="4"/>
      <c r="GO84" s="4"/>
      <c r="GP84" s="4"/>
      <c r="GQ84" s="4"/>
      <c r="GR84" s="4"/>
      <c r="GS84" s="4"/>
      <c r="GT84" s="4"/>
      <c r="GU84" s="4"/>
      <c r="GV84" s="4"/>
      <c r="GW84" s="4"/>
    </row>
    <row r="85" spans="2:205">
      <c r="GO85" s="4"/>
      <c r="GP85" s="4"/>
      <c r="GQ85" s="4"/>
      <c r="GR85" s="4"/>
      <c r="GS85" s="4"/>
      <c r="GT85" s="4"/>
      <c r="GU85" s="4"/>
    </row>
    <row r="86" spans="2:205">
      <c r="GO86" s="4"/>
      <c r="GP86" s="4"/>
      <c r="GQ86" s="4"/>
      <c r="GR86" s="4"/>
      <c r="GS86" s="4"/>
      <c r="GT86" s="4"/>
      <c r="GU86" s="4"/>
    </row>
    <row r="87" spans="2:205">
      <c r="GO87" s="4"/>
      <c r="GP87" s="4"/>
      <c r="GQ87" s="4"/>
      <c r="GR87" s="4"/>
      <c r="GS87" s="4"/>
      <c r="GT87" s="4"/>
      <c r="GU87" s="4"/>
    </row>
    <row r="92" spans="2:205">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6">
    <tabColor indexed="62"/>
  </sheetPr>
  <dimension ref="A1:HA92"/>
  <sheetViews>
    <sheetView zoomScaleNormal="100" workbookViewId="0">
      <pane xSplit="1" ySplit="3" topLeftCell="AP17" activePane="bottomRight" state="frozen"/>
      <selection pane="bottomRight" activeCell="AP17" sqref="AP17"/>
      <selection pane="bottomLeft" activeCell="M5" sqref="M5:M6"/>
      <selection pane="topRight" activeCell="M5" sqref="M5:M6"/>
    </sheetView>
  </sheetViews>
  <sheetFormatPr defaultColWidth="9.7109375" defaultRowHeight="12.75"/>
  <cols>
    <col min="1" max="1" width="24.7109375" style="1" customWidth="1"/>
    <col min="2" max="22" width="13.85546875" style="1" customWidth="1"/>
    <col min="23" max="29" width="13.85546875" style="10" customWidth="1"/>
    <col min="30" max="31" width="10.7109375" style="1" bestFit="1" customWidth="1"/>
    <col min="32" max="32" width="13.42578125" style="1" bestFit="1" customWidth="1"/>
    <col min="33" max="37" width="13.42578125" style="1" customWidth="1"/>
    <col min="38" max="38" width="14.7109375" style="1" bestFit="1" customWidth="1"/>
    <col min="39" max="39" width="13.7109375" style="1" bestFit="1" customWidth="1"/>
    <col min="40" max="40" width="14.42578125" style="1" bestFit="1" customWidth="1"/>
    <col min="41" max="173" width="9.7109375" style="1"/>
    <col min="174" max="174" width="11.7109375" style="1" customWidth="1"/>
    <col min="175" max="198" width="9.7109375" style="1"/>
    <col min="199" max="199" width="5.7109375" style="1" customWidth="1"/>
    <col min="200" max="200" width="6.7109375" style="1" customWidth="1"/>
    <col min="201" max="202" width="8.7109375" style="1" customWidth="1"/>
    <col min="203" max="204" width="6.7109375" style="1" customWidth="1"/>
    <col min="205" max="206" width="8.7109375" style="1" customWidth="1"/>
    <col min="207" max="208" width="6.7109375" style="1" customWidth="1"/>
    <col min="209" max="209" width="1.7109375" style="1" customWidth="1"/>
    <col min="210" max="16384" width="9.7109375" style="1"/>
  </cols>
  <sheetData>
    <row r="1" spans="1:38">
      <c r="A1" s="36" t="s">
        <v>92</v>
      </c>
      <c r="B1" s="11"/>
      <c r="C1" s="11"/>
      <c r="D1" s="11"/>
      <c r="E1" s="11"/>
      <c r="F1" s="11"/>
      <c r="G1" s="11"/>
      <c r="H1" s="11"/>
      <c r="I1" s="11"/>
      <c r="J1" s="11"/>
      <c r="K1" s="11"/>
      <c r="L1" s="11"/>
    </row>
    <row r="2" spans="1:38">
      <c r="A2" s="1" t="s">
        <v>154</v>
      </c>
      <c r="B2" s="11"/>
      <c r="C2" s="11"/>
      <c r="D2" s="11"/>
      <c r="E2" s="11"/>
      <c r="F2" s="11"/>
      <c r="G2" s="11"/>
      <c r="H2" s="11"/>
      <c r="I2" s="11"/>
      <c r="J2" s="11"/>
      <c r="K2" s="11"/>
      <c r="L2" s="11"/>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46">
        <f>2474416+2521831</f>
        <v>4996247</v>
      </c>
      <c r="C4" s="46">
        <f>2740895+2718623</f>
        <v>5459518</v>
      </c>
      <c r="D4" s="46">
        <f>3037642+3016686</f>
        <v>6054328</v>
      </c>
      <c r="E4" s="46"/>
      <c r="F4" s="46"/>
      <c r="G4" s="46"/>
      <c r="H4" s="46"/>
      <c r="I4" s="46">
        <v>8957370.4069999997</v>
      </c>
      <c r="J4" s="54">
        <f>+J5+J23+J38+J52+J63</f>
        <v>9915015.925999999</v>
      </c>
      <c r="K4" s="46">
        <v>10964190.148</v>
      </c>
      <c r="L4" s="46">
        <v>11346532.344000001</v>
      </c>
      <c r="M4" s="54">
        <f>+M5+M23+M38+M52+M63</f>
        <v>11741775.952</v>
      </c>
      <c r="N4" s="46">
        <v>12314490.073000001</v>
      </c>
      <c r="O4" s="54">
        <f>+O5+O23+O38+O52+O63</f>
        <v>10910592.725430001</v>
      </c>
      <c r="P4" s="46"/>
      <c r="Q4" s="46"/>
      <c r="R4" s="54">
        <f t="shared" ref="R4:AA4" si="0">+R5+R23+R38+R52+R63</f>
        <v>15669654.822000001</v>
      </c>
      <c r="S4" s="54">
        <f t="shared" si="0"/>
        <v>17515608.657000002</v>
      </c>
      <c r="T4" s="59">
        <f t="shared" si="0"/>
        <v>19999434.073999997</v>
      </c>
      <c r="U4" s="54">
        <f t="shared" si="0"/>
        <v>22096749.629000001</v>
      </c>
      <c r="V4" s="54">
        <f t="shared" si="0"/>
        <v>23817965.342999998</v>
      </c>
      <c r="W4" s="54">
        <f t="shared" si="0"/>
        <v>25728437.236000001</v>
      </c>
      <c r="X4" s="54">
        <f t="shared" si="0"/>
        <v>25800995.397999998</v>
      </c>
      <c r="Y4" s="54">
        <f t="shared" si="0"/>
        <v>26138070.572000001</v>
      </c>
      <c r="Z4" s="54">
        <f t="shared" si="0"/>
        <v>27205823.32</v>
      </c>
      <c r="AA4" s="54">
        <f t="shared" si="0"/>
        <v>25928202.710999995</v>
      </c>
      <c r="AB4" s="54">
        <f t="shared" ref="AB4:AC4" si="1">+AB5+AB23+AB38+AB52+AB63</f>
        <v>33971988.356999993</v>
      </c>
      <c r="AC4" s="54">
        <f t="shared" si="1"/>
        <v>36449982</v>
      </c>
      <c r="AD4" s="54">
        <f t="shared" ref="AD4:AE4" si="2">+AD5+AD23+AD38+AD52+AD63</f>
        <v>35427370.398000002</v>
      </c>
      <c r="AE4" s="54">
        <f t="shared" si="2"/>
        <v>33755320.637000002</v>
      </c>
      <c r="AF4" s="54">
        <f t="shared" ref="AF4:AG4" si="3">+AF5+AF23+AF38+AF52+AF63</f>
        <v>33009286.446999997</v>
      </c>
      <c r="AG4" s="54">
        <f t="shared" si="3"/>
        <v>33043030.248999998</v>
      </c>
      <c r="AH4" s="54">
        <f t="shared" ref="AH4:AI4" si="4">+AH5+AH23+AH38+AH52+AH63</f>
        <v>34164532.245000005</v>
      </c>
      <c r="AI4" s="54">
        <f t="shared" si="4"/>
        <v>34542589.501999997</v>
      </c>
      <c r="AJ4" s="54">
        <f t="shared" ref="AJ4:AK4" si="5">+AJ5+AJ23+AJ38+AJ52+AJ63</f>
        <v>0</v>
      </c>
      <c r="AK4" s="54">
        <f t="shared" si="5"/>
        <v>38650232.053999998</v>
      </c>
      <c r="AL4" s="132">
        <f t="shared" ref="AL4" si="6">+AL5+AL23+AL38+AL52+AL63</f>
        <v>13555085516.030001</v>
      </c>
    </row>
    <row r="5" spans="1:38" ht="12.75" customHeight="1">
      <c r="A5" s="1" t="s">
        <v>21</v>
      </c>
      <c r="B5" s="51">
        <f>SUM(B7:B22)</f>
        <v>1424923</v>
      </c>
      <c r="C5" s="51">
        <f t="shared" ref="C5:D5" si="7">SUM(C7:C22)</f>
        <v>1554277</v>
      </c>
      <c r="D5" s="51">
        <f t="shared" si="7"/>
        <v>1767024</v>
      </c>
      <c r="I5" s="51">
        <f t="shared" ref="I5:J5" si="8">SUM(I7:I22)</f>
        <v>2789105.5779999997</v>
      </c>
      <c r="J5" s="51">
        <f t="shared" si="8"/>
        <v>3136619.9020000002</v>
      </c>
      <c r="M5" s="51">
        <f t="shared" ref="M5:N5" si="9">SUM(M7:M22)</f>
        <v>3795131.7090000007</v>
      </c>
      <c r="N5" s="51">
        <f t="shared" si="9"/>
        <v>4045461.9209999996</v>
      </c>
      <c r="O5" s="51">
        <f t="shared" ref="O5" si="10">SUM(O7:O22)</f>
        <v>3550038.8907500007</v>
      </c>
      <c r="R5" s="51">
        <f t="shared" ref="R5:AA5" si="11">SUM(R7:R22)</f>
        <v>5175720.8819999993</v>
      </c>
      <c r="S5" s="51">
        <f t="shared" si="11"/>
        <v>5922225.7069999995</v>
      </c>
      <c r="T5" s="60">
        <f t="shared" si="11"/>
        <v>7236203.754999999</v>
      </c>
      <c r="U5" s="51">
        <f t="shared" si="11"/>
        <v>8262967.75</v>
      </c>
      <c r="V5" s="51">
        <f t="shared" si="11"/>
        <v>9045626.3440000005</v>
      </c>
      <c r="W5" s="51">
        <f t="shared" si="11"/>
        <v>9717666.0280000009</v>
      </c>
      <c r="X5" s="51">
        <f t="shared" si="11"/>
        <v>9645363.2419999987</v>
      </c>
      <c r="Y5" s="51">
        <f t="shared" si="11"/>
        <v>9689241.2480000015</v>
      </c>
      <c r="Z5" s="51">
        <f t="shared" si="11"/>
        <v>10237071.719999999</v>
      </c>
      <c r="AA5" s="51">
        <f t="shared" si="11"/>
        <v>9302242.4579999987</v>
      </c>
      <c r="AB5" s="51">
        <f t="shared" ref="AB5:AC5" si="12">SUM(AB7:AB22)</f>
        <v>13051932.219999999</v>
      </c>
      <c r="AC5" s="51">
        <f t="shared" si="12"/>
        <v>13707468</v>
      </c>
      <c r="AD5" s="51">
        <f t="shared" ref="AD5:AE5" si="13">SUM(AD7:AD22)</f>
        <v>13127213.715999998</v>
      </c>
      <c r="AE5" s="51">
        <f t="shared" si="13"/>
        <v>12230991.67</v>
      </c>
      <c r="AF5" s="51">
        <f t="shared" ref="AF5:AG5" si="14">SUM(AF7:AF22)</f>
        <v>11934563.648</v>
      </c>
      <c r="AG5" s="51">
        <f t="shared" si="14"/>
        <v>12073453.963</v>
      </c>
      <c r="AH5" s="51">
        <f t="shared" ref="AH5:AI5" si="15">SUM(AH7:AH22)</f>
        <v>12762835.171999998</v>
      </c>
      <c r="AI5" s="51">
        <f t="shared" si="15"/>
        <v>12949821.545999996</v>
      </c>
      <c r="AJ5" s="51">
        <f t="shared" ref="AJ5:AK5" si="16">SUM(AJ7:AJ22)</f>
        <v>0</v>
      </c>
      <c r="AK5" s="51">
        <f t="shared" si="16"/>
        <v>14819859.162999999</v>
      </c>
      <c r="AL5" s="51">
        <f t="shared" ref="AL5" si="17">SUM(AL7:AL22)</f>
        <v>17023360.468999997</v>
      </c>
    </row>
    <row r="6" spans="1:38" ht="12.75" customHeight="1">
      <c r="A6" s="6" t="s">
        <v>94</v>
      </c>
      <c r="J6" s="126"/>
      <c r="R6" s="18"/>
      <c r="T6" s="44"/>
    </row>
    <row r="7" spans="1:38" ht="12.75" customHeight="1">
      <c r="A7" s="1" t="s">
        <v>22</v>
      </c>
      <c r="B7" s="1">
        <f>20860+88010</f>
        <v>108870</v>
      </c>
      <c r="C7" s="1">
        <f>23649+94521</f>
        <v>118170</v>
      </c>
      <c r="D7" s="1">
        <f>28046+103819</f>
        <v>131865</v>
      </c>
      <c r="I7" s="1">
        <v>208367.7</v>
      </c>
      <c r="J7" s="126">
        <v>237125.47500000001</v>
      </c>
      <c r="K7" s="1">
        <v>264687.40399999998</v>
      </c>
      <c r="L7" s="1">
        <v>262617.59000000003</v>
      </c>
      <c r="M7" s="1">
        <v>281283.277</v>
      </c>
      <c r="N7" s="1">
        <v>317866.27500000002</v>
      </c>
      <c r="O7" s="1">
        <v>297206.35700000002</v>
      </c>
      <c r="R7" s="24">
        <v>425760.07500000001</v>
      </c>
      <c r="S7" s="1">
        <v>485049.90500000003</v>
      </c>
      <c r="T7" s="44">
        <v>567754.18799999997</v>
      </c>
      <c r="U7" s="1">
        <v>617235.35</v>
      </c>
      <c r="V7" s="1">
        <v>639879.18299999996</v>
      </c>
      <c r="W7" s="126">
        <v>672444.89199999999</v>
      </c>
      <c r="X7" s="126">
        <v>684187.47900000005</v>
      </c>
      <c r="Y7" s="126">
        <v>717804.995</v>
      </c>
      <c r="Z7" s="126">
        <v>774663.53399999999</v>
      </c>
      <c r="AA7" s="126">
        <v>781260.05500000005</v>
      </c>
      <c r="AB7" s="126">
        <v>848026.12199999997</v>
      </c>
      <c r="AC7" s="126">
        <v>902539</v>
      </c>
      <c r="AD7" s="1">
        <v>782457.49899999995</v>
      </c>
      <c r="AE7" s="1">
        <v>806005.02099999995</v>
      </c>
      <c r="AF7" s="1">
        <v>789273.43200000003</v>
      </c>
      <c r="AG7" s="1">
        <v>800086.66599999997</v>
      </c>
      <c r="AH7" s="1">
        <v>820110.603</v>
      </c>
      <c r="AI7" s="1">
        <v>838163.897</v>
      </c>
      <c r="AK7" s="1">
        <v>975873.33900000004</v>
      </c>
      <c r="AL7" s="1">
        <v>1089387.3359999999</v>
      </c>
    </row>
    <row r="8" spans="1:38" ht="12.75" customHeight="1">
      <c r="A8" s="1" t="s">
        <v>23</v>
      </c>
      <c r="B8" s="1">
        <f>11040+28872</f>
        <v>39912</v>
      </c>
      <c r="C8" s="1">
        <f>13167+29297</f>
        <v>42464</v>
      </c>
      <c r="D8" s="1">
        <f>15685+32207</f>
        <v>47892</v>
      </c>
      <c r="I8" s="1">
        <v>70930.881999999998</v>
      </c>
      <c r="J8" s="126">
        <v>81972.021999999997</v>
      </c>
      <c r="K8" s="1">
        <v>92855.107000000004</v>
      </c>
      <c r="L8" s="1">
        <v>95683.005999999994</v>
      </c>
      <c r="M8" s="1">
        <v>101415.819</v>
      </c>
      <c r="N8" s="1">
        <v>113393.254</v>
      </c>
      <c r="O8" s="1">
        <v>68008.004000000001</v>
      </c>
      <c r="R8" s="24">
        <v>136035.927</v>
      </c>
      <c r="S8" s="1">
        <v>152093.60200000001</v>
      </c>
      <c r="T8" s="44">
        <v>198130.53899999999</v>
      </c>
      <c r="U8" s="1">
        <v>212704.209</v>
      </c>
      <c r="V8" s="1">
        <v>245532.16200000001</v>
      </c>
      <c r="W8" s="126">
        <v>248585.019</v>
      </c>
      <c r="X8" s="126">
        <v>254308.883</v>
      </c>
      <c r="Y8" s="126">
        <v>255228.72700000001</v>
      </c>
      <c r="Z8" s="126">
        <v>247073.875</v>
      </c>
      <c r="AA8" s="126">
        <v>202957.13500000001</v>
      </c>
      <c r="AB8" s="126">
        <v>342391.03899999999</v>
      </c>
      <c r="AC8" s="126">
        <v>384844</v>
      </c>
      <c r="AD8" s="1">
        <v>415920.67200000002</v>
      </c>
      <c r="AE8" s="1">
        <v>352181.21299999999</v>
      </c>
      <c r="AF8" s="1">
        <v>335465.08600000001</v>
      </c>
      <c r="AG8" s="1">
        <v>307413.01699999999</v>
      </c>
      <c r="AH8" s="1">
        <v>306291.21299999999</v>
      </c>
      <c r="AI8" s="1">
        <v>319256.12300000002</v>
      </c>
      <c r="AK8" s="1">
        <v>372274.97</v>
      </c>
      <c r="AL8" s="1">
        <v>410852.00900000002</v>
      </c>
    </row>
    <row r="9" spans="1:38" ht="12.75" customHeight="1">
      <c r="A9" s="1" t="s">
        <v>24</v>
      </c>
      <c r="D9" s="1">
        <f>16282+2901</f>
        <v>19183</v>
      </c>
      <c r="I9" s="1">
        <v>29187.155999999999</v>
      </c>
      <c r="J9" s="126">
        <v>33489.614000000001</v>
      </c>
      <c r="M9" s="1">
        <v>43173.224000000002</v>
      </c>
      <c r="N9" s="1">
        <v>45907.961000000003</v>
      </c>
      <c r="O9" s="1">
        <v>41830.648999999998</v>
      </c>
      <c r="R9" s="24">
        <v>61641.462</v>
      </c>
      <c r="S9" s="35">
        <v>70886.156000000003</v>
      </c>
      <c r="T9" s="45">
        <v>73609.673999999999</v>
      </c>
      <c r="U9" s="35">
        <v>85778.017000000007</v>
      </c>
      <c r="V9" s="35">
        <v>96127.892000000007</v>
      </c>
      <c r="W9" s="126">
        <f>14655.322+82133.156</f>
        <v>96788.478000000003</v>
      </c>
      <c r="X9" s="126">
        <v>101886.742</v>
      </c>
      <c r="Y9" s="126">
        <v>113716.395</v>
      </c>
      <c r="Z9" s="126">
        <v>113211.179</v>
      </c>
      <c r="AA9" s="126">
        <v>115285.101</v>
      </c>
      <c r="AB9" s="126">
        <v>141361.31099999999</v>
      </c>
      <c r="AC9" s="126">
        <v>134093</v>
      </c>
      <c r="AD9" s="1">
        <v>142891.465</v>
      </c>
      <c r="AE9" s="1">
        <v>141220.97200000001</v>
      </c>
      <c r="AF9" s="1">
        <v>137390.39199999999</v>
      </c>
      <c r="AG9" s="1">
        <v>133809.33600000001</v>
      </c>
      <c r="AH9" s="1">
        <v>139650.296</v>
      </c>
      <c r="AI9" s="1">
        <v>29184.135999999999</v>
      </c>
      <c r="AK9" s="1">
        <v>153537.139</v>
      </c>
      <c r="AL9" s="1">
        <v>181370.17</v>
      </c>
    </row>
    <row r="10" spans="1:38" ht="12.75" customHeight="1">
      <c r="A10" s="1" t="s">
        <v>25</v>
      </c>
      <c r="B10" s="1">
        <f>77265+35353</f>
        <v>112618</v>
      </c>
      <c r="C10" s="1">
        <f>92139+42365</f>
        <v>134504</v>
      </c>
      <c r="D10" s="1">
        <f>109157+48510</f>
        <v>157667</v>
      </c>
      <c r="I10" s="1">
        <v>230727.73499999999</v>
      </c>
      <c r="J10" s="126">
        <v>262279.853</v>
      </c>
      <c r="K10" s="1">
        <v>290475.84399999998</v>
      </c>
      <c r="L10" s="1">
        <v>298891.68900000001</v>
      </c>
      <c r="M10" s="1">
        <v>320315.7</v>
      </c>
      <c r="N10" s="1">
        <v>356155.63699999999</v>
      </c>
      <c r="O10" s="1">
        <v>320344.26299999998</v>
      </c>
      <c r="R10" s="24">
        <v>466367.69300000003</v>
      </c>
      <c r="S10" s="1">
        <v>517329.97700000001</v>
      </c>
      <c r="T10" s="44">
        <v>657954.31099999999</v>
      </c>
      <c r="U10" s="1">
        <v>896645.45499999996</v>
      </c>
      <c r="V10" s="1">
        <v>999427.23499999999</v>
      </c>
      <c r="W10" s="126">
        <v>1103496.7309999999</v>
      </c>
      <c r="X10" s="126">
        <v>1041316.621</v>
      </c>
      <c r="Y10" s="126">
        <v>994113.77099999995</v>
      </c>
      <c r="Z10" s="126">
        <v>1134521.898</v>
      </c>
      <c r="AA10" s="126">
        <v>1152221.9990000001</v>
      </c>
      <c r="AB10" s="126">
        <v>1406469.584</v>
      </c>
      <c r="AC10" s="126">
        <v>1435741</v>
      </c>
      <c r="AD10" s="1">
        <v>1438948.7590000001</v>
      </c>
      <c r="AE10" s="1">
        <v>1423267.64</v>
      </c>
      <c r="AF10" s="1">
        <v>1393390.1580000001</v>
      </c>
      <c r="AG10" s="1">
        <v>1412692.267</v>
      </c>
      <c r="AH10" s="1">
        <v>1424312.696</v>
      </c>
      <c r="AI10" s="1">
        <v>1480356.541</v>
      </c>
      <c r="AK10" s="1">
        <v>1722463.3119999999</v>
      </c>
      <c r="AL10" s="1">
        <v>1825042.558</v>
      </c>
    </row>
    <row r="11" spans="1:38" ht="12.75" customHeight="1">
      <c r="A11" s="1" t="s">
        <v>26</v>
      </c>
      <c r="B11" s="1">
        <f>34474+89839</f>
        <v>124313</v>
      </c>
      <c r="C11" s="1">
        <f>36898+91273</f>
        <v>128171</v>
      </c>
      <c r="D11" s="1">
        <f>42082+102753</f>
        <v>144835</v>
      </c>
      <c r="I11" s="1">
        <v>221797.753</v>
      </c>
      <c r="J11" s="126">
        <v>240534.861</v>
      </c>
      <c r="K11" s="1">
        <v>249981.69399999999</v>
      </c>
      <c r="L11" s="1">
        <v>253198.27799999999</v>
      </c>
      <c r="M11" s="1">
        <v>276188.48100000003</v>
      </c>
      <c r="N11" s="1">
        <v>307833.837</v>
      </c>
      <c r="O11" s="1">
        <v>280919.49099999998</v>
      </c>
      <c r="R11" s="24">
        <v>376481.24099999998</v>
      </c>
      <c r="S11" s="1">
        <v>401731.97100000002</v>
      </c>
      <c r="T11" s="44">
        <v>485682.08600000001</v>
      </c>
      <c r="U11" s="1">
        <v>618710.71100000001</v>
      </c>
      <c r="V11" s="1">
        <v>668206.125</v>
      </c>
      <c r="W11" s="126">
        <v>651328.16899999999</v>
      </c>
      <c r="X11" s="126">
        <v>647361.25399999996</v>
      </c>
      <c r="Y11" s="126">
        <v>653365.12</v>
      </c>
      <c r="Z11" s="126">
        <v>708676.81400000001</v>
      </c>
      <c r="AA11" s="126">
        <v>714327.13300000003</v>
      </c>
      <c r="AB11" s="126">
        <v>1058417.0319999999</v>
      </c>
      <c r="AC11" s="126">
        <v>1101057</v>
      </c>
      <c r="AD11" s="1">
        <v>1193757.4140000001</v>
      </c>
      <c r="AE11" s="1">
        <v>1209439.905</v>
      </c>
      <c r="AF11" s="1">
        <v>1197630.6070000001</v>
      </c>
      <c r="AG11" s="1">
        <v>1244617.0020000001</v>
      </c>
      <c r="AH11" s="1">
        <v>1259508.05</v>
      </c>
      <c r="AI11" s="1">
        <v>1293121.73</v>
      </c>
      <c r="AK11" s="1">
        <v>1502106.0360000001</v>
      </c>
      <c r="AL11" s="1">
        <v>1835044.38</v>
      </c>
    </row>
    <row r="12" spans="1:38" ht="12.75" customHeight="1">
      <c r="A12" s="1" t="s">
        <v>27</v>
      </c>
      <c r="B12" s="1">
        <f>32119+26334</f>
        <v>58453</v>
      </c>
      <c r="C12" s="1">
        <f>29813+26069</f>
        <v>55882</v>
      </c>
      <c r="D12" s="1">
        <f>34786+28755</f>
        <v>63541</v>
      </c>
      <c r="I12" s="1">
        <v>102801.363</v>
      </c>
      <c r="J12" s="126">
        <v>122349</v>
      </c>
      <c r="K12" s="1">
        <v>135225.95699999999</v>
      </c>
      <c r="L12" s="1">
        <v>142697.91099999999</v>
      </c>
      <c r="M12" s="1">
        <v>140929.913</v>
      </c>
      <c r="N12" s="1">
        <v>143169.81899999999</v>
      </c>
      <c r="O12" s="1">
        <v>110470.53200000001</v>
      </c>
      <c r="R12" s="18">
        <v>197002.49400000001</v>
      </c>
      <c r="S12" s="1">
        <v>228832.22</v>
      </c>
      <c r="T12" s="44">
        <v>300855.71500000003</v>
      </c>
      <c r="U12" s="1">
        <v>338175.10200000001</v>
      </c>
      <c r="V12" s="1">
        <v>377983.63299999997</v>
      </c>
      <c r="W12" s="126">
        <v>436965.99599999998</v>
      </c>
      <c r="X12" s="126">
        <v>491709.87</v>
      </c>
      <c r="Y12" s="126">
        <v>499615.77399999998</v>
      </c>
      <c r="Z12" s="126">
        <v>512167.71299999999</v>
      </c>
      <c r="AA12" s="126">
        <v>492578.99300000002</v>
      </c>
      <c r="AB12" s="126">
        <v>575394.92700000003</v>
      </c>
      <c r="AC12" s="126">
        <v>612185</v>
      </c>
      <c r="AD12" s="1">
        <v>573061.10499999998</v>
      </c>
      <c r="AE12" s="1">
        <v>535135.49100000004</v>
      </c>
      <c r="AF12" s="1">
        <v>516849.97700000001</v>
      </c>
      <c r="AG12" s="1">
        <v>514282.49800000002</v>
      </c>
      <c r="AH12" s="1">
        <v>519313.30599999998</v>
      </c>
      <c r="AI12" s="1">
        <v>524080.89899999998</v>
      </c>
      <c r="AK12" s="1">
        <v>586015.66899999999</v>
      </c>
      <c r="AL12" s="1">
        <v>638925.38399999996</v>
      </c>
    </row>
    <row r="13" spans="1:38" ht="12.75" customHeight="1">
      <c r="A13" s="1" t="s">
        <v>28</v>
      </c>
      <c r="B13" s="1">
        <f>15304+56666</f>
        <v>71970</v>
      </c>
      <c r="C13" s="1">
        <f>17047+58956</f>
        <v>76003</v>
      </c>
      <c r="D13" s="1">
        <f>17670+69927</f>
        <v>87597</v>
      </c>
      <c r="I13" s="1">
        <v>153893.231</v>
      </c>
      <c r="J13" s="126">
        <v>159109.23699999999</v>
      </c>
      <c r="K13" s="1">
        <v>172264.53</v>
      </c>
      <c r="L13" s="1">
        <v>170162.24</v>
      </c>
      <c r="M13" s="1">
        <v>185609.505</v>
      </c>
      <c r="N13" s="1">
        <v>200728.36499999999</v>
      </c>
      <c r="O13" s="1">
        <v>132007.519</v>
      </c>
      <c r="R13" s="18">
        <v>230919.46</v>
      </c>
      <c r="S13" s="1">
        <v>277572.467</v>
      </c>
      <c r="T13" s="44">
        <v>320648.28700000001</v>
      </c>
      <c r="U13" s="1">
        <v>354710.31199999998</v>
      </c>
      <c r="V13" s="1">
        <v>404309.609</v>
      </c>
      <c r="W13" s="126">
        <v>426458.12300000002</v>
      </c>
      <c r="X13" s="126">
        <v>422936.12800000003</v>
      </c>
      <c r="Y13" s="126">
        <v>419983.92599999998</v>
      </c>
      <c r="Z13" s="126">
        <v>423386.04399999999</v>
      </c>
      <c r="AA13" s="126">
        <v>358077.01</v>
      </c>
      <c r="AB13" s="126">
        <v>520413.60499999998</v>
      </c>
      <c r="AC13" s="126">
        <v>564738</v>
      </c>
      <c r="AD13" s="1">
        <v>500929.54800000001</v>
      </c>
      <c r="AE13" s="1">
        <v>469280.31199999998</v>
      </c>
      <c r="AF13" s="1">
        <v>446616.00300000003</v>
      </c>
      <c r="AG13" s="1">
        <v>417395.152</v>
      </c>
      <c r="AH13" s="1">
        <v>431931.58500000002</v>
      </c>
      <c r="AI13" s="1">
        <v>442346.74400000001</v>
      </c>
      <c r="AK13" s="1">
        <v>500067.92499999999</v>
      </c>
      <c r="AL13" s="1">
        <v>603810.70400000003</v>
      </c>
    </row>
    <row r="14" spans="1:38" ht="12.75" customHeight="1">
      <c r="A14" s="1" t="s">
        <v>29</v>
      </c>
      <c r="B14" s="1">
        <v>104713</v>
      </c>
      <c r="C14" s="1">
        <f>0+112285</f>
        <v>112285</v>
      </c>
      <c r="D14" s="1">
        <f>0+124204</f>
        <v>124204</v>
      </c>
      <c r="I14" s="1">
        <v>195474.052</v>
      </c>
      <c r="J14" s="126">
        <v>201243.636</v>
      </c>
      <c r="K14" s="1">
        <v>222225.33900000001</v>
      </c>
      <c r="L14" s="1">
        <v>232827.43599999999</v>
      </c>
      <c r="M14" s="1">
        <v>233879.424</v>
      </c>
      <c r="N14" s="1">
        <v>265022.69900000002</v>
      </c>
      <c r="O14" s="1">
        <v>275342.86916</v>
      </c>
      <c r="R14" s="18">
        <v>374300.23300000001</v>
      </c>
      <c r="S14" s="1">
        <v>397167.63099999999</v>
      </c>
      <c r="T14" s="44">
        <v>519645.391</v>
      </c>
      <c r="U14" s="1">
        <v>502136.027</v>
      </c>
      <c r="V14" s="1">
        <v>529056.21600000001</v>
      </c>
      <c r="W14" s="126">
        <v>623173.696</v>
      </c>
      <c r="X14" s="126">
        <v>627287.87600000005</v>
      </c>
      <c r="Y14" s="126">
        <v>642472.87600000005</v>
      </c>
      <c r="Z14" s="126">
        <v>691027.21100000001</v>
      </c>
      <c r="AA14" s="126">
        <v>473669.94799999997</v>
      </c>
      <c r="AB14" s="126">
        <v>823649.79</v>
      </c>
      <c r="AC14" s="126">
        <v>929550</v>
      </c>
      <c r="AD14" s="1">
        <v>887510.96499999997</v>
      </c>
      <c r="AE14" s="1">
        <v>855700.23899999994</v>
      </c>
      <c r="AF14" s="1">
        <v>814603.57700000005</v>
      </c>
      <c r="AG14" s="1">
        <v>812621.86800000002</v>
      </c>
      <c r="AH14" s="1">
        <v>830491.63300000003</v>
      </c>
      <c r="AI14" s="1">
        <v>857392.43200000003</v>
      </c>
      <c r="AK14" s="1">
        <v>984446.53099999996</v>
      </c>
      <c r="AL14" s="1">
        <v>1038719.122</v>
      </c>
    </row>
    <row r="15" spans="1:38" ht="12.75" customHeight="1">
      <c r="A15" s="1" t="s">
        <v>30</v>
      </c>
      <c r="B15" s="1">
        <f>5805+51543</f>
        <v>57348</v>
      </c>
      <c r="C15" s="1">
        <f>6778+52526</f>
        <v>59304</v>
      </c>
      <c r="D15" s="1">
        <f>7940+58835</f>
        <v>66775</v>
      </c>
      <c r="I15" s="1">
        <v>119647.66899999999</v>
      </c>
      <c r="J15" s="126">
        <v>129193.44100000001</v>
      </c>
      <c r="K15" s="1">
        <v>139288.78599999999</v>
      </c>
      <c r="L15" s="1">
        <v>150356.74100000001</v>
      </c>
      <c r="M15" s="1">
        <v>155008.60399999999</v>
      </c>
      <c r="N15" s="1">
        <v>153572.04500000001</v>
      </c>
      <c r="O15" s="1">
        <v>117470.817</v>
      </c>
      <c r="R15" s="18">
        <v>224428.753</v>
      </c>
      <c r="S15" s="1">
        <v>278086.58799999999</v>
      </c>
      <c r="T15" s="44">
        <v>353517.76299999998</v>
      </c>
      <c r="U15" s="1">
        <v>373987.23700000002</v>
      </c>
      <c r="V15" s="1">
        <v>381583.45400000003</v>
      </c>
      <c r="W15" s="126">
        <v>410169.712</v>
      </c>
      <c r="X15" s="126">
        <v>426212.946</v>
      </c>
      <c r="Y15" s="126">
        <v>487166.08100000001</v>
      </c>
      <c r="Z15" s="126">
        <v>446104.71500000003</v>
      </c>
      <c r="AA15" s="126">
        <v>413741.30599999998</v>
      </c>
      <c r="AB15" s="126">
        <v>532609.152</v>
      </c>
      <c r="AC15" s="126">
        <v>529241</v>
      </c>
      <c r="AD15" s="1">
        <v>488308.20799999998</v>
      </c>
      <c r="AE15" s="1">
        <v>418553.08299999998</v>
      </c>
      <c r="AF15" s="1">
        <v>395276.45699999999</v>
      </c>
      <c r="AG15" s="1">
        <v>410077.55599999998</v>
      </c>
      <c r="AH15" s="1">
        <v>431008.15500000003</v>
      </c>
      <c r="AI15" s="1">
        <v>426004.78899999999</v>
      </c>
      <c r="AK15" s="1">
        <v>490084.908</v>
      </c>
      <c r="AL15" s="1">
        <v>545582.86399999994</v>
      </c>
    </row>
    <row r="16" spans="1:38" ht="12.75" customHeight="1">
      <c r="A16" s="1" t="s">
        <v>31</v>
      </c>
      <c r="B16" s="1">
        <f>63413+75483</f>
        <v>138896</v>
      </c>
      <c r="C16" s="1">
        <f>88270+79573</f>
        <v>167843</v>
      </c>
      <c r="D16" s="1">
        <f>85246+85488</f>
        <v>170734</v>
      </c>
      <c r="I16" s="1">
        <v>253005.52799999999</v>
      </c>
      <c r="J16" s="126">
        <v>288768.84999999998</v>
      </c>
      <c r="K16" s="1">
        <v>335844.75400000002</v>
      </c>
      <c r="L16" s="1">
        <v>362704.44799999997</v>
      </c>
      <c r="M16" s="1">
        <v>390622.21500000003</v>
      </c>
      <c r="N16" s="1">
        <v>406028.40399999998</v>
      </c>
      <c r="O16" s="1">
        <v>370101.46899999998</v>
      </c>
      <c r="R16" s="18">
        <v>501284.31099999999</v>
      </c>
      <c r="S16" s="1">
        <v>561505.39599999995</v>
      </c>
      <c r="T16" s="44">
        <v>681496.55900000001</v>
      </c>
      <c r="U16" s="1">
        <v>719330.93700000003</v>
      </c>
      <c r="V16" s="1">
        <v>791948.49800000002</v>
      </c>
      <c r="W16" s="126">
        <v>830217.62600000005</v>
      </c>
      <c r="X16" s="126">
        <v>857200.15300000005</v>
      </c>
      <c r="Y16" s="126">
        <v>874470.777</v>
      </c>
      <c r="Z16" s="126">
        <v>906379.33799999999</v>
      </c>
      <c r="AA16" s="126">
        <v>982805.78300000005</v>
      </c>
      <c r="AB16" s="126">
        <v>1191811.567</v>
      </c>
      <c r="AC16" s="126">
        <v>1302477</v>
      </c>
      <c r="AD16" s="1">
        <v>1281397.182</v>
      </c>
      <c r="AE16" s="1">
        <v>1275031.388</v>
      </c>
      <c r="AF16" s="1">
        <v>1320208.2749999999</v>
      </c>
      <c r="AG16" s="1">
        <v>1369505.267</v>
      </c>
      <c r="AH16" s="1">
        <v>1285030.483</v>
      </c>
      <c r="AI16" s="1">
        <v>1303838.189</v>
      </c>
      <c r="AK16" s="1">
        <v>1489253.727</v>
      </c>
      <c r="AL16" s="1">
        <v>1599438.871</v>
      </c>
    </row>
    <row r="17" spans="1:38" ht="12.75" customHeight="1">
      <c r="A17" s="1" t="s">
        <v>32</v>
      </c>
      <c r="B17" s="1">
        <v>57249</v>
      </c>
      <c r="C17" s="1">
        <v>58555</v>
      </c>
      <c r="D17" s="1">
        <f>0+64763</f>
        <v>64763</v>
      </c>
      <c r="I17" s="1">
        <v>105041.329</v>
      </c>
      <c r="J17" s="126">
        <v>121702.753</v>
      </c>
      <c r="K17" s="1">
        <v>124425.783</v>
      </c>
      <c r="L17" s="1">
        <v>135181.66899999999</v>
      </c>
      <c r="M17" s="1">
        <v>132830.29999999999</v>
      </c>
      <c r="N17" s="1">
        <v>137249.94500000001</v>
      </c>
      <c r="O17" s="1">
        <v>101794.75620999999</v>
      </c>
      <c r="R17" s="18">
        <v>193269.32</v>
      </c>
      <c r="S17" s="1">
        <v>212665.905</v>
      </c>
      <c r="T17" s="44">
        <v>260750.571</v>
      </c>
      <c r="U17" s="1">
        <v>283389.18800000002</v>
      </c>
      <c r="V17" s="1">
        <v>324720.85399999999</v>
      </c>
      <c r="W17" s="126">
        <v>337645.33799999999</v>
      </c>
      <c r="X17" s="126">
        <v>330184.39600000001</v>
      </c>
      <c r="Y17" s="126">
        <v>339231.386</v>
      </c>
      <c r="Z17" s="126">
        <v>377530.49800000002</v>
      </c>
      <c r="AA17" s="126">
        <v>260876.783</v>
      </c>
      <c r="AB17" s="126">
        <v>388487.114</v>
      </c>
      <c r="AC17" s="126">
        <v>423012</v>
      </c>
      <c r="AD17" s="1">
        <v>411177.26400000002</v>
      </c>
      <c r="AE17" s="1">
        <v>408839.10200000001</v>
      </c>
      <c r="AF17" s="1">
        <v>401437.08799999999</v>
      </c>
      <c r="AG17" s="1">
        <v>390403.42099999997</v>
      </c>
      <c r="AH17" s="1">
        <v>381492.62400000001</v>
      </c>
      <c r="AI17" s="1">
        <v>403966.451</v>
      </c>
      <c r="AK17" s="1">
        <v>449040.13400000002</v>
      </c>
      <c r="AL17" s="1">
        <v>527634.56099999999</v>
      </c>
    </row>
    <row r="18" spans="1:38" ht="12.75" customHeight="1">
      <c r="A18" s="1" t="s">
        <v>33</v>
      </c>
      <c r="B18" s="1">
        <f>28527+22752</f>
        <v>51279</v>
      </c>
      <c r="C18" s="1">
        <f>29258+26588</f>
        <v>55846</v>
      </c>
      <c r="D18" s="1">
        <f>34158+31488</f>
        <v>65646</v>
      </c>
      <c r="I18" s="1">
        <v>100164.88</v>
      </c>
      <c r="J18" s="126">
        <v>114707.427</v>
      </c>
      <c r="K18" s="1">
        <v>131264.804</v>
      </c>
      <c r="L18" s="1">
        <v>142438.905</v>
      </c>
      <c r="M18" s="1">
        <v>163819.228</v>
      </c>
      <c r="N18" s="1">
        <v>164440.40900000001</v>
      </c>
      <c r="O18" s="1">
        <v>138060.85500000001</v>
      </c>
      <c r="R18" s="18">
        <v>219833.30600000001</v>
      </c>
      <c r="S18" s="1">
        <v>248069.46799999999</v>
      </c>
      <c r="T18" s="44">
        <v>274373.68</v>
      </c>
      <c r="U18" s="1">
        <v>323366.21100000001</v>
      </c>
      <c r="V18" s="1">
        <v>350336.07</v>
      </c>
      <c r="W18" s="126">
        <v>360192.62099999998</v>
      </c>
      <c r="X18" s="126">
        <v>366256.52600000001</v>
      </c>
      <c r="Y18" s="126">
        <v>354816.32500000001</v>
      </c>
      <c r="Z18" s="126">
        <v>381723.85600000003</v>
      </c>
      <c r="AA18" s="126">
        <v>282282.38699999999</v>
      </c>
      <c r="AB18" s="126">
        <v>494299.47</v>
      </c>
      <c r="AC18" s="126">
        <v>528785</v>
      </c>
      <c r="AD18" s="1">
        <v>501771.16</v>
      </c>
      <c r="AE18" s="1">
        <v>492494.58600000001</v>
      </c>
      <c r="AF18" s="1">
        <v>480239.29100000003</v>
      </c>
      <c r="AG18" s="1">
        <v>491486.783</v>
      </c>
      <c r="AH18" s="1">
        <v>498840.00699999998</v>
      </c>
      <c r="AI18" s="1">
        <v>485933.7</v>
      </c>
      <c r="AK18" s="1">
        <v>560544.90599999996</v>
      </c>
      <c r="AL18" s="1">
        <v>644600.826</v>
      </c>
    </row>
    <row r="19" spans="1:38" ht="12.75" customHeight="1">
      <c r="A19" s="1" t="s">
        <v>34</v>
      </c>
      <c r="B19" s="1">
        <f>28123+47278</f>
        <v>75401</v>
      </c>
      <c r="C19" s="1">
        <f>30740+50382</f>
        <v>81122</v>
      </c>
      <c r="D19" s="1">
        <f>37518+55334</f>
        <v>92852</v>
      </c>
      <c r="I19" s="1">
        <v>132064.61799999999</v>
      </c>
      <c r="J19" s="126">
        <v>151587.79199999999</v>
      </c>
      <c r="K19" s="1">
        <v>166408.397</v>
      </c>
      <c r="L19" s="1">
        <v>168480.44500000001</v>
      </c>
      <c r="M19" s="1">
        <v>164870.875</v>
      </c>
      <c r="N19" s="1">
        <v>164614.36300000001</v>
      </c>
      <c r="O19" s="1">
        <v>125361.14038</v>
      </c>
      <c r="R19" s="24">
        <v>201648.57500000001</v>
      </c>
      <c r="S19" s="1">
        <v>230821.72</v>
      </c>
      <c r="T19" s="44">
        <v>275027.68900000001</v>
      </c>
      <c r="U19" s="1">
        <v>325049.05</v>
      </c>
      <c r="V19" s="1">
        <v>347090.58299999998</v>
      </c>
      <c r="W19" s="126">
        <v>304894.92700000003</v>
      </c>
      <c r="X19" s="126">
        <v>398753.03200000001</v>
      </c>
      <c r="Y19" s="126">
        <v>419139.30300000001</v>
      </c>
      <c r="Z19" s="126">
        <v>425928.37</v>
      </c>
      <c r="AA19" s="126">
        <v>478710.03700000001</v>
      </c>
      <c r="AB19" s="126">
        <v>670607.83400000003</v>
      </c>
      <c r="AC19" s="126">
        <v>656483</v>
      </c>
      <c r="AD19" s="1">
        <v>622936.79299999995</v>
      </c>
      <c r="AE19" s="1">
        <v>582704.69400000002</v>
      </c>
      <c r="AF19" s="1">
        <v>554348.84499999997</v>
      </c>
      <c r="AG19" s="1">
        <v>538796.45700000005</v>
      </c>
      <c r="AH19" s="1">
        <v>538353.63300000003</v>
      </c>
      <c r="AI19" s="1">
        <v>533983.62399999995</v>
      </c>
      <c r="AK19" s="1">
        <v>522526.09399999998</v>
      </c>
      <c r="AL19" s="1">
        <v>596038.92200000002</v>
      </c>
    </row>
    <row r="20" spans="1:38" ht="12.75" customHeight="1">
      <c r="A20" s="1" t="s">
        <v>35</v>
      </c>
      <c r="B20" s="1">
        <f>96255+167334</f>
        <v>263589</v>
      </c>
      <c r="C20" s="1">
        <f>105356+191921</f>
        <v>297277</v>
      </c>
      <c r="D20" s="1">
        <f>119164+218260</f>
        <v>337424</v>
      </c>
      <c r="I20" s="1">
        <v>577008.85800000001</v>
      </c>
      <c r="J20" s="126">
        <v>668760.549</v>
      </c>
      <c r="K20" s="1">
        <v>741272.076</v>
      </c>
      <c r="L20" s="1">
        <v>764259.04</v>
      </c>
      <c r="M20" s="1">
        <v>816728.08</v>
      </c>
      <c r="N20" s="1">
        <v>876810.03899999999</v>
      </c>
      <c r="O20" s="1">
        <v>781198.86699999997</v>
      </c>
      <c r="R20" s="18">
        <v>1074580.831</v>
      </c>
      <c r="S20" s="1">
        <v>1288928.297</v>
      </c>
      <c r="T20" s="44">
        <v>1576983.9169999999</v>
      </c>
      <c r="U20" s="1">
        <v>1791579.23</v>
      </c>
      <c r="V20" s="1">
        <v>2011792.7790000001</v>
      </c>
      <c r="W20" s="126">
        <v>2269007.5690000001</v>
      </c>
      <c r="X20" s="126">
        <v>2082690.4609999999</v>
      </c>
      <c r="Y20" s="126">
        <v>2025691.62</v>
      </c>
      <c r="Z20" s="126">
        <v>2144450.0389999999</v>
      </c>
      <c r="AA20" s="126">
        <v>1587793.513</v>
      </c>
      <c r="AB20" s="126">
        <v>2914361.4989999998</v>
      </c>
      <c r="AC20" s="126">
        <v>2956857</v>
      </c>
      <c r="AD20" s="1">
        <v>2688669.3139999998</v>
      </c>
      <c r="AE20" s="1">
        <v>2067523.341</v>
      </c>
      <c r="AF20" s="1">
        <v>1984138.4580000001</v>
      </c>
      <c r="AG20" s="1">
        <v>2066920.55</v>
      </c>
      <c r="AH20" s="1">
        <v>2706109.693</v>
      </c>
      <c r="AI20" s="1">
        <v>2816667.9479999999</v>
      </c>
      <c r="AK20" s="1">
        <v>3158401.3709999998</v>
      </c>
      <c r="AL20" s="1">
        <v>3892729.6940000001</v>
      </c>
    </row>
    <row r="21" spans="1:38" ht="12.75" customHeight="1">
      <c r="A21" s="1" t="s">
        <v>36</v>
      </c>
      <c r="B21" s="1">
        <f>69642+55227</f>
        <v>124869</v>
      </c>
      <c r="C21" s="1">
        <f>76340+57840</f>
        <v>134180</v>
      </c>
      <c r="D21" s="1">
        <f>87625+67922</f>
        <v>155547</v>
      </c>
      <c r="I21" s="1">
        <v>234424.27</v>
      </c>
      <c r="J21" s="126">
        <v>253128.14799999999</v>
      </c>
      <c r="K21" s="1">
        <v>275639.68099999998</v>
      </c>
      <c r="L21" s="1">
        <v>288232.69099999999</v>
      </c>
      <c r="M21" s="1">
        <v>303892.19900000002</v>
      </c>
      <c r="N21" s="1">
        <v>303648.96000000002</v>
      </c>
      <c r="O21" s="1">
        <v>317042.777</v>
      </c>
      <c r="R21" s="18">
        <v>382937.08899999998</v>
      </c>
      <c r="S21" s="1">
        <v>447503.07199999999</v>
      </c>
      <c r="T21" s="44">
        <v>535765.97499999998</v>
      </c>
      <c r="U21" s="1">
        <v>638849.51599999995</v>
      </c>
      <c r="V21" s="1">
        <v>691920.81</v>
      </c>
      <c r="W21" s="126">
        <v>753116.18900000001</v>
      </c>
      <c r="X21" s="126">
        <v>727803.65399999998</v>
      </c>
      <c r="Y21" s="126">
        <v>709789.19200000004</v>
      </c>
      <c r="Z21" s="126">
        <v>761858.67099999997</v>
      </c>
      <c r="AA21" s="126">
        <v>814640.83700000006</v>
      </c>
      <c r="AB21" s="126">
        <v>910745.65700000001</v>
      </c>
      <c r="AC21" s="126">
        <v>981426</v>
      </c>
      <c r="AD21" s="1">
        <v>964526.71200000006</v>
      </c>
      <c r="AE21" s="1">
        <v>979548.85100000002</v>
      </c>
      <c r="AF21" s="1">
        <v>960807.272</v>
      </c>
      <c r="AG21" s="1">
        <v>967605.49600000004</v>
      </c>
      <c r="AH21" s="1">
        <v>988475.92799999996</v>
      </c>
      <c r="AI21" s="1">
        <v>997751.24600000004</v>
      </c>
      <c r="AK21" s="1">
        <v>1141332.4669999999</v>
      </c>
      <c r="AL21" s="1">
        <v>1351279.9509999999</v>
      </c>
    </row>
    <row r="22" spans="1:38" ht="12.75" customHeight="1">
      <c r="A22" s="27" t="s">
        <v>37</v>
      </c>
      <c r="B22" s="27">
        <f>21244+14199</f>
        <v>35443</v>
      </c>
      <c r="C22" s="27">
        <f>17771+14900</f>
        <v>32671</v>
      </c>
      <c r="D22" s="27">
        <f>20063+16436</f>
        <v>36499</v>
      </c>
      <c r="E22" s="27"/>
      <c r="F22" s="27"/>
      <c r="G22" s="27"/>
      <c r="H22" s="27"/>
      <c r="I22" s="27">
        <v>54568.553999999996</v>
      </c>
      <c r="J22" s="127">
        <v>70667.244000000006</v>
      </c>
      <c r="K22" s="27">
        <v>77842.135999999999</v>
      </c>
      <c r="L22" s="27">
        <v>81032.929000000004</v>
      </c>
      <c r="M22" s="27">
        <v>84564.865000000005</v>
      </c>
      <c r="N22" s="27">
        <v>89019.909</v>
      </c>
      <c r="O22" s="27">
        <v>72878.524999999994</v>
      </c>
      <c r="P22" s="27"/>
      <c r="Q22" s="27"/>
      <c r="R22" s="27">
        <v>109230.11199999999</v>
      </c>
      <c r="S22" s="27">
        <v>123981.33199999999</v>
      </c>
      <c r="T22" s="61">
        <v>154007.41</v>
      </c>
      <c r="U22" s="27">
        <v>181321.198</v>
      </c>
      <c r="V22" s="27">
        <v>185711.24100000001</v>
      </c>
      <c r="W22" s="127">
        <v>193180.94200000001</v>
      </c>
      <c r="X22" s="127">
        <v>185267.22099999999</v>
      </c>
      <c r="Y22" s="127">
        <v>182634.98</v>
      </c>
      <c r="Z22" s="127">
        <v>188367.965</v>
      </c>
      <c r="AA22" s="127">
        <v>191014.43799999999</v>
      </c>
      <c r="AB22" s="127">
        <v>232886.51699999999</v>
      </c>
      <c r="AC22" s="127">
        <v>264440</v>
      </c>
      <c r="AD22" s="27">
        <v>232949.65599999999</v>
      </c>
      <c r="AE22" s="27">
        <v>214065.83199999999</v>
      </c>
      <c r="AF22" s="27">
        <v>206888.73</v>
      </c>
      <c r="AG22" s="27">
        <v>195740.62700000001</v>
      </c>
      <c r="AH22" s="27">
        <v>201915.26699999999</v>
      </c>
      <c r="AI22" s="27">
        <v>197773.09700000001</v>
      </c>
      <c r="AJ22" s="27"/>
      <c r="AK22" s="1">
        <v>211890.63500000001</v>
      </c>
      <c r="AL22" s="1">
        <v>242903.117</v>
      </c>
    </row>
    <row r="23" spans="1:38" ht="12.75" customHeight="1">
      <c r="A23" s="6" t="s">
        <v>38</v>
      </c>
      <c r="J23" s="51">
        <f>SUM(J25:J37)</f>
        <v>2918207.6880000001</v>
      </c>
      <c r="M23" s="51">
        <f>SUM(M25:M37)</f>
        <v>3525113.2379999999</v>
      </c>
      <c r="O23" s="51">
        <f>SUM(O25:O37)</f>
        <v>3320696.9965599994</v>
      </c>
      <c r="R23" s="51">
        <f t="shared" ref="R23:AK23" si="18">SUM(R25:R37)</f>
        <v>4956429.1220000004</v>
      </c>
      <c r="S23" s="51">
        <f t="shared" si="18"/>
        <v>5432633.4509999994</v>
      </c>
      <c r="T23" s="51">
        <f t="shared" si="18"/>
        <v>5934055.0889999988</v>
      </c>
      <c r="U23" s="51">
        <f t="shared" si="18"/>
        <v>6738675.7370000007</v>
      </c>
      <c r="V23" s="51">
        <f t="shared" si="18"/>
        <v>7112311.2750000004</v>
      </c>
      <c r="W23" s="51">
        <f t="shared" si="18"/>
        <v>7724379.4389999993</v>
      </c>
      <c r="X23" s="51">
        <f t="shared" si="18"/>
        <v>7848716.3229999999</v>
      </c>
      <c r="Y23" s="51">
        <f t="shared" si="18"/>
        <v>8018707.051</v>
      </c>
      <c r="Z23" s="51">
        <f t="shared" si="18"/>
        <v>8165280.0150000006</v>
      </c>
      <c r="AA23" s="51">
        <f t="shared" si="18"/>
        <v>7867394.1429999983</v>
      </c>
      <c r="AB23" s="51">
        <f t="shared" si="18"/>
        <v>9934496.5099999998</v>
      </c>
      <c r="AC23" s="51">
        <f t="shared" si="18"/>
        <v>10849946</v>
      </c>
      <c r="AD23" s="51">
        <f t="shared" si="18"/>
        <v>10654646.489</v>
      </c>
      <c r="AE23" s="51">
        <f t="shared" si="18"/>
        <v>10500075.395</v>
      </c>
      <c r="AF23" s="51">
        <f t="shared" si="18"/>
        <v>10386750.367999999</v>
      </c>
      <c r="AG23" s="51">
        <f t="shared" si="18"/>
        <v>10435583.103</v>
      </c>
      <c r="AH23" s="51">
        <f t="shared" si="18"/>
        <v>10629091.978</v>
      </c>
      <c r="AI23" s="51">
        <f t="shared" si="18"/>
        <v>10738250.188000001</v>
      </c>
      <c r="AJ23" s="51">
        <f t="shared" si="18"/>
        <v>0</v>
      </c>
      <c r="AK23" s="131">
        <f t="shared" si="18"/>
        <v>11888110.802999999</v>
      </c>
      <c r="AL23" s="131">
        <f t="shared" ref="AL23" si="19">SUM(AL25:AL37)</f>
        <v>13524301766</v>
      </c>
    </row>
    <row r="24" spans="1:38" ht="12.75" customHeight="1">
      <c r="A24" s="6" t="s">
        <v>94</v>
      </c>
      <c r="T24" s="44"/>
    </row>
    <row r="25" spans="1:38" ht="12.75" customHeight="1">
      <c r="A25" s="1" t="s">
        <v>39</v>
      </c>
      <c r="J25" s="126">
        <v>43806.485000000001</v>
      </c>
      <c r="M25" s="1">
        <v>56657.18</v>
      </c>
      <c r="O25" s="1">
        <v>46764.294000000002</v>
      </c>
      <c r="R25" s="18">
        <v>69579.562999999995</v>
      </c>
      <c r="S25" s="1">
        <v>79811.28</v>
      </c>
      <c r="T25" s="44">
        <v>100915.99</v>
      </c>
      <c r="U25" s="1">
        <v>117155.78</v>
      </c>
      <c r="V25" s="1">
        <v>133765.30600000001</v>
      </c>
      <c r="W25" s="126">
        <v>138333.19899999999</v>
      </c>
      <c r="X25" s="126">
        <v>142407.11900000001</v>
      </c>
      <c r="Y25" s="126">
        <v>141431.087</v>
      </c>
      <c r="Z25" s="126">
        <v>138181.97399999999</v>
      </c>
      <c r="AA25" s="126">
        <v>137951.264</v>
      </c>
      <c r="AB25" s="126">
        <v>136877.33799999999</v>
      </c>
      <c r="AC25" s="126">
        <v>132086</v>
      </c>
      <c r="AD25" s="1">
        <v>85627.827999999994</v>
      </c>
      <c r="AE25" s="1">
        <v>145946.027</v>
      </c>
      <c r="AF25" s="1">
        <v>141386.17199999999</v>
      </c>
      <c r="AG25" s="1">
        <v>140778.375</v>
      </c>
      <c r="AH25" s="1">
        <v>146011.573</v>
      </c>
      <c r="AI25" s="1">
        <v>149784.163</v>
      </c>
      <c r="AK25" s="1">
        <v>145727.50099999999</v>
      </c>
      <c r="AL25" s="1">
        <v>158704081</v>
      </c>
    </row>
    <row r="26" spans="1:38" ht="12.75" customHeight="1">
      <c r="A26" s="1" t="s">
        <v>40</v>
      </c>
      <c r="J26" s="126">
        <v>215444.49900000001</v>
      </c>
      <c r="M26" s="1">
        <v>285537.88199999998</v>
      </c>
      <c r="O26" s="1">
        <v>238286.96799999999</v>
      </c>
      <c r="R26" s="18">
        <v>332969.67099999997</v>
      </c>
      <c r="S26" s="1">
        <v>369907.11900000001</v>
      </c>
      <c r="T26" s="44">
        <v>410453</v>
      </c>
      <c r="U26" s="1">
        <v>481125.42200000002</v>
      </c>
      <c r="V26" s="1">
        <v>526454.84499999997</v>
      </c>
      <c r="W26" s="126">
        <v>565616.91399999999</v>
      </c>
      <c r="X26" s="126">
        <v>558951.45299999998</v>
      </c>
      <c r="Y26" s="126">
        <v>565695.04200000002</v>
      </c>
      <c r="Z26" s="126">
        <v>586101.375</v>
      </c>
      <c r="AA26" s="126">
        <v>613943.973</v>
      </c>
      <c r="AB26" s="126">
        <v>733991.33299999998</v>
      </c>
      <c r="AC26" s="126">
        <v>827955</v>
      </c>
      <c r="AD26" s="1">
        <v>849355.51699999999</v>
      </c>
      <c r="AE26" s="1">
        <v>846444.64800000004</v>
      </c>
      <c r="AF26" s="1">
        <v>810590.92099999997</v>
      </c>
      <c r="AG26" s="1">
        <v>790226.23699999996</v>
      </c>
      <c r="AH26" s="1">
        <v>808091.71799999999</v>
      </c>
      <c r="AI26" s="1">
        <v>813425.875</v>
      </c>
      <c r="AK26" s="1">
        <v>1001405.323</v>
      </c>
      <c r="AL26" s="1">
        <v>1038511344</v>
      </c>
    </row>
    <row r="27" spans="1:38" ht="12.75" customHeight="1">
      <c r="A27" s="1" t="s">
        <v>41</v>
      </c>
      <c r="J27" s="126">
        <v>1215838.409</v>
      </c>
      <c r="M27" s="1">
        <v>1450016.416</v>
      </c>
      <c r="O27" s="1">
        <v>1375214.82</v>
      </c>
      <c r="R27" s="18">
        <v>2231690.5350000001</v>
      </c>
      <c r="S27" s="1">
        <v>2419773.8319999999</v>
      </c>
      <c r="T27" s="44">
        <v>2443397.8709999998</v>
      </c>
      <c r="U27" s="1">
        <v>2750981.2379999999</v>
      </c>
      <c r="V27" s="1">
        <v>3004933.9989999998</v>
      </c>
      <c r="W27" s="126">
        <v>3124191.1770000001</v>
      </c>
      <c r="X27" s="126">
        <v>3203147.21</v>
      </c>
      <c r="Y27" s="126">
        <v>3293900.165</v>
      </c>
      <c r="Z27" s="126">
        <v>3377418.4330000002</v>
      </c>
      <c r="AA27" s="126">
        <v>3181241.84</v>
      </c>
      <c r="AB27" s="126">
        <v>4127773.75</v>
      </c>
      <c r="AC27" s="126">
        <v>4542714</v>
      </c>
      <c r="AD27" s="1">
        <v>4531568.4280000003</v>
      </c>
      <c r="AE27" s="1">
        <v>4446256.8739999998</v>
      </c>
      <c r="AF27" s="1">
        <v>4449378.4560000002</v>
      </c>
      <c r="AG27" s="1">
        <v>4526601.04</v>
      </c>
      <c r="AH27" s="1">
        <v>4657889.55</v>
      </c>
      <c r="AI27" s="1">
        <v>4640577.9560000002</v>
      </c>
      <c r="AK27" s="1">
        <v>5096324.898</v>
      </c>
      <c r="AL27" s="1">
        <v>6224071559</v>
      </c>
    </row>
    <row r="28" spans="1:38" ht="12.75" customHeight="1">
      <c r="A28" s="1" t="s">
        <v>42</v>
      </c>
      <c r="J28" s="126">
        <v>285035.73</v>
      </c>
      <c r="M28" s="1">
        <v>369021.016</v>
      </c>
      <c r="O28" s="1">
        <v>349737.46174</v>
      </c>
      <c r="R28" s="18">
        <v>544222.75</v>
      </c>
      <c r="S28" s="1">
        <v>586129.49800000002</v>
      </c>
      <c r="T28" s="44">
        <v>600699.18400000001</v>
      </c>
      <c r="U28" s="1">
        <v>671955.41200000001</v>
      </c>
      <c r="V28" s="1">
        <v>518772.891</v>
      </c>
      <c r="W28" s="126">
        <v>795969.38</v>
      </c>
      <c r="X28" s="126">
        <v>795137.98800000001</v>
      </c>
      <c r="Y28" s="126">
        <v>809001.04799999995</v>
      </c>
      <c r="Z28" s="126">
        <v>814625.71200000006</v>
      </c>
      <c r="AA28" s="126">
        <v>860397.89800000004</v>
      </c>
      <c r="AB28" s="126">
        <v>1005781.936</v>
      </c>
      <c r="AC28" s="126">
        <v>1100934</v>
      </c>
      <c r="AD28" s="1">
        <v>1092813.0009999999</v>
      </c>
      <c r="AE28" s="1">
        <v>1042541.123</v>
      </c>
      <c r="AF28" s="1">
        <v>1036772.948</v>
      </c>
      <c r="AG28" s="1">
        <v>1066008.8689999999</v>
      </c>
      <c r="AH28" s="1">
        <v>1109888.331</v>
      </c>
      <c r="AI28" s="1">
        <v>1152267.9790000001</v>
      </c>
      <c r="AK28" s="1">
        <v>1311659.6459999999</v>
      </c>
      <c r="AL28" s="1">
        <v>1421640809</v>
      </c>
    </row>
    <row r="29" spans="1:38" ht="12.75" customHeight="1">
      <c r="A29" s="1" t="s">
        <v>43</v>
      </c>
      <c r="J29" s="126">
        <v>80037.726999999999</v>
      </c>
      <c r="M29" s="1">
        <v>100281.93</v>
      </c>
      <c r="O29" s="1">
        <v>100742.84699999999</v>
      </c>
      <c r="R29" s="18">
        <v>117487.74099999999</v>
      </c>
      <c r="S29" s="1">
        <v>181595.79</v>
      </c>
      <c r="T29" s="44">
        <v>160651.658</v>
      </c>
      <c r="U29" s="1">
        <v>195561.68299999999</v>
      </c>
      <c r="V29" s="1">
        <v>231858.84</v>
      </c>
      <c r="W29" s="126">
        <v>242554.296</v>
      </c>
      <c r="X29" s="126">
        <v>255019.367</v>
      </c>
      <c r="Y29" s="126">
        <v>255431.41699999999</v>
      </c>
      <c r="Z29" s="126">
        <v>255725.101</v>
      </c>
      <c r="AA29" s="126">
        <v>256091.761</v>
      </c>
      <c r="AB29" s="126">
        <v>297233.16600000003</v>
      </c>
      <c r="AC29" s="126">
        <v>319520</v>
      </c>
      <c r="AD29" s="1">
        <v>298648.147</v>
      </c>
      <c r="AE29" s="1">
        <v>313058.88699999999</v>
      </c>
      <c r="AF29" s="1">
        <v>312721.69699999999</v>
      </c>
      <c r="AG29" s="1">
        <v>283997.40600000002</v>
      </c>
      <c r="AH29" s="1">
        <v>277474.17200000002</v>
      </c>
      <c r="AI29" s="1">
        <v>256205.58600000001</v>
      </c>
      <c r="AK29" s="1">
        <v>253317.02799999999</v>
      </c>
      <c r="AL29" s="1">
        <v>261147463</v>
      </c>
    </row>
    <row r="30" spans="1:38" ht="12.75" customHeight="1">
      <c r="A30" s="1" t="s">
        <v>44</v>
      </c>
      <c r="J30" s="126">
        <v>45786.192000000003</v>
      </c>
      <c r="M30" s="1">
        <v>49164.764000000003</v>
      </c>
      <c r="O30" s="1">
        <v>30298.26</v>
      </c>
      <c r="R30" s="18">
        <v>63544.999000000003</v>
      </c>
      <c r="S30" s="1">
        <v>75653.445000000007</v>
      </c>
      <c r="T30" s="44">
        <v>96627.914000000004</v>
      </c>
      <c r="U30" s="1">
        <v>115280.105</v>
      </c>
      <c r="V30" s="1">
        <v>123512.14200000001</v>
      </c>
      <c r="W30" s="126">
        <v>126100.408</v>
      </c>
      <c r="X30" s="126">
        <v>119741.461</v>
      </c>
      <c r="Y30" s="126">
        <v>119399.129</v>
      </c>
      <c r="Z30" s="126">
        <v>120865.338</v>
      </c>
      <c r="AA30" s="126">
        <v>147546.34</v>
      </c>
      <c r="AB30" s="126">
        <v>181917.345</v>
      </c>
      <c r="AC30" s="126">
        <v>211178</v>
      </c>
      <c r="AD30" s="1">
        <v>197983.33100000001</v>
      </c>
      <c r="AE30" s="1">
        <v>189302.53400000001</v>
      </c>
      <c r="AF30" s="1">
        <v>173104.44</v>
      </c>
      <c r="AG30" s="1">
        <v>169487.573</v>
      </c>
      <c r="AH30" s="1">
        <v>167854.90100000001</v>
      </c>
      <c r="AI30" s="1">
        <v>166923.76500000001</v>
      </c>
      <c r="AK30" s="1">
        <v>172964.27100000001</v>
      </c>
      <c r="AL30" s="1">
        <v>188296691</v>
      </c>
    </row>
    <row r="31" spans="1:38" ht="12.75" customHeight="1">
      <c r="A31" s="1" t="s">
        <v>45</v>
      </c>
      <c r="J31" s="126">
        <v>46079.082999999999</v>
      </c>
      <c r="M31" s="1">
        <v>57717.610999999997</v>
      </c>
      <c r="O31" s="1">
        <v>54300.91</v>
      </c>
      <c r="R31" s="24">
        <v>90058.7</v>
      </c>
      <c r="S31" s="1">
        <v>106321.89200000001</v>
      </c>
      <c r="T31" s="44">
        <v>113346.24099999999</v>
      </c>
      <c r="U31" s="1">
        <v>145359.704</v>
      </c>
      <c r="V31" s="1">
        <v>155084.18100000001</v>
      </c>
      <c r="W31" s="126">
        <v>159580.39799999999</v>
      </c>
      <c r="X31" s="126">
        <v>160241.49299999999</v>
      </c>
      <c r="Y31" s="126">
        <v>159290.31700000001</v>
      </c>
      <c r="Z31" s="126">
        <v>161258.967</v>
      </c>
      <c r="AA31" s="126">
        <v>176794.992</v>
      </c>
      <c r="AB31" s="126">
        <v>191501.408</v>
      </c>
      <c r="AC31" s="126">
        <v>198852</v>
      </c>
      <c r="AD31" s="1">
        <v>194681.595</v>
      </c>
      <c r="AE31" s="1">
        <v>177232.25899999999</v>
      </c>
      <c r="AF31" s="1">
        <v>170318.389</v>
      </c>
      <c r="AG31" s="1">
        <v>171138.01800000001</v>
      </c>
      <c r="AH31" s="1">
        <v>178044.74299999999</v>
      </c>
      <c r="AI31" s="1">
        <v>186019.63</v>
      </c>
      <c r="AK31" s="1">
        <v>194955.41699999999</v>
      </c>
      <c r="AL31" s="1">
        <v>217250702</v>
      </c>
    </row>
    <row r="32" spans="1:38" ht="12.75" customHeight="1">
      <c r="A32" s="1" t="s">
        <v>46</v>
      </c>
      <c r="J32" s="126">
        <v>44255.976000000002</v>
      </c>
      <c r="M32" s="1">
        <v>53930.68</v>
      </c>
      <c r="O32" s="1">
        <v>50998.89</v>
      </c>
      <c r="R32" s="24">
        <v>70255.990000000005</v>
      </c>
      <c r="S32" s="1">
        <v>81314.146999999997</v>
      </c>
      <c r="T32" s="44">
        <v>105417.535</v>
      </c>
      <c r="U32" s="1">
        <v>122153.62699999999</v>
      </c>
      <c r="V32" s="1">
        <v>148203.18700000001</v>
      </c>
      <c r="W32" s="126">
        <v>162873.766</v>
      </c>
      <c r="X32" s="126">
        <v>178432.45</v>
      </c>
      <c r="Y32" s="126">
        <v>177302.848</v>
      </c>
      <c r="Z32" s="126">
        <v>200049.36900000001</v>
      </c>
      <c r="AA32" s="126">
        <v>171594.209</v>
      </c>
      <c r="AB32" s="126">
        <v>235017.74</v>
      </c>
      <c r="AC32" s="126">
        <v>189459</v>
      </c>
      <c r="AD32" s="1">
        <v>182381.50399999999</v>
      </c>
      <c r="AE32" s="1">
        <v>192493.834</v>
      </c>
      <c r="AF32" s="1">
        <v>191483.29800000001</v>
      </c>
      <c r="AG32" s="1">
        <v>189181.92300000001</v>
      </c>
      <c r="AH32" s="1">
        <v>196199.18100000001</v>
      </c>
      <c r="AI32" s="1">
        <v>204316.54800000001</v>
      </c>
      <c r="AK32" s="1">
        <v>221169.60500000001</v>
      </c>
      <c r="AL32" s="1">
        <v>252203918</v>
      </c>
    </row>
    <row r="33" spans="1:38" ht="12.75" customHeight="1">
      <c r="A33" s="1" t="s">
        <v>47</v>
      </c>
      <c r="J33" s="126">
        <v>151122.39799999999</v>
      </c>
      <c r="M33" s="1">
        <v>202867.397</v>
      </c>
      <c r="O33" s="1">
        <v>178350.76781999998</v>
      </c>
      <c r="R33" s="24">
        <v>222476.59299999999</v>
      </c>
      <c r="S33" s="1">
        <v>265233.61800000002</v>
      </c>
      <c r="T33" s="44">
        <v>330753.95299999998</v>
      </c>
      <c r="U33" s="1">
        <v>359052.92800000001</v>
      </c>
      <c r="V33" s="1">
        <v>369737.96100000001</v>
      </c>
      <c r="W33" s="126">
        <v>426733.85399999999</v>
      </c>
      <c r="X33" s="126">
        <v>427604.78</v>
      </c>
      <c r="Y33" s="126">
        <v>467128.54499999998</v>
      </c>
      <c r="Z33" s="126">
        <v>415678.47100000002</v>
      </c>
      <c r="AA33" s="126">
        <v>423739.14</v>
      </c>
      <c r="AB33" s="126">
        <v>471751.83600000001</v>
      </c>
      <c r="AC33" s="126">
        <v>484233</v>
      </c>
      <c r="AD33" s="1">
        <v>443691.44900000002</v>
      </c>
      <c r="AE33" s="1">
        <v>429161.658</v>
      </c>
      <c r="AF33" s="1">
        <v>438156.80800000002</v>
      </c>
      <c r="AG33" s="1">
        <v>436475.88400000002</v>
      </c>
      <c r="AH33" s="1">
        <v>408232.446</v>
      </c>
      <c r="AI33" s="1">
        <v>423780.68099999998</v>
      </c>
      <c r="AK33" s="1">
        <v>422387.12400000001</v>
      </c>
      <c r="AL33" s="1">
        <v>474710448</v>
      </c>
    </row>
    <row r="34" spans="1:38" ht="12.75" customHeight="1">
      <c r="A34" s="1" t="s">
        <v>48</v>
      </c>
      <c r="J34" s="126">
        <v>182383.717</v>
      </c>
      <c r="M34" s="1">
        <v>227770.43400000001</v>
      </c>
      <c r="O34" s="1">
        <v>244042.85399999999</v>
      </c>
      <c r="R34" s="18">
        <v>359466.34100000001</v>
      </c>
      <c r="S34" s="1">
        <v>323614.89199999999</v>
      </c>
      <c r="T34" s="44">
        <v>491609.092</v>
      </c>
      <c r="U34" s="1">
        <v>516566.527</v>
      </c>
      <c r="V34" s="1">
        <v>518413.85700000002</v>
      </c>
      <c r="W34" s="126">
        <v>562317.63699999999</v>
      </c>
      <c r="X34" s="126">
        <v>568573.03899999999</v>
      </c>
      <c r="Y34" s="126">
        <v>576416.86300000001</v>
      </c>
      <c r="Z34" s="126">
        <v>603931.09</v>
      </c>
      <c r="AA34" s="126">
        <v>353347.29499999998</v>
      </c>
      <c r="AB34" s="126">
        <v>723765.45400000003</v>
      </c>
      <c r="AC34" s="126">
        <v>704932</v>
      </c>
      <c r="AD34" s="1">
        <v>740231.81799999997</v>
      </c>
      <c r="AE34" s="1">
        <v>725471.45299999998</v>
      </c>
      <c r="AF34" s="1">
        <v>728074.05700000003</v>
      </c>
      <c r="AG34" s="1">
        <v>727567.17</v>
      </c>
      <c r="AH34" s="1">
        <v>716048.49899999995</v>
      </c>
      <c r="AI34" s="1">
        <v>724620.35699999996</v>
      </c>
      <c r="AK34" s="1">
        <v>820673.30900000001</v>
      </c>
      <c r="AL34" s="1">
        <v>935056914</v>
      </c>
    </row>
    <row r="35" spans="1:38" ht="12.75" customHeight="1">
      <c r="A35" s="1" t="s">
        <v>49</v>
      </c>
      <c r="J35" s="126">
        <v>190498.747</v>
      </c>
      <c r="M35" s="1">
        <v>193942.84099999999</v>
      </c>
      <c r="O35" s="1">
        <v>179494.141</v>
      </c>
      <c r="R35" s="18">
        <v>249122.80600000001</v>
      </c>
      <c r="S35" s="1">
        <v>286455.78999999998</v>
      </c>
      <c r="T35" s="44">
        <v>332080.01</v>
      </c>
      <c r="U35" s="1">
        <v>377350.163</v>
      </c>
      <c r="V35" s="1">
        <v>413107.20000000001</v>
      </c>
      <c r="W35" s="126">
        <v>402375.391</v>
      </c>
      <c r="X35" s="126">
        <v>402381.908</v>
      </c>
      <c r="Y35" s="126">
        <v>395617.217</v>
      </c>
      <c r="Z35" s="126">
        <v>390181.89299999998</v>
      </c>
      <c r="AA35" s="126">
        <v>432147.886</v>
      </c>
      <c r="AB35" s="126">
        <v>535631.79700000002</v>
      </c>
      <c r="AC35" s="126">
        <v>689992</v>
      </c>
      <c r="AD35" s="1">
        <v>637808.35800000001</v>
      </c>
      <c r="AE35" s="1">
        <v>583787.58299999998</v>
      </c>
      <c r="AF35" s="1">
        <v>569754.62</v>
      </c>
      <c r="AG35" s="1">
        <v>580019.41899999999</v>
      </c>
      <c r="AH35" s="1">
        <v>598575.53500000003</v>
      </c>
      <c r="AI35" s="1">
        <v>628530.73</v>
      </c>
      <c r="AK35" s="1">
        <v>794951.07499999995</v>
      </c>
      <c r="AL35" s="1">
        <v>842776302</v>
      </c>
    </row>
    <row r="36" spans="1:38" ht="12.75" customHeight="1">
      <c r="A36" s="1" t="s">
        <v>50</v>
      </c>
      <c r="J36" s="126">
        <v>398274.87300000002</v>
      </c>
      <c r="M36" s="1">
        <v>457205.39500000002</v>
      </c>
      <c r="O36" s="1">
        <v>454838.44199999998</v>
      </c>
      <c r="R36" s="18">
        <v>581033.21200000006</v>
      </c>
      <c r="S36" s="1">
        <v>632511.28700000001</v>
      </c>
      <c r="T36" s="44">
        <v>717518.875</v>
      </c>
      <c r="U36" s="1">
        <v>842078.47400000005</v>
      </c>
      <c r="V36" s="1">
        <v>925333.12800000003</v>
      </c>
      <c r="W36" s="126">
        <v>972316.62300000002</v>
      </c>
      <c r="X36" s="126">
        <v>992070.61600000004</v>
      </c>
      <c r="Y36" s="126">
        <v>1011465.657</v>
      </c>
      <c r="Z36" s="126">
        <v>1050565.649</v>
      </c>
      <c r="AA36" s="126">
        <v>1062006.0349999999</v>
      </c>
      <c r="AB36" s="126">
        <v>1235654.02</v>
      </c>
      <c r="AC36" s="126">
        <v>1375363</v>
      </c>
      <c r="AD36" s="1">
        <v>1359283.4809999999</v>
      </c>
      <c r="AE36" s="1">
        <v>1349163.324</v>
      </c>
      <c r="AF36" s="1">
        <v>1309641.3629999999</v>
      </c>
      <c r="AG36" s="1">
        <v>1295662.4850000001</v>
      </c>
      <c r="AH36" s="1">
        <v>1302498.7439999999</v>
      </c>
      <c r="AI36" s="1">
        <v>1331231.835</v>
      </c>
      <c r="AK36" s="1">
        <v>1369810.6059999999</v>
      </c>
      <c r="AL36" s="1">
        <v>1414530535</v>
      </c>
    </row>
    <row r="37" spans="1:38" ht="12.75" customHeight="1">
      <c r="A37" s="27" t="s">
        <v>51</v>
      </c>
      <c r="B37" s="27"/>
      <c r="C37" s="27"/>
      <c r="D37" s="27"/>
      <c r="E37" s="27"/>
      <c r="F37" s="27"/>
      <c r="G37" s="27"/>
      <c r="H37" s="27"/>
      <c r="I37" s="27"/>
      <c r="J37" s="127">
        <v>19643.851999999999</v>
      </c>
      <c r="K37" s="27"/>
      <c r="L37" s="27"/>
      <c r="M37" s="27">
        <v>20999.691999999999</v>
      </c>
      <c r="N37" s="27"/>
      <c r="O37" s="27">
        <v>17626.341</v>
      </c>
      <c r="P37" s="27"/>
      <c r="Q37" s="27"/>
      <c r="R37" s="37">
        <v>24520.221000000001</v>
      </c>
      <c r="S37" s="27">
        <v>24310.861000000001</v>
      </c>
      <c r="T37" s="61">
        <v>30583.766</v>
      </c>
      <c r="U37" s="27">
        <v>44054.673999999999</v>
      </c>
      <c r="V37" s="27">
        <v>43133.737999999998</v>
      </c>
      <c r="W37" s="127">
        <v>45416.396000000001</v>
      </c>
      <c r="X37" s="127">
        <v>45007.438999999998</v>
      </c>
      <c r="Y37" s="127">
        <v>46627.716</v>
      </c>
      <c r="Z37" s="127">
        <v>50696.642999999996</v>
      </c>
      <c r="AA37" s="127">
        <v>50591.51</v>
      </c>
      <c r="AB37" s="127">
        <v>57599.387000000002</v>
      </c>
      <c r="AC37" s="127">
        <v>72728</v>
      </c>
      <c r="AD37" s="27">
        <v>40572.031999999999</v>
      </c>
      <c r="AE37" s="27">
        <v>59215.190999999999</v>
      </c>
      <c r="AF37" s="27">
        <v>55367.199000000001</v>
      </c>
      <c r="AG37" s="27">
        <v>58438.703999999998</v>
      </c>
      <c r="AH37" s="27">
        <v>62282.584999999999</v>
      </c>
      <c r="AI37" s="27">
        <v>60565.082999999999</v>
      </c>
      <c r="AJ37" s="27"/>
      <c r="AK37" s="1">
        <v>82765</v>
      </c>
      <c r="AL37" s="1">
        <v>95401000</v>
      </c>
    </row>
    <row r="38" spans="1:38" ht="12.75" customHeight="1">
      <c r="A38" s="6" t="s">
        <v>52</v>
      </c>
      <c r="J38" s="51">
        <f>SUM(J40:J51)</f>
        <v>2576155.8969999999</v>
      </c>
      <c r="M38" s="51">
        <f>SUM(M40:M51)</f>
        <v>2869382</v>
      </c>
      <c r="O38" s="51">
        <f>SUM(O40:O51)</f>
        <v>2580555.2568399995</v>
      </c>
      <c r="R38" s="51">
        <f t="shared" ref="R38:AK38" si="20">SUM(R40:R51)</f>
        <v>3565536.7519999999</v>
      </c>
      <c r="S38" s="51">
        <f t="shared" si="20"/>
        <v>4016107.7600000002</v>
      </c>
      <c r="T38" s="51">
        <f t="shared" si="20"/>
        <v>4635249.8140000002</v>
      </c>
      <c r="U38" s="51">
        <f t="shared" si="20"/>
        <v>5171027.7279999992</v>
      </c>
      <c r="V38" s="51">
        <f t="shared" si="20"/>
        <v>5601696.6009999998</v>
      </c>
      <c r="W38" s="51">
        <f t="shared" si="20"/>
        <v>5887621.4579999996</v>
      </c>
      <c r="X38" s="51">
        <f t="shared" si="20"/>
        <v>5999062.9469999997</v>
      </c>
      <c r="Y38" s="51">
        <f t="shared" si="20"/>
        <v>6076578.3639999991</v>
      </c>
      <c r="Z38" s="51">
        <f t="shared" si="20"/>
        <v>6311818.8969999999</v>
      </c>
      <c r="AA38" s="51">
        <f t="shared" si="20"/>
        <v>6483780.7179999994</v>
      </c>
      <c r="AB38" s="51">
        <f t="shared" si="20"/>
        <v>7787799.0719999997</v>
      </c>
      <c r="AC38" s="51">
        <f t="shared" si="20"/>
        <v>8427945</v>
      </c>
      <c r="AD38" s="51">
        <f t="shared" si="20"/>
        <v>8292251.0020000003</v>
      </c>
      <c r="AE38" s="51">
        <f t="shared" si="20"/>
        <v>7970991.3269999996</v>
      </c>
      <c r="AF38" s="51">
        <f t="shared" si="20"/>
        <v>7567130.0269999998</v>
      </c>
      <c r="AG38" s="51">
        <f t="shared" si="20"/>
        <v>7393582.7970000003</v>
      </c>
      <c r="AH38" s="51">
        <f t="shared" si="20"/>
        <v>7504886.459999999</v>
      </c>
      <c r="AI38" s="51">
        <f t="shared" si="20"/>
        <v>7572494.7710000016</v>
      </c>
      <c r="AJ38" s="51">
        <f t="shared" si="20"/>
        <v>0</v>
      </c>
      <c r="AK38" s="131">
        <f t="shared" si="20"/>
        <v>8215777.9859999996</v>
      </c>
      <c r="AL38" s="131">
        <f t="shared" ref="AL38" si="21">SUM(AL40:AL51)</f>
        <v>9366470.1549999993</v>
      </c>
    </row>
    <row r="39" spans="1:38" ht="12.75" customHeight="1">
      <c r="A39" s="6" t="s">
        <v>94</v>
      </c>
      <c r="T39" s="44"/>
    </row>
    <row r="40" spans="1:38" ht="12.75" customHeight="1">
      <c r="A40" s="1" t="s">
        <v>53</v>
      </c>
      <c r="J40" s="126">
        <v>314145.7</v>
      </c>
      <c r="M40" s="1">
        <v>376082.66200000001</v>
      </c>
      <c r="O40" s="1">
        <v>341785.12800000003</v>
      </c>
      <c r="R40" s="18">
        <v>500343.32</v>
      </c>
      <c r="S40" s="1">
        <v>556972.61600000004</v>
      </c>
      <c r="T40" s="44">
        <v>619279.59699999995</v>
      </c>
      <c r="U40" s="1">
        <v>723464.96299999999</v>
      </c>
      <c r="V40" s="1">
        <v>748603.56200000003</v>
      </c>
      <c r="W40" s="126">
        <v>809601.06599999999</v>
      </c>
      <c r="X40" s="126">
        <v>809201.22900000005</v>
      </c>
      <c r="Y40" s="126">
        <v>796235.63699999999</v>
      </c>
      <c r="Z40" s="126">
        <v>803118.90700000001</v>
      </c>
      <c r="AA40" s="126">
        <v>843684.49100000004</v>
      </c>
      <c r="AB40" s="126">
        <v>1033031.4570000001</v>
      </c>
      <c r="AC40" s="126">
        <v>1083495</v>
      </c>
      <c r="AD40" s="1">
        <v>1116045.074</v>
      </c>
      <c r="AE40" s="1">
        <v>1082692.068</v>
      </c>
      <c r="AF40" s="1">
        <v>1018243.018</v>
      </c>
      <c r="AG40" s="1">
        <v>984638.15899999999</v>
      </c>
      <c r="AH40" s="1">
        <v>1012752.425</v>
      </c>
      <c r="AI40" s="1">
        <v>1022242.915</v>
      </c>
      <c r="AK40" s="1">
        <v>1061405.3119999999</v>
      </c>
      <c r="AL40" s="1">
        <v>1187453.267</v>
      </c>
    </row>
    <row r="41" spans="1:38" ht="12.75" customHeight="1">
      <c r="A41" s="1" t="s">
        <v>54</v>
      </c>
      <c r="J41" s="126">
        <v>209853.79199999999</v>
      </c>
      <c r="M41" s="1">
        <v>239590.77</v>
      </c>
      <c r="O41" s="1">
        <v>201472.478</v>
      </c>
      <c r="R41" s="18">
        <v>269904.96500000003</v>
      </c>
      <c r="S41" s="1">
        <v>296654.18900000001</v>
      </c>
      <c r="T41" s="44">
        <v>358480.82299999997</v>
      </c>
      <c r="U41" s="1">
        <v>436471.18</v>
      </c>
      <c r="V41" s="1">
        <v>497459.76699999999</v>
      </c>
      <c r="W41" s="126">
        <v>510910.929</v>
      </c>
      <c r="X41" s="126">
        <v>563159.68099999998</v>
      </c>
      <c r="Y41" s="126">
        <v>593391.33400000003</v>
      </c>
      <c r="Z41" s="126">
        <v>638832.04399999999</v>
      </c>
      <c r="AA41" s="126">
        <v>672924.28399999999</v>
      </c>
      <c r="AB41" s="126">
        <v>811285.33</v>
      </c>
      <c r="AC41" s="126">
        <v>894449</v>
      </c>
      <c r="AD41" s="1">
        <v>873556.23</v>
      </c>
      <c r="AE41" s="1">
        <v>798897.13800000004</v>
      </c>
      <c r="AF41" s="1">
        <v>766843.41599999997</v>
      </c>
      <c r="AG41" s="1">
        <v>762602.68099999998</v>
      </c>
      <c r="AH41" s="1">
        <v>793767.29</v>
      </c>
      <c r="AI41" s="1">
        <v>810057.85900000005</v>
      </c>
      <c r="AK41" s="1">
        <v>941421.81400000001</v>
      </c>
      <c r="AL41" s="1">
        <v>1059070.9990000001</v>
      </c>
    </row>
    <row r="42" spans="1:38" ht="12.75" customHeight="1">
      <c r="A42" s="1" t="s">
        <v>55</v>
      </c>
      <c r="J42" s="126">
        <v>179547.40700000001</v>
      </c>
      <c r="M42" s="1">
        <v>233865.049</v>
      </c>
      <c r="O42" s="1">
        <v>216520.11499999999</v>
      </c>
      <c r="R42" s="18">
        <v>276099.87199999997</v>
      </c>
      <c r="S42" s="1">
        <v>297175.886</v>
      </c>
      <c r="T42" s="44">
        <v>398719.78499999997</v>
      </c>
      <c r="U42" s="1">
        <v>386700.565</v>
      </c>
      <c r="V42" s="1">
        <v>417520.58</v>
      </c>
      <c r="W42" s="126">
        <v>435486.87199999997</v>
      </c>
      <c r="X42" s="126">
        <v>438445.49699999997</v>
      </c>
      <c r="Y42" s="126">
        <v>447697.12099999998</v>
      </c>
      <c r="Z42" s="126">
        <v>465922.315</v>
      </c>
      <c r="AA42" s="126">
        <v>477678.26199999999</v>
      </c>
      <c r="AB42" s="126">
        <v>551114.29799999995</v>
      </c>
      <c r="AC42" s="126">
        <v>565312</v>
      </c>
      <c r="AD42" s="1">
        <v>555978.07499999995</v>
      </c>
      <c r="AE42" s="1">
        <v>527689.28799999994</v>
      </c>
      <c r="AF42" s="1">
        <v>493457.35700000002</v>
      </c>
      <c r="AG42" s="1">
        <v>483695.90500000003</v>
      </c>
      <c r="AH42" s="1">
        <v>495213.20500000002</v>
      </c>
      <c r="AI42" s="1">
        <v>504507.609</v>
      </c>
      <c r="AK42" s="1">
        <v>517738.277</v>
      </c>
      <c r="AL42" s="1">
        <v>577555.22699999996</v>
      </c>
    </row>
    <row r="43" spans="1:38" ht="12.75" customHeight="1">
      <c r="A43" s="1" t="s">
        <v>56</v>
      </c>
      <c r="J43" s="126">
        <v>112034.747</v>
      </c>
      <c r="M43" s="1">
        <v>129135.902</v>
      </c>
      <c r="O43" s="1">
        <v>103292.35875</v>
      </c>
      <c r="R43" s="18">
        <v>161726.62299999999</v>
      </c>
      <c r="S43" s="1">
        <v>184607.796</v>
      </c>
      <c r="T43" s="44">
        <v>238169.73499999999</v>
      </c>
      <c r="U43" s="1">
        <v>278371.821</v>
      </c>
      <c r="V43" s="1">
        <v>304751.973</v>
      </c>
      <c r="W43" s="126">
        <v>323590.24099999998</v>
      </c>
      <c r="X43" s="126">
        <v>332274.23800000001</v>
      </c>
      <c r="Y43" s="126">
        <v>310076.50900000002</v>
      </c>
      <c r="Z43" s="126">
        <v>319017.96500000003</v>
      </c>
      <c r="AA43" s="126">
        <v>334737.26899999997</v>
      </c>
      <c r="AB43" s="126">
        <v>389051.79499999998</v>
      </c>
      <c r="AC43" s="126">
        <v>453993</v>
      </c>
      <c r="AD43" s="1">
        <v>440498.348</v>
      </c>
      <c r="AE43" s="1">
        <v>420506.87599999999</v>
      </c>
      <c r="AF43" s="1">
        <v>400366.60800000001</v>
      </c>
      <c r="AG43" s="1">
        <v>386594.33299999998</v>
      </c>
      <c r="AH43" s="1">
        <v>381310.29100000003</v>
      </c>
      <c r="AI43" s="1">
        <v>392146.49</v>
      </c>
      <c r="AK43" s="1">
        <v>455224.66399999999</v>
      </c>
      <c r="AL43" s="1">
        <v>520991.06099999999</v>
      </c>
    </row>
    <row r="44" spans="1:38" ht="12.75" customHeight="1">
      <c r="A44" s="1" t="s">
        <v>57</v>
      </c>
      <c r="J44" s="126">
        <v>524813.21600000001</v>
      </c>
      <c r="M44" s="1">
        <v>595443.76100000006</v>
      </c>
      <c r="O44" s="1">
        <v>607888.41200000001</v>
      </c>
      <c r="R44" s="18">
        <v>750947.86499999999</v>
      </c>
      <c r="S44" s="1">
        <v>829039.28</v>
      </c>
      <c r="T44" s="44">
        <v>1025176.813</v>
      </c>
      <c r="U44" s="1">
        <v>1079998.2220000001</v>
      </c>
      <c r="V44" s="1">
        <v>1147052.023</v>
      </c>
      <c r="W44" s="126">
        <v>1197925.4080000001</v>
      </c>
      <c r="X44" s="126">
        <v>1221297.952</v>
      </c>
      <c r="Y44" s="126">
        <v>1244671.014</v>
      </c>
      <c r="Z44" s="126">
        <v>1287415.6499999999</v>
      </c>
      <c r="AA44" s="126">
        <v>1379361.828</v>
      </c>
      <c r="AB44" s="126">
        <v>1590731.6440000001</v>
      </c>
      <c r="AC44" s="126">
        <v>1691163</v>
      </c>
      <c r="AD44" s="1">
        <v>1723063.139</v>
      </c>
      <c r="AE44" s="1">
        <v>1732775.7150000001</v>
      </c>
      <c r="AF44" s="1">
        <v>1669105.0109999999</v>
      </c>
      <c r="AG44" s="1">
        <v>1676140.416</v>
      </c>
      <c r="AH44" s="1">
        <v>1726376.4210000001</v>
      </c>
      <c r="AI44" s="1">
        <v>1770331.8330000001</v>
      </c>
      <c r="AK44" s="1">
        <v>1917243.385</v>
      </c>
      <c r="AL44" s="1">
        <v>2105785.5959999999</v>
      </c>
    </row>
    <row r="45" spans="1:38" ht="12.75" customHeight="1">
      <c r="A45" s="1" t="s">
        <v>58</v>
      </c>
      <c r="J45" s="126">
        <v>238270.75099999999</v>
      </c>
      <c r="M45" s="1">
        <v>265874.71600000001</v>
      </c>
      <c r="O45" s="1">
        <v>238087.283</v>
      </c>
      <c r="R45" s="18">
        <v>344901.70699999999</v>
      </c>
      <c r="S45" s="1">
        <v>342855.75799999997</v>
      </c>
      <c r="T45" s="44">
        <v>403213.54100000003</v>
      </c>
      <c r="U45" s="1">
        <v>412578.55</v>
      </c>
      <c r="V45" s="1">
        <v>451019.951</v>
      </c>
      <c r="W45" s="126">
        <v>454150.12599999999</v>
      </c>
      <c r="X45" s="126">
        <v>462668.83</v>
      </c>
      <c r="Y45" s="126">
        <v>482787.821</v>
      </c>
      <c r="Z45" s="126">
        <v>514456.87099999998</v>
      </c>
      <c r="AA45" s="126">
        <v>493760.00900000002</v>
      </c>
      <c r="AB45" s="126">
        <v>603846.10699999996</v>
      </c>
      <c r="AC45" s="126">
        <v>666560</v>
      </c>
      <c r="AD45" s="1">
        <v>654286.00699999998</v>
      </c>
      <c r="AE45" s="1">
        <v>641627.88899999997</v>
      </c>
      <c r="AF45" s="1">
        <v>619464.93700000003</v>
      </c>
      <c r="AG45" s="1">
        <v>606695.78399999999</v>
      </c>
      <c r="AH45" s="1">
        <v>578362.03399999999</v>
      </c>
      <c r="AI45" s="1">
        <v>572821.62</v>
      </c>
      <c r="AK45" s="1">
        <v>622506.429</v>
      </c>
      <c r="AL45" s="1">
        <v>661422.76599999995</v>
      </c>
    </row>
    <row r="46" spans="1:38" ht="12.75" customHeight="1">
      <c r="A46" s="1" t="s">
        <v>59</v>
      </c>
      <c r="J46" s="126">
        <v>114436.815</v>
      </c>
      <c r="M46" s="1">
        <v>111416.995</v>
      </c>
      <c r="O46" s="1">
        <v>91095.270999999993</v>
      </c>
      <c r="R46" s="18">
        <v>162872.59899999999</v>
      </c>
      <c r="S46" s="1">
        <v>270514.23499999999</v>
      </c>
      <c r="T46" s="44">
        <v>202581.978</v>
      </c>
      <c r="U46" s="1">
        <v>243699.26300000001</v>
      </c>
      <c r="V46" s="1">
        <v>247380.11300000001</v>
      </c>
      <c r="W46" s="126">
        <v>284710.55200000003</v>
      </c>
      <c r="X46" s="126">
        <v>289006.20299999998</v>
      </c>
      <c r="Y46" s="126">
        <v>289509.34100000001</v>
      </c>
      <c r="Z46" s="126">
        <v>323579.91100000002</v>
      </c>
      <c r="AA46" s="126">
        <v>319995.69</v>
      </c>
      <c r="AB46" s="126">
        <v>379867.19</v>
      </c>
      <c r="AC46" s="126">
        <v>413601</v>
      </c>
      <c r="AD46" s="1">
        <v>397013.55900000001</v>
      </c>
      <c r="AE46" s="1">
        <v>392758.68699999998</v>
      </c>
      <c r="AF46" s="1">
        <v>368100.83899999998</v>
      </c>
      <c r="AG46" s="1">
        <v>356337.44500000001</v>
      </c>
      <c r="AH46" s="1">
        <v>353647.44699999999</v>
      </c>
      <c r="AI46" s="1">
        <v>348028.62400000001</v>
      </c>
      <c r="AK46" s="1">
        <v>364216.88</v>
      </c>
      <c r="AL46" s="1">
        <v>470610.19900000002</v>
      </c>
    </row>
    <row r="47" spans="1:38" ht="12.75" customHeight="1">
      <c r="A47" s="1" t="s">
        <v>60</v>
      </c>
      <c r="J47" s="126">
        <v>85878.659</v>
      </c>
      <c r="M47" s="1">
        <v>84184.841</v>
      </c>
      <c r="O47" s="1">
        <v>76439.112999999998</v>
      </c>
      <c r="R47" s="24">
        <v>106900.643</v>
      </c>
      <c r="S47" s="1">
        <v>109866.815</v>
      </c>
      <c r="T47" s="44">
        <v>144998.50200000001</v>
      </c>
      <c r="U47" s="1">
        <v>158623.46299999999</v>
      </c>
      <c r="V47" s="1">
        <v>189560.73699999999</v>
      </c>
      <c r="W47" s="126">
        <v>208604.609</v>
      </c>
      <c r="X47" s="126">
        <v>205984.36</v>
      </c>
      <c r="Y47" s="126">
        <v>203293.30600000001</v>
      </c>
      <c r="Z47" s="126">
        <v>207884.45600000001</v>
      </c>
      <c r="AA47" s="126">
        <v>161135.98000000001</v>
      </c>
      <c r="AB47" s="126">
        <v>268752.51</v>
      </c>
      <c r="AC47" s="126">
        <v>302842</v>
      </c>
      <c r="AD47" s="1">
        <v>296687.29800000001</v>
      </c>
      <c r="AE47" s="1">
        <v>275632.554</v>
      </c>
      <c r="AF47" s="1">
        <v>259226.83499999999</v>
      </c>
      <c r="AG47" s="1">
        <v>262175.60700000002</v>
      </c>
      <c r="AH47" s="1">
        <v>261907.86199999999</v>
      </c>
      <c r="AI47" s="1">
        <v>278168.576</v>
      </c>
      <c r="AK47" s="1">
        <v>353157.47200000001</v>
      </c>
      <c r="AL47" s="1">
        <v>366362.13400000002</v>
      </c>
    </row>
    <row r="48" spans="1:38" ht="12.75" customHeight="1">
      <c r="A48" s="1" t="s">
        <v>61</v>
      </c>
      <c r="J48" s="126">
        <v>63059.237000000001</v>
      </c>
      <c r="M48" s="1">
        <v>69300.819000000003</v>
      </c>
      <c r="O48" s="1">
        <v>58037.336000000003</v>
      </c>
      <c r="R48" s="18">
        <v>70974.661999999997</v>
      </c>
      <c r="S48" s="1">
        <v>79873.149000000005</v>
      </c>
      <c r="T48" s="44">
        <v>100738.909</v>
      </c>
      <c r="U48" s="1">
        <v>124637.943</v>
      </c>
      <c r="V48" s="1">
        <v>146887.446</v>
      </c>
      <c r="W48" s="126">
        <v>147628.17499999999</v>
      </c>
      <c r="X48" s="126">
        <v>146455.85699999999</v>
      </c>
      <c r="Y48" s="126">
        <v>151355.253</v>
      </c>
      <c r="Z48" s="126">
        <v>158889.69899999999</v>
      </c>
      <c r="AA48" s="126">
        <v>145909.954</v>
      </c>
      <c r="AB48" s="126">
        <v>171360.66699999999</v>
      </c>
      <c r="AC48" s="126">
        <v>181689</v>
      </c>
      <c r="AD48" s="1">
        <v>169074.04399999999</v>
      </c>
      <c r="AE48" s="1">
        <v>146774.52600000001</v>
      </c>
      <c r="AF48" s="1">
        <v>140673.82800000001</v>
      </c>
      <c r="AG48" s="1">
        <v>132963.818</v>
      </c>
      <c r="AH48" s="1">
        <v>136337.36900000001</v>
      </c>
      <c r="AI48" s="1">
        <v>135525.70000000001</v>
      </c>
      <c r="AK48" s="1">
        <v>143681.598</v>
      </c>
      <c r="AL48" s="1">
        <v>151150.682</v>
      </c>
    </row>
    <row r="49" spans="1:38" ht="12.75" customHeight="1">
      <c r="A49" s="1" t="s">
        <v>62</v>
      </c>
      <c r="J49" s="126">
        <v>379440.701</v>
      </c>
      <c r="M49" s="1">
        <v>369518.79700000002</v>
      </c>
      <c r="O49" s="1">
        <v>301851.21899999998</v>
      </c>
      <c r="R49" s="18">
        <v>446991.58</v>
      </c>
      <c r="S49" s="1">
        <v>519021.50900000002</v>
      </c>
      <c r="T49" s="44">
        <v>621494.00199999998</v>
      </c>
      <c r="U49" s="1">
        <v>707979.46400000004</v>
      </c>
      <c r="V49" s="1">
        <v>781714.18500000006</v>
      </c>
      <c r="W49" s="126">
        <v>809498.87300000002</v>
      </c>
      <c r="X49" s="126">
        <v>805496.5</v>
      </c>
      <c r="Y49" s="126">
        <v>824439.25800000003</v>
      </c>
      <c r="Z49" s="126">
        <v>858034.44900000002</v>
      </c>
      <c r="AA49" s="126">
        <v>819629.34499999997</v>
      </c>
      <c r="AB49" s="126">
        <v>1084051.1229999999</v>
      </c>
      <c r="AC49" s="126">
        <v>1224985</v>
      </c>
      <c r="AD49" s="1">
        <v>1137726.0730000001</v>
      </c>
      <c r="AE49" s="1">
        <v>1051512.095</v>
      </c>
      <c r="AF49" s="1">
        <v>985347.79599999997</v>
      </c>
      <c r="AG49" s="1">
        <v>927806.78700000001</v>
      </c>
      <c r="AH49" s="1">
        <v>928343.88899999997</v>
      </c>
      <c r="AI49" s="1">
        <v>922150.14899999998</v>
      </c>
      <c r="AK49" s="1">
        <v>980470.96600000001</v>
      </c>
      <c r="AL49" s="1">
        <v>1275806.054</v>
      </c>
    </row>
    <row r="50" spans="1:38" ht="12.75" customHeight="1">
      <c r="A50" s="1" t="s">
        <v>63</v>
      </c>
      <c r="J50" s="126">
        <v>37254.067000000003</v>
      </c>
      <c r="M50" s="1">
        <v>37184.612999999998</v>
      </c>
      <c r="O50" s="1">
        <v>22990.06409</v>
      </c>
      <c r="R50" s="18">
        <v>52350.120999999999</v>
      </c>
      <c r="S50" s="1">
        <v>60932.250999999997</v>
      </c>
      <c r="T50" s="44">
        <v>70401.775999999998</v>
      </c>
      <c r="U50" s="1">
        <v>81320.141000000003</v>
      </c>
      <c r="V50" s="1">
        <v>89898.911999999997</v>
      </c>
      <c r="W50" s="126">
        <v>87649.956000000006</v>
      </c>
      <c r="X50" s="126">
        <v>92452.634000000005</v>
      </c>
      <c r="Y50" s="126">
        <v>105343.516</v>
      </c>
      <c r="Z50" s="126">
        <v>111839.571</v>
      </c>
      <c r="AA50" s="126">
        <v>97669.036999999997</v>
      </c>
      <c r="AB50" s="126">
        <v>167140.158</v>
      </c>
      <c r="AC50" s="126">
        <v>179538</v>
      </c>
      <c r="AD50" s="1">
        <v>161025.82199999999</v>
      </c>
      <c r="AE50" s="1">
        <v>117029.255</v>
      </c>
      <c r="AF50" s="1">
        <v>105512.13800000001</v>
      </c>
      <c r="AG50" s="1">
        <v>101564.466</v>
      </c>
      <c r="AH50" s="1">
        <v>103108.91499999999</v>
      </c>
      <c r="AI50" s="1">
        <v>104566.496</v>
      </c>
      <c r="AK50" s="1">
        <v>108665.261</v>
      </c>
      <c r="AL50" s="1">
        <v>106880.196</v>
      </c>
    </row>
    <row r="51" spans="1:38" ht="12.75" customHeight="1">
      <c r="A51" s="27" t="s">
        <v>64</v>
      </c>
      <c r="B51" s="27"/>
      <c r="C51" s="27"/>
      <c r="D51" s="27"/>
      <c r="E51" s="27"/>
      <c r="F51" s="27"/>
      <c r="G51" s="27"/>
      <c r="H51" s="27"/>
      <c r="I51" s="27"/>
      <c r="J51" s="127">
        <v>317420.80499999999</v>
      </c>
      <c r="K51" s="27"/>
      <c r="L51" s="27"/>
      <c r="M51" s="27">
        <v>357783.07500000001</v>
      </c>
      <c r="N51" s="27"/>
      <c r="O51" s="27">
        <v>321096.47899999999</v>
      </c>
      <c r="P51" s="27"/>
      <c r="Q51" s="27"/>
      <c r="R51" s="37">
        <v>421522.79499999998</v>
      </c>
      <c r="S51" s="27">
        <v>468594.27600000001</v>
      </c>
      <c r="T51" s="61">
        <v>451994.353</v>
      </c>
      <c r="U51" s="27">
        <v>537182.15300000005</v>
      </c>
      <c r="V51" s="27">
        <v>579847.35199999996</v>
      </c>
      <c r="W51" s="127">
        <v>617864.65099999995</v>
      </c>
      <c r="X51" s="127">
        <v>632619.96600000001</v>
      </c>
      <c r="Y51" s="127">
        <v>627778.25399999996</v>
      </c>
      <c r="Z51" s="127">
        <v>622827.05900000001</v>
      </c>
      <c r="AA51" s="127">
        <v>737294.56900000002</v>
      </c>
      <c r="AB51" s="127">
        <v>737566.79299999995</v>
      </c>
      <c r="AC51" s="127">
        <v>770318</v>
      </c>
      <c r="AD51" s="27">
        <v>767297.33299999998</v>
      </c>
      <c r="AE51" s="27">
        <v>783095.23600000003</v>
      </c>
      <c r="AF51" s="27">
        <v>740788.24399999995</v>
      </c>
      <c r="AG51" s="27">
        <v>712367.39599999995</v>
      </c>
      <c r="AH51" s="27">
        <v>733759.31200000003</v>
      </c>
      <c r="AI51" s="27">
        <v>711946.9</v>
      </c>
      <c r="AJ51" s="27"/>
      <c r="AK51" s="1">
        <v>750045.92799999996</v>
      </c>
      <c r="AL51" s="1">
        <v>883381.97400000005</v>
      </c>
    </row>
    <row r="52" spans="1:38" ht="12.75" customHeight="1">
      <c r="A52" s="6" t="s">
        <v>65</v>
      </c>
      <c r="J52" s="51">
        <f>SUM(J54:J62)</f>
        <v>1276211.0190000001</v>
      </c>
      <c r="M52" s="51">
        <f>SUM(M54:M62)</f>
        <v>1542773.067</v>
      </c>
      <c r="O52" s="51">
        <f>SUM(O54:O62)</f>
        <v>1452109.9380000001</v>
      </c>
      <c r="R52" s="51">
        <f t="shared" ref="R52:AK52" si="22">SUM(R54:R62)</f>
        <v>1961861.3589999997</v>
      </c>
      <c r="S52" s="51">
        <f t="shared" si="22"/>
        <v>2133647.2310000001</v>
      </c>
      <c r="T52" s="51">
        <f t="shared" si="22"/>
        <v>2180073.7450000001</v>
      </c>
      <c r="U52" s="51">
        <f t="shared" si="22"/>
        <v>1909326.993</v>
      </c>
      <c r="V52" s="51">
        <f t="shared" si="22"/>
        <v>2042819.0760000001</v>
      </c>
      <c r="W52" s="51">
        <f t="shared" si="22"/>
        <v>2384146.5389999999</v>
      </c>
      <c r="X52" s="51">
        <f t="shared" si="22"/>
        <v>2291847.9580000001</v>
      </c>
      <c r="Y52" s="51">
        <f t="shared" si="22"/>
        <v>2338011.503</v>
      </c>
      <c r="Z52" s="51">
        <f t="shared" si="22"/>
        <v>2467900.8300000005</v>
      </c>
      <c r="AA52" s="51">
        <f t="shared" si="22"/>
        <v>2250546.693</v>
      </c>
      <c r="AB52" s="51">
        <f t="shared" si="22"/>
        <v>3175492.77</v>
      </c>
      <c r="AC52" s="51">
        <f t="shared" si="22"/>
        <v>3433898</v>
      </c>
      <c r="AD52" s="51">
        <f t="shared" si="22"/>
        <v>3329237.83</v>
      </c>
      <c r="AE52" s="51">
        <f t="shared" si="22"/>
        <v>3030456.3289999999</v>
      </c>
      <c r="AF52" s="51">
        <f t="shared" si="22"/>
        <v>3098136.0490000001</v>
      </c>
      <c r="AG52" s="51">
        <f t="shared" si="22"/>
        <v>3116822.1049999995</v>
      </c>
      <c r="AH52" s="51">
        <f t="shared" si="22"/>
        <v>3243736.4279999998</v>
      </c>
      <c r="AI52" s="51">
        <f t="shared" si="22"/>
        <v>3259401.2229999998</v>
      </c>
      <c r="AJ52" s="51">
        <f t="shared" si="22"/>
        <v>0</v>
      </c>
      <c r="AK52" s="131">
        <f t="shared" si="22"/>
        <v>3705695.1639999999</v>
      </c>
      <c r="AL52" s="131">
        <f t="shared" ref="AL52" si="23">SUM(AL54:AL62)</f>
        <v>4372802.1469999999</v>
      </c>
    </row>
    <row r="53" spans="1:38" ht="12.75" customHeight="1">
      <c r="A53" s="6" t="s">
        <v>94</v>
      </c>
      <c r="T53" s="44"/>
    </row>
    <row r="54" spans="1:38" ht="12.75" customHeight="1">
      <c r="A54" s="1" t="s">
        <v>66</v>
      </c>
      <c r="J54" s="126">
        <v>70383.838000000003</v>
      </c>
      <c r="M54" s="1">
        <v>76971.989000000001</v>
      </c>
      <c r="O54" s="1">
        <v>85264.384999999995</v>
      </c>
      <c r="R54" s="18">
        <v>98163.06</v>
      </c>
      <c r="S54" s="1">
        <v>113102.03</v>
      </c>
      <c r="T54" s="44">
        <v>159703.55499999999</v>
      </c>
      <c r="U54" s="1">
        <v>152317.639</v>
      </c>
      <c r="V54" s="1">
        <v>166754.39000000001</v>
      </c>
      <c r="W54" s="126">
        <v>265800.71000000002</v>
      </c>
      <c r="X54" s="126">
        <v>176680.81599999999</v>
      </c>
      <c r="Y54" s="126">
        <v>179253.641</v>
      </c>
      <c r="Z54" s="126">
        <v>178219.878</v>
      </c>
      <c r="AA54" s="126">
        <v>186525.87100000001</v>
      </c>
      <c r="AB54" s="126">
        <v>210113.02600000001</v>
      </c>
      <c r="AC54" s="126">
        <v>232531</v>
      </c>
      <c r="AD54" s="1">
        <v>226106.80100000001</v>
      </c>
      <c r="AE54" s="1">
        <v>221744.79399999999</v>
      </c>
      <c r="AF54" s="1">
        <v>224341.48300000001</v>
      </c>
      <c r="AG54" s="1">
        <v>220786.152</v>
      </c>
      <c r="AH54" s="1">
        <v>235239.12899999999</v>
      </c>
      <c r="AI54" s="1">
        <v>229776.53599999999</v>
      </c>
      <c r="AK54" s="1">
        <v>267120.89799999999</v>
      </c>
      <c r="AL54" s="1">
        <v>314610.25199999998</v>
      </c>
    </row>
    <row r="55" spans="1:38" ht="12.75" customHeight="1">
      <c r="A55" s="1" t="s">
        <v>67</v>
      </c>
      <c r="J55" s="126">
        <v>35783.741000000002</v>
      </c>
      <c r="M55" s="1">
        <v>39321.120999999999</v>
      </c>
      <c r="O55" s="1">
        <v>28637.571</v>
      </c>
      <c r="R55" s="18">
        <v>51438.139000000003</v>
      </c>
      <c r="S55" s="1">
        <v>54959.705000000002</v>
      </c>
      <c r="T55" s="44">
        <v>67775.686000000002</v>
      </c>
      <c r="U55" s="1">
        <v>74740.392999999996</v>
      </c>
      <c r="V55" s="1">
        <v>81759.293000000005</v>
      </c>
      <c r="W55" s="126">
        <v>79979.792000000001</v>
      </c>
      <c r="X55" s="126">
        <v>79472.960000000006</v>
      </c>
      <c r="Y55" s="126">
        <v>80726.782000000007</v>
      </c>
      <c r="Z55" s="126">
        <v>80373.519</v>
      </c>
      <c r="AA55" s="126">
        <v>83274.005000000005</v>
      </c>
      <c r="AB55" s="126">
        <v>101701.482</v>
      </c>
      <c r="AC55" s="126">
        <v>112231</v>
      </c>
      <c r="AD55" s="1">
        <v>105223.11500000001</v>
      </c>
      <c r="AE55" s="1">
        <v>98319.471999999994</v>
      </c>
      <c r="AF55" s="1">
        <v>97712.588000000003</v>
      </c>
      <c r="AG55" s="1">
        <v>92682.838000000003</v>
      </c>
      <c r="AH55" s="1">
        <v>97119</v>
      </c>
      <c r="AI55" s="1">
        <v>91891.680999999997</v>
      </c>
      <c r="AK55" s="1">
        <v>94563.392000000007</v>
      </c>
      <c r="AL55" s="1">
        <v>111925.15399999999</v>
      </c>
    </row>
    <row r="56" spans="1:38" ht="12.75" customHeight="1">
      <c r="A56" s="1" t="s">
        <v>68</v>
      </c>
      <c r="J56" s="126">
        <v>128115.954</v>
      </c>
      <c r="M56" s="1">
        <v>140915.87899999999</v>
      </c>
      <c r="O56" s="1">
        <v>131311.43799999999</v>
      </c>
      <c r="R56" s="18">
        <v>188828.5</v>
      </c>
      <c r="S56" s="1">
        <v>209637.06400000001</v>
      </c>
      <c r="T56" s="44">
        <v>244634.04</v>
      </c>
      <c r="U56" s="1">
        <v>280129.8</v>
      </c>
      <c r="V56" s="1">
        <v>302806.48100000003</v>
      </c>
      <c r="W56" s="126">
        <v>312914.27299999999</v>
      </c>
      <c r="X56" s="126">
        <v>326812.42599999998</v>
      </c>
      <c r="Y56" s="126">
        <v>320429.63699999999</v>
      </c>
      <c r="Z56" s="126">
        <v>347908.03399999999</v>
      </c>
      <c r="AA56" s="126">
        <v>220644.33100000001</v>
      </c>
      <c r="AB56" s="126">
        <v>469386.28899999999</v>
      </c>
      <c r="AC56" s="126">
        <v>520776</v>
      </c>
      <c r="AD56" s="1">
        <v>492473.53600000002</v>
      </c>
      <c r="AE56" s="1">
        <v>470411.3</v>
      </c>
      <c r="AF56" s="1">
        <v>462962.50599999999</v>
      </c>
      <c r="AG56" s="1">
        <v>461482.05099999998</v>
      </c>
      <c r="AH56" s="1">
        <v>471748.473</v>
      </c>
      <c r="AI56" s="1">
        <v>489460.28899999999</v>
      </c>
      <c r="AK56" s="1">
        <v>520978.81099999999</v>
      </c>
      <c r="AL56" s="1">
        <v>556600.55799999996</v>
      </c>
    </row>
    <row r="57" spans="1:38" ht="12.75" customHeight="1">
      <c r="A57" s="1" t="s">
        <v>69</v>
      </c>
      <c r="J57" s="126">
        <v>38116.107000000004</v>
      </c>
      <c r="M57" s="1">
        <v>36736.987999999998</v>
      </c>
      <c r="O57" s="1">
        <v>34822.43</v>
      </c>
      <c r="R57" s="24">
        <v>58163.597000000002</v>
      </c>
      <c r="S57" s="1">
        <v>67067.129000000001</v>
      </c>
      <c r="T57" s="44">
        <v>74520.569000000003</v>
      </c>
      <c r="U57" s="1">
        <v>79610.184999999998</v>
      </c>
      <c r="V57" s="1">
        <v>92075.64</v>
      </c>
      <c r="W57" s="126">
        <v>91920.517000000007</v>
      </c>
      <c r="X57" s="126">
        <v>100395.372</v>
      </c>
      <c r="Y57" s="126">
        <v>93521.381999999998</v>
      </c>
      <c r="Z57" s="126">
        <v>92949.327000000005</v>
      </c>
      <c r="AA57" s="126">
        <v>86785.861000000004</v>
      </c>
      <c r="AB57" s="126">
        <v>88539.407999999996</v>
      </c>
      <c r="AC57" s="126">
        <v>93768</v>
      </c>
      <c r="AD57" s="1">
        <v>95890.856</v>
      </c>
      <c r="AE57" s="1">
        <v>102094.432</v>
      </c>
      <c r="AF57" s="1">
        <v>101174.856</v>
      </c>
      <c r="AG57" s="1">
        <v>100715.715</v>
      </c>
      <c r="AH57" s="1">
        <v>98584.269</v>
      </c>
      <c r="AI57" s="1">
        <v>94812.612999999998</v>
      </c>
      <c r="AK57" s="1">
        <v>101957.63099999999</v>
      </c>
      <c r="AL57" s="1">
        <v>115006.33</v>
      </c>
    </row>
    <row r="58" spans="1:38" ht="12.75" customHeight="1">
      <c r="A58" s="1" t="s">
        <v>70</v>
      </c>
      <c r="J58" s="126">
        <v>81311.100000000006</v>
      </c>
      <c r="M58" s="1">
        <v>102892.88099999999</v>
      </c>
      <c r="O58" s="1">
        <v>189997.16200000001</v>
      </c>
      <c r="R58" s="24">
        <v>153056.353</v>
      </c>
      <c r="S58" s="1">
        <v>169806.70800000001</v>
      </c>
      <c r="T58" s="44">
        <v>200185.38500000001</v>
      </c>
      <c r="U58" s="1">
        <v>221169.209</v>
      </c>
      <c r="V58" s="1">
        <v>254877.65100000001</v>
      </c>
      <c r="W58" s="126">
        <v>480614.02600000001</v>
      </c>
      <c r="X58" s="126">
        <v>464182.61099999998</v>
      </c>
      <c r="Y58" s="126">
        <v>484881.42200000002</v>
      </c>
      <c r="Z58" s="126">
        <v>501799.12099999998</v>
      </c>
      <c r="AA58" s="126">
        <v>380489.86499999999</v>
      </c>
      <c r="AB58" s="126">
        <v>601850.20600000001</v>
      </c>
      <c r="AC58" s="126">
        <v>636373</v>
      </c>
      <c r="AD58" s="1">
        <v>662479.20799999998</v>
      </c>
      <c r="AE58" s="1">
        <v>512980.745</v>
      </c>
      <c r="AF58" s="1">
        <v>614109.04200000002</v>
      </c>
      <c r="AG58" s="1">
        <v>622768.40300000005</v>
      </c>
      <c r="AH58" s="1">
        <v>644401.74399999995</v>
      </c>
      <c r="AI58" s="1">
        <v>649858.49100000004</v>
      </c>
      <c r="AK58" s="1">
        <v>810088.11399999994</v>
      </c>
      <c r="AL58" s="1">
        <v>905987.63100000005</v>
      </c>
    </row>
    <row r="59" spans="1:38" ht="12.75" customHeight="1">
      <c r="A59" s="1" t="s">
        <v>71</v>
      </c>
      <c r="J59" s="126">
        <v>397293.65100000001</v>
      </c>
      <c r="M59" s="1">
        <v>533707.76899999997</v>
      </c>
      <c r="O59" s="1">
        <v>454805.95699999999</v>
      </c>
      <c r="R59" s="24">
        <v>629733.728</v>
      </c>
      <c r="S59" s="1">
        <v>730112.82200000004</v>
      </c>
      <c r="T59" s="44">
        <v>814355.41299999994</v>
      </c>
      <c r="U59" s="1">
        <v>820884.41700000002</v>
      </c>
      <c r="V59" s="1">
        <v>855883.75899999996</v>
      </c>
      <c r="W59" s="126">
        <v>870141.60699999996</v>
      </c>
      <c r="X59" s="126">
        <v>865185.41899999999</v>
      </c>
      <c r="Y59" s="126">
        <v>885501.10199999996</v>
      </c>
      <c r="Z59" s="126">
        <v>950939.50699999998</v>
      </c>
      <c r="AA59" s="126">
        <v>956620.83299999998</v>
      </c>
      <c r="AB59" s="126">
        <v>1289795.2320000001</v>
      </c>
      <c r="AC59" s="126">
        <v>1376455</v>
      </c>
      <c r="AD59" s="1">
        <v>1301177.061</v>
      </c>
      <c r="AE59" s="1">
        <v>1203858.1189999999</v>
      </c>
      <c r="AF59" s="1">
        <v>1182079.6100000001</v>
      </c>
      <c r="AG59" s="1">
        <v>1203907.8389999999</v>
      </c>
      <c r="AH59" s="1">
        <v>1286069.1000000001</v>
      </c>
      <c r="AI59" s="1">
        <v>1300209.7579999999</v>
      </c>
      <c r="AK59" s="1">
        <v>1475551.1429999999</v>
      </c>
      <c r="AL59" s="1">
        <v>1847692.811</v>
      </c>
    </row>
    <row r="60" spans="1:38" ht="12.75" customHeight="1">
      <c r="A60" s="1" t="s">
        <v>72</v>
      </c>
      <c r="J60" s="126">
        <v>447045.55</v>
      </c>
      <c r="M60" s="1">
        <v>529179.86699999997</v>
      </c>
      <c r="O60" s="1">
        <v>446374.28200000001</v>
      </c>
      <c r="R60" s="18">
        <v>674769.397</v>
      </c>
      <c r="S60" s="1">
        <v>670361.88899999997</v>
      </c>
      <c r="T60" s="44">
        <v>472890.97</v>
      </c>
      <c r="U60" s="1">
        <v>109281.64</v>
      </c>
      <c r="V60" s="1">
        <v>114923.861</v>
      </c>
      <c r="W60" s="126">
        <v>110521.614</v>
      </c>
      <c r="X60" s="126">
        <v>105942.098</v>
      </c>
      <c r="Y60" s="126">
        <v>113460.478</v>
      </c>
      <c r="Z60" s="126">
        <v>118711.149</v>
      </c>
      <c r="AA60" s="126">
        <v>129821.54399999999</v>
      </c>
      <c r="AB60" s="126">
        <v>176535.55100000001</v>
      </c>
      <c r="AC60" s="126">
        <v>197977</v>
      </c>
      <c r="AD60" s="1">
        <v>187554.08199999999</v>
      </c>
      <c r="AE60" s="1">
        <v>177797.11300000001</v>
      </c>
      <c r="AF60" s="1">
        <v>177773.10699999999</v>
      </c>
      <c r="AG60" s="1">
        <v>178653.242</v>
      </c>
      <c r="AH60" s="1">
        <v>173555.56400000001</v>
      </c>
      <c r="AI60" s="1">
        <v>169423.59400000001</v>
      </c>
      <c r="AK60" s="1">
        <v>179704.17800000001</v>
      </c>
      <c r="AL60" s="1">
        <v>242025.07699999999</v>
      </c>
    </row>
    <row r="61" spans="1:38" ht="12.75" customHeight="1">
      <c r="A61" s="1" t="s">
        <v>73</v>
      </c>
      <c r="J61" s="126">
        <v>41958.629000000001</v>
      </c>
      <c r="M61" s="1">
        <v>44484.671999999999</v>
      </c>
      <c r="O61" s="1">
        <v>42269.207999999999</v>
      </c>
      <c r="R61" s="18">
        <v>58390.608</v>
      </c>
      <c r="S61" s="1">
        <v>61557.870999999999</v>
      </c>
      <c r="T61" s="44">
        <v>60689.057999999997</v>
      </c>
      <c r="U61" s="1">
        <v>69975.400999999998</v>
      </c>
      <c r="V61" s="1">
        <v>64485.203000000001</v>
      </c>
      <c r="W61" s="126">
        <v>60723.591999999997</v>
      </c>
      <c r="X61" s="126">
        <v>61726.828999999998</v>
      </c>
      <c r="Y61" s="126">
        <v>69059.691000000006</v>
      </c>
      <c r="Z61" s="126">
        <v>69937.111999999994</v>
      </c>
      <c r="AA61" s="126">
        <v>78282.013000000006</v>
      </c>
      <c r="AB61" s="126">
        <v>92951.513999999996</v>
      </c>
      <c r="AC61" s="126">
        <v>104240</v>
      </c>
      <c r="AD61" s="1">
        <v>113044.663</v>
      </c>
      <c r="AE61" s="1">
        <v>107489.7</v>
      </c>
      <c r="AF61" s="1">
        <v>100646.583</v>
      </c>
      <c r="AG61" s="1">
        <v>98174.835000000006</v>
      </c>
      <c r="AH61" s="1">
        <v>96336.678</v>
      </c>
      <c r="AI61" s="1">
        <v>100397.886</v>
      </c>
      <c r="AK61" s="1">
        <v>110976.08</v>
      </c>
      <c r="AL61" s="1">
        <v>116044.067</v>
      </c>
    </row>
    <row r="62" spans="1:38" ht="12.75" customHeight="1">
      <c r="A62" s="27" t="s">
        <v>74</v>
      </c>
      <c r="B62" s="27"/>
      <c r="C62" s="27"/>
      <c r="D62" s="27"/>
      <c r="E62" s="27"/>
      <c r="F62" s="27"/>
      <c r="G62" s="27"/>
      <c r="H62" s="27"/>
      <c r="I62" s="27"/>
      <c r="J62" s="127">
        <v>36202.449000000001</v>
      </c>
      <c r="K62" s="27"/>
      <c r="L62" s="27"/>
      <c r="M62" s="27">
        <v>38561.900999999998</v>
      </c>
      <c r="N62" s="27"/>
      <c r="O62" s="27">
        <v>38627.504999999997</v>
      </c>
      <c r="P62" s="27"/>
      <c r="Q62" s="27"/>
      <c r="R62" s="37">
        <v>49317.976999999999</v>
      </c>
      <c r="S62" s="27">
        <v>57042.012999999999</v>
      </c>
      <c r="T62" s="61">
        <v>85319.069000000003</v>
      </c>
      <c r="U62" s="27">
        <v>101218.30899999999</v>
      </c>
      <c r="V62" s="27">
        <v>109252.798</v>
      </c>
      <c r="W62" s="127">
        <v>111530.408</v>
      </c>
      <c r="X62" s="127">
        <v>111449.427</v>
      </c>
      <c r="Y62" s="127">
        <v>111177.368</v>
      </c>
      <c r="Z62" s="127">
        <v>127063.183</v>
      </c>
      <c r="AA62" s="127">
        <v>128102.37</v>
      </c>
      <c r="AB62" s="127">
        <v>144620.06200000001</v>
      </c>
      <c r="AC62" s="127">
        <v>159547</v>
      </c>
      <c r="AD62" s="27">
        <v>145288.508</v>
      </c>
      <c r="AE62" s="27">
        <v>135760.65400000001</v>
      </c>
      <c r="AF62" s="27">
        <v>137336.274</v>
      </c>
      <c r="AG62" s="27">
        <v>137651.03</v>
      </c>
      <c r="AH62" s="27">
        <v>140682.47099999999</v>
      </c>
      <c r="AI62" s="27">
        <v>133570.375</v>
      </c>
      <c r="AJ62" s="27"/>
      <c r="AK62" s="27">
        <v>144754.91699999999</v>
      </c>
      <c r="AL62" s="1">
        <v>162910.26699999999</v>
      </c>
    </row>
    <row r="63" spans="1:38">
      <c r="A63" s="49" t="s">
        <v>75</v>
      </c>
      <c r="B63" s="46"/>
      <c r="C63" s="46"/>
      <c r="D63" s="46"/>
      <c r="E63" s="46"/>
      <c r="F63" s="46"/>
      <c r="G63" s="46"/>
      <c r="H63" s="46"/>
      <c r="I63" s="46"/>
      <c r="J63" s="128">
        <v>7821.42</v>
      </c>
      <c r="K63" s="46"/>
      <c r="L63" s="46"/>
      <c r="M63" s="46">
        <v>9375.9380000000001</v>
      </c>
      <c r="N63" s="46"/>
      <c r="O63" s="46">
        <v>7191.6432800000002</v>
      </c>
      <c r="P63" s="46"/>
      <c r="Q63" s="46"/>
      <c r="R63" s="47">
        <v>10106.707</v>
      </c>
      <c r="S63" s="46">
        <v>10994.508</v>
      </c>
      <c r="T63" s="48">
        <v>13851.671</v>
      </c>
      <c r="U63" s="46">
        <v>14751.421</v>
      </c>
      <c r="V63" s="46">
        <v>15512.047</v>
      </c>
      <c r="W63" s="128">
        <v>14623.772000000001</v>
      </c>
      <c r="X63" s="128">
        <v>16004.928</v>
      </c>
      <c r="Y63" s="128">
        <v>15532.406000000001</v>
      </c>
      <c r="Z63" s="128">
        <v>23751.858</v>
      </c>
      <c r="AA63" s="128">
        <v>24238.699000000001</v>
      </c>
      <c r="AB63" s="128">
        <v>22267.785</v>
      </c>
      <c r="AC63" s="128">
        <v>30725</v>
      </c>
      <c r="AD63" s="27">
        <v>24021.361000000001</v>
      </c>
      <c r="AE63" s="27">
        <v>22805.916000000001</v>
      </c>
      <c r="AF63" s="27">
        <v>22706.355</v>
      </c>
      <c r="AG63" s="27">
        <v>23588.280999999999</v>
      </c>
      <c r="AH63" s="27">
        <v>23982.206999999999</v>
      </c>
      <c r="AI63" s="27">
        <v>22621.774000000001</v>
      </c>
      <c r="AJ63" s="27"/>
      <c r="AK63" s="27">
        <v>20788.937999999998</v>
      </c>
      <c r="AL63" s="130">
        <v>21117.258999999998</v>
      </c>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9" ht="9.9499999999999993" customHeight="1"/>
    <row r="82" spans="2:209" ht="9.9499999999999993" customHeight="1">
      <c r="GS82" s="4"/>
      <c r="GT82" s="4"/>
      <c r="GU82" s="4"/>
      <c r="GV82" s="4"/>
      <c r="GW82" s="4"/>
      <c r="GX82" s="4"/>
      <c r="GY82" s="4"/>
      <c r="GZ82" s="4"/>
      <c r="HA82" s="4"/>
    </row>
    <row r="83" spans="2:209">
      <c r="GQ83" s="4"/>
      <c r="GR83" s="4"/>
      <c r="GS83" s="4"/>
      <c r="GT83" s="4"/>
      <c r="GU83" s="4"/>
      <c r="GV83" s="4"/>
      <c r="GW83" s="4"/>
      <c r="GX83" s="4"/>
      <c r="GY83" s="4"/>
      <c r="GZ83" s="4"/>
      <c r="HA83" s="4"/>
    </row>
    <row r="84" spans="2:209">
      <c r="GQ84" s="4"/>
      <c r="GR84" s="4"/>
      <c r="GS84" s="4"/>
      <c r="GT84" s="4"/>
      <c r="GU84" s="4"/>
      <c r="GV84" s="4"/>
      <c r="GW84" s="4"/>
      <c r="GX84" s="4"/>
      <c r="GY84" s="4"/>
      <c r="GZ84" s="4"/>
      <c r="HA84" s="4"/>
    </row>
    <row r="85" spans="2:209">
      <c r="GS85" s="4"/>
      <c r="GT85" s="4"/>
      <c r="GU85" s="4"/>
      <c r="GV85" s="4"/>
      <c r="GW85" s="4"/>
      <c r="GX85" s="4"/>
      <c r="GY85" s="4"/>
    </row>
    <row r="86" spans="2:209">
      <c r="GS86" s="4"/>
      <c r="GT86" s="4"/>
      <c r="GU86" s="4"/>
      <c r="GV86" s="4"/>
      <c r="GW86" s="4"/>
      <c r="GX86" s="4"/>
      <c r="GY86" s="4"/>
    </row>
    <row r="87" spans="2:209">
      <c r="GS87" s="4"/>
      <c r="GT87" s="4"/>
      <c r="GU87" s="4"/>
      <c r="GV87" s="4"/>
      <c r="GW87" s="4"/>
      <c r="GX87" s="4"/>
      <c r="GY87" s="4"/>
    </row>
    <row r="92" spans="2:209">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7">
    <tabColor indexed="62"/>
  </sheetPr>
  <dimension ref="A1:GY92"/>
  <sheetViews>
    <sheetView zoomScaleNormal="100" workbookViewId="0">
      <pane xSplit="1" ySplit="3" topLeftCell="AI4" activePane="bottomRight" state="frozen"/>
      <selection pane="bottomRight" activeCell="AM1" sqref="AM1"/>
      <selection pane="bottomLeft" activeCell="M5" sqref="M5:M6"/>
      <selection pane="topRight" activeCell="M5" sqref="M5:M6"/>
    </sheetView>
  </sheetViews>
  <sheetFormatPr defaultColWidth="9.7109375" defaultRowHeight="12.75"/>
  <cols>
    <col min="1" max="1" width="19.5703125" style="1" bestFit="1" customWidth="1"/>
    <col min="2" max="22" width="13.85546875" style="1" customWidth="1"/>
    <col min="23" max="29" width="13.85546875" style="10" customWidth="1"/>
    <col min="30" max="30" width="10.140625" style="1" bestFit="1" customWidth="1"/>
    <col min="31" max="31" width="9.85546875" style="1" customWidth="1"/>
    <col min="32" max="32" width="13.42578125" style="1" bestFit="1" customWidth="1"/>
    <col min="33" max="38" width="13.42578125" style="1" customWidth="1"/>
    <col min="39" max="171" width="9.7109375" style="1"/>
    <col min="172" max="172" width="11.7109375" style="1" customWidth="1"/>
    <col min="173" max="196" width="9.7109375" style="1"/>
    <col min="197" max="197" width="5.7109375" style="1" customWidth="1"/>
    <col min="198" max="198" width="6.7109375" style="1" customWidth="1"/>
    <col min="199" max="200" width="8.7109375" style="1" customWidth="1"/>
    <col min="201" max="202" width="6.7109375" style="1" customWidth="1"/>
    <col min="203" max="204" width="8.7109375" style="1" customWidth="1"/>
    <col min="205" max="206" width="6.7109375" style="1" customWidth="1"/>
    <col min="207" max="207" width="1.7109375" style="1" customWidth="1"/>
    <col min="208" max="16384" width="9.7109375" style="1"/>
  </cols>
  <sheetData>
    <row r="1" spans="1:38">
      <c r="A1" s="36" t="s">
        <v>92</v>
      </c>
      <c r="B1" s="11"/>
      <c r="C1" s="11"/>
      <c r="D1" s="11"/>
      <c r="E1" s="11"/>
      <c r="F1" s="11"/>
      <c r="G1" s="11"/>
      <c r="H1" s="11"/>
      <c r="I1" s="11"/>
      <c r="J1" s="11"/>
      <c r="K1" s="11"/>
      <c r="L1" s="11"/>
    </row>
    <row r="2" spans="1:38">
      <c r="A2" s="1" t="s">
        <v>155</v>
      </c>
      <c r="B2" s="11"/>
      <c r="C2" s="11"/>
      <c r="D2" s="11"/>
      <c r="E2" s="11"/>
      <c r="F2" s="11"/>
      <c r="G2" s="11"/>
      <c r="H2" s="11"/>
      <c r="I2" s="11"/>
      <c r="J2" s="11"/>
      <c r="K2" s="11"/>
      <c r="L2" s="11"/>
      <c r="AF2" s="106"/>
      <c r="AG2" s="106"/>
      <c r="AH2" s="106"/>
      <c r="AI2" s="106"/>
      <c r="AJ2" s="106"/>
      <c r="AK2" s="106"/>
      <c r="AL2" s="106"/>
    </row>
    <row r="3" spans="1:38">
      <c r="B3" s="40">
        <v>1984</v>
      </c>
      <c r="C3" s="40">
        <v>1985</v>
      </c>
      <c r="D3" s="40">
        <v>1986</v>
      </c>
      <c r="E3" s="40">
        <v>1987</v>
      </c>
      <c r="F3" s="40">
        <v>1988</v>
      </c>
      <c r="G3" s="40">
        <v>1989</v>
      </c>
      <c r="H3" s="40">
        <v>1990</v>
      </c>
      <c r="I3" s="28">
        <v>1991</v>
      </c>
      <c r="J3" s="28">
        <v>1992</v>
      </c>
      <c r="K3" s="28">
        <v>1993</v>
      </c>
      <c r="L3" s="28">
        <v>1994</v>
      </c>
      <c r="M3" s="28">
        <v>1995</v>
      </c>
      <c r="N3" s="28">
        <v>1996</v>
      </c>
      <c r="O3" s="28">
        <v>1997</v>
      </c>
      <c r="P3" s="28">
        <v>1998</v>
      </c>
      <c r="Q3" s="28">
        <v>1999</v>
      </c>
      <c r="R3" s="28">
        <v>2000</v>
      </c>
      <c r="S3" s="28">
        <v>2001</v>
      </c>
      <c r="T3" s="43">
        <v>2002</v>
      </c>
      <c r="U3" s="28">
        <v>2003</v>
      </c>
      <c r="V3" s="28">
        <v>2004</v>
      </c>
      <c r="W3" s="28">
        <v>2005</v>
      </c>
      <c r="X3" s="28">
        <v>2006</v>
      </c>
      <c r="Y3" s="28">
        <v>2007</v>
      </c>
      <c r="Z3" s="28">
        <v>2008</v>
      </c>
      <c r="AA3" s="28">
        <v>2009</v>
      </c>
      <c r="AB3" s="28">
        <v>2010</v>
      </c>
      <c r="AC3" s="28">
        <v>2011</v>
      </c>
      <c r="AD3" s="29">
        <v>2012</v>
      </c>
      <c r="AE3" s="29">
        <v>2013</v>
      </c>
      <c r="AF3" s="29">
        <v>2014</v>
      </c>
      <c r="AG3" s="29">
        <v>2015</v>
      </c>
      <c r="AH3" s="29">
        <v>2016</v>
      </c>
      <c r="AI3" s="29">
        <v>2017</v>
      </c>
      <c r="AJ3" s="29">
        <v>2018</v>
      </c>
      <c r="AK3" s="29">
        <v>2019</v>
      </c>
      <c r="AL3" s="105">
        <v>2020</v>
      </c>
    </row>
    <row r="4" spans="1:38" ht="12.75" customHeight="1">
      <c r="A4" s="46" t="s">
        <v>20</v>
      </c>
      <c r="B4" s="46">
        <f>(228101+33930+369351+88703)+(887787+681515)</f>
        <v>2289387</v>
      </c>
      <c r="C4" s="46">
        <f>(261509+49034+373828+103360)+(1015732+772378)</f>
        <v>2575841</v>
      </c>
      <c r="D4" s="46">
        <f>(+(315722+507821)+28538+99629)+(1156328+889343)</f>
        <v>2997381</v>
      </c>
      <c r="E4" s="46"/>
      <c r="F4" s="46"/>
      <c r="G4" s="46"/>
      <c r="H4" s="46"/>
      <c r="I4" s="46">
        <v>5088020.2579999994</v>
      </c>
      <c r="J4" s="54">
        <f>+J5+J23+J38+J52+J63</f>
        <v>5644807.0930000003</v>
      </c>
      <c r="K4" s="46">
        <f>(1897225.37+317184.289)+4151944.413</f>
        <v>6366354.0720000006</v>
      </c>
      <c r="L4" s="46">
        <f>(2093302.244+371349.39)+4333663.359</f>
        <v>6798314.9930000007</v>
      </c>
      <c r="M4" s="54">
        <f>+M5+M23+M38+M52+M63</f>
        <v>7077352.904000001</v>
      </c>
      <c r="N4" s="46">
        <f>(2800153.613+481704.871)+4854490.595</f>
        <v>8136349.0789999999</v>
      </c>
      <c r="O4" s="54">
        <f>+O5+O23+O38+O52+O63</f>
        <v>8692645.7789599989</v>
      </c>
      <c r="P4" s="46"/>
      <c r="Q4" s="46"/>
      <c r="R4" s="54">
        <f t="shared" ref="R4:AA4" si="0">+R5+R23+R38+R52+R63</f>
        <v>11156969.479</v>
      </c>
      <c r="S4" s="54">
        <f t="shared" si="0"/>
        <v>12812323.910000004</v>
      </c>
      <c r="T4" s="54">
        <f t="shared" si="0"/>
        <v>12929733.040999999</v>
      </c>
      <c r="U4" s="54">
        <f t="shared" si="0"/>
        <v>14032075.852</v>
      </c>
      <c r="V4" s="54">
        <f t="shared" si="0"/>
        <v>14484588.613999998</v>
      </c>
      <c r="W4" s="54">
        <f t="shared" si="0"/>
        <v>15654936.15</v>
      </c>
      <c r="X4" s="54">
        <f t="shared" si="0"/>
        <v>16656577.633000001</v>
      </c>
      <c r="Y4" s="54">
        <f t="shared" si="0"/>
        <v>18058865.257999998</v>
      </c>
      <c r="Z4" s="54">
        <f t="shared" si="0"/>
        <v>19548920.000999998</v>
      </c>
      <c r="AA4" s="54">
        <f t="shared" si="0"/>
        <v>17452330.188000001</v>
      </c>
      <c r="AB4" s="54">
        <f t="shared" ref="AB4:AC4" si="1">+AB5+AB23+AB38+AB52+AB63</f>
        <v>20736046.635000002</v>
      </c>
      <c r="AC4" s="54">
        <f t="shared" si="1"/>
        <v>21942782</v>
      </c>
      <c r="AD4" s="54">
        <f t="shared" ref="AD4:AE4" si="2">+AD5+AD23+AD38+AD52+AD63</f>
        <v>22317558.107000001</v>
      </c>
      <c r="AE4" s="54">
        <f t="shared" si="2"/>
        <v>22075546.428999998</v>
      </c>
      <c r="AF4" s="54">
        <f t="shared" ref="AF4" si="3">+AF5+AF23+AF38+AF52+AF63</f>
        <v>23649490.748</v>
      </c>
      <c r="AG4" s="54">
        <f t="shared" ref="AG4:AI4" si="4">+AG5+AG23+AG38+AG52+AG63</f>
        <v>24977561.596000005</v>
      </c>
      <c r="AH4" s="54">
        <f t="shared" si="4"/>
        <v>27817949.395999998</v>
      </c>
      <c r="AI4" s="54">
        <f t="shared" si="4"/>
        <v>28430148.500999998</v>
      </c>
      <c r="AJ4" s="54">
        <f t="shared" ref="AJ4:AK4" si="5">+AJ5+AJ23+AJ38+AJ52+AJ63</f>
        <v>0</v>
      </c>
      <c r="AK4" s="54">
        <f t="shared" si="5"/>
        <v>32015434.316999994</v>
      </c>
      <c r="AL4" s="54">
        <f t="shared" ref="AL4" si="6">+AL5+AL23+AL38+AL52+AL63</f>
        <v>33332524.453000002</v>
      </c>
    </row>
    <row r="5" spans="1:38" ht="12.75" customHeight="1">
      <c r="A5" s="1" t="s">
        <v>21</v>
      </c>
      <c r="B5" s="51">
        <f>SUM(B7:B22)</f>
        <v>775532</v>
      </c>
      <c r="C5" s="51">
        <f t="shared" ref="C5:D5" si="7">SUM(C7:C22)</f>
        <v>887863</v>
      </c>
      <c r="D5" s="51">
        <f t="shared" si="7"/>
        <v>1034620</v>
      </c>
      <c r="I5" s="51">
        <f t="shared" ref="I5:N5" si="8">SUM(I7:I22)</f>
        <v>1831003.7140000002</v>
      </c>
      <c r="J5" s="51">
        <f t="shared" si="8"/>
        <v>1977133.9350000003</v>
      </c>
      <c r="K5" s="51">
        <f t="shared" si="8"/>
        <v>2165103.0369999995</v>
      </c>
      <c r="L5" s="51">
        <f t="shared" si="8"/>
        <v>2389907.568</v>
      </c>
      <c r="M5" s="51">
        <f t="shared" si="8"/>
        <v>2649173.9720000005</v>
      </c>
      <c r="N5" s="51">
        <f t="shared" si="8"/>
        <v>3091177.1690000002</v>
      </c>
      <c r="O5" s="51">
        <f t="shared" ref="O5" si="9">SUM(O7:O22)</f>
        <v>3406905.3572400003</v>
      </c>
      <c r="R5" s="51">
        <f t="shared" ref="R5:AA5" si="10">SUM(R7:R22)</f>
        <v>4425521.5079999994</v>
      </c>
      <c r="S5" s="51">
        <f t="shared" si="10"/>
        <v>5190825.9240000006</v>
      </c>
      <c r="T5" s="51">
        <f t="shared" si="10"/>
        <v>5323617.9179999996</v>
      </c>
      <c r="U5" s="51">
        <f t="shared" si="10"/>
        <v>5984520.8539999994</v>
      </c>
      <c r="V5" s="51">
        <f t="shared" si="10"/>
        <v>6026762.2199999997</v>
      </c>
      <c r="W5" s="51">
        <f t="shared" si="10"/>
        <v>6543512.6140000001</v>
      </c>
      <c r="X5" s="51">
        <f t="shared" si="10"/>
        <v>6714714.6189999999</v>
      </c>
      <c r="Y5" s="51">
        <f t="shared" si="10"/>
        <v>7299620.4839999992</v>
      </c>
      <c r="Z5" s="51">
        <f t="shared" si="10"/>
        <v>7913092.1809999989</v>
      </c>
      <c r="AA5" s="51">
        <f t="shared" si="10"/>
        <v>6649314.5219999989</v>
      </c>
      <c r="AB5" s="51">
        <f t="shared" ref="AB5:AC5" si="11">SUM(AB7:AB22)</f>
        <v>8486761.818</v>
      </c>
      <c r="AC5" s="51">
        <f t="shared" si="11"/>
        <v>9453882</v>
      </c>
      <c r="AD5" s="51">
        <f t="shared" ref="AD5:AE5" si="12">SUM(AD7:AD22)</f>
        <v>9401873.9090000018</v>
      </c>
      <c r="AE5" s="51">
        <f t="shared" si="12"/>
        <v>8600459.8550000004</v>
      </c>
      <c r="AF5" s="51">
        <f t="shared" ref="AF5" si="13">SUM(AF7:AF22)</f>
        <v>9414255.0020000003</v>
      </c>
      <c r="AG5" s="51">
        <f t="shared" ref="AG5:AI5" si="14">SUM(AG7:AG22)</f>
        <v>9579498.3710000012</v>
      </c>
      <c r="AH5" s="51">
        <f t="shared" si="14"/>
        <v>11511859.867999999</v>
      </c>
      <c r="AI5" s="51">
        <f t="shared" si="14"/>
        <v>11671340.403999999</v>
      </c>
      <c r="AJ5" s="51">
        <f t="shared" ref="AJ5:AK5" si="15">SUM(AJ7:AJ22)</f>
        <v>0</v>
      </c>
      <c r="AK5" s="51">
        <f t="shared" si="15"/>
        <v>13518864.543999998</v>
      </c>
      <c r="AL5" s="51">
        <f t="shared" ref="AL5" si="16">SUM(AL7:AL22)</f>
        <v>13912358.872</v>
      </c>
    </row>
    <row r="6" spans="1:38" ht="12.75" customHeight="1">
      <c r="A6" s="6" t="s">
        <v>94</v>
      </c>
      <c r="J6" s="126"/>
      <c r="R6" s="18"/>
      <c r="T6" s="44"/>
      <c r="AA6" s="10">
        <v>0</v>
      </c>
    </row>
    <row r="7" spans="1:38" ht="12.75" customHeight="1">
      <c r="A7" s="1" t="s">
        <v>22</v>
      </c>
      <c r="B7" s="1">
        <f>(2533+196+6431+360)+(10996+18635)</f>
        <v>39151</v>
      </c>
      <c r="C7" s="1">
        <f>(2890+161+10730+783)+(12233+23407)</f>
        <v>50204</v>
      </c>
      <c r="D7" s="1">
        <f>(5014+249+10053+771)+(14635+26777)</f>
        <v>57499</v>
      </c>
      <c r="I7" s="1">
        <f>(26922.909+2841.575)+78730.072</f>
        <v>108494.556</v>
      </c>
      <c r="J7" s="126">
        <v>120275.083</v>
      </c>
      <c r="K7" s="1">
        <f>(26006.005+5047.527)+105232.473</f>
        <v>136286.005</v>
      </c>
      <c r="L7" s="1">
        <f>(28761.113+4950.562)+104064.717</f>
        <v>137776.39199999999</v>
      </c>
      <c r="M7" s="1">
        <v>147416.87</v>
      </c>
      <c r="N7" s="1">
        <f>(25908.61+6271.799)+92768.817</f>
        <v>124949.226</v>
      </c>
      <c r="O7" s="1">
        <v>133099.94099999999</v>
      </c>
      <c r="R7" s="24">
        <v>152910.432</v>
      </c>
      <c r="S7" s="1">
        <v>187340.77499999999</v>
      </c>
      <c r="T7" s="44">
        <v>211828.23699999999</v>
      </c>
      <c r="U7" s="1">
        <v>201151.81</v>
      </c>
      <c r="V7" s="1">
        <v>228686.465</v>
      </c>
      <c r="W7" s="126">
        <v>280177.185</v>
      </c>
      <c r="X7" s="126">
        <v>325183.93800000002</v>
      </c>
      <c r="Y7" s="126">
        <v>374145.13400000002</v>
      </c>
      <c r="Z7" s="126">
        <v>398835.538</v>
      </c>
      <c r="AA7" s="126">
        <v>371732.17800000001</v>
      </c>
      <c r="AB7" s="126">
        <v>353792.24200000003</v>
      </c>
      <c r="AC7" s="126">
        <v>379742</v>
      </c>
      <c r="AD7" s="1">
        <v>343915.28</v>
      </c>
      <c r="AE7" s="1">
        <v>349174.88099999999</v>
      </c>
      <c r="AF7" s="1">
        <v>383519.36700000003</v>
      </c>
      <c r="AG7" s="1">
        <v>420354.266</v>
      </c>
      <c r="AH7" s="1">
        <v>369972.114</v>
      </c>
      <c r="AI7" s="1">
        <v>375190.26400000002</v>
      </c>
      <c r="AK7" s="1">
        <v>373432.11099999998</v>
      </c>
      <c r="AL7" s="1">
        <v>369784.06900000002</v>
      </c>
    </row>
    <row r="8" spans="1:38" ht="12.75" customHeight="1">
      <c r="A8" s="1" t="s">
        <v>23</v>
      </c>
      <c r="B8" s="1">
        <f>(4334+2223+34)+(6037+25823)</f>
        <v>38451</v>
      </c>
      <c r="C8" s="1">
        <f>(3687+216+3666+7)+(6025+28304)</f>
        <v>41905</v>
      </c>
      <c r="D8" s="1">
        <f>(4415+0+4438+0)+(6129+34433)</f>
        <v>49415</v>
      </c>
      <c r="I8" s="1">
        <f>(13285.03+18.538)+23661.194</f>
        <v>36964.762000000002</v>
      </c>
      <c r="J8" s="126">
        <v>42290.445</v>
      </c>
      <c r="K8" s="1">
        <v>55476.266000000003</v>
      </c>
      <c r="L8" s="1">
        <v>51366.392</v>
      </c>
      <c r="M8" s="1">
        <v>55999.819000000003</v>
      </c>
      <c r="N8" s="1">
        <f>(31378.105+0)+29312.323</f>
        <v>60690.428</v>
      </c>
      <c r="O8" s="1">
        <v>69055.444000000003</v>
      </c>
      <c r="R8" s="24">
        <v>111686.61900000001</v>
      </c>
      <c r="S8" s="1">
        <v>115794.24900000001</v>
      </c>
      <c r="T8" s="44">
        <v>146225.67000000001</v>
      </c>
      <c r="U8" s="1">
        <v>474015.69199999998</v>
      </c>
      <c r="V8" s="1">
        <v>168214.03200000001</v>
      </c>
      <c r="W8" s="126">
        <v>170480.095</v>
      </c>
      <c r="X8" s="126">
        <v>196625.13399999999</v>
      </c>
      <c r="Y8" s="126">
        <v>197730.77900000001</v>
      </c>
      <c r="Z8" s="126">
        <v>234450.71299999999</v>
      </c>
      <c r="AA8" s="126">
        <v>151346.902</v>
      </c>
      <c r="AB8" s="126">
        <v>259352.75399999999</v>
      </c>
      <c r="AC8" s="126">
        <v>330101</v>
      </c>
      <c r="AD8" s="1">
        <v>357225.56300000002</v>
      </c>
      <c r="AE8" s="1">
        <v>386995.32500000001</v>
      </c>
      <c r="AF8" s="1">
        <v>376150.37099999998</v>
      </c>
      <c r="AG8" s="1">
        <v>386264.73700000002</v>
      </c>
      <c r="AH8" s="1">
        <v>394308.28100000002</v>
      </c>
      <c r="AI8" s="1">
        <v>364700.109</v>
      </c>
      <c r="AK8" s="1">
        <v>351996.71299999999</v>
      </c>
      <c r="AL8" s="1">
        <v>348328.527</v>
      </c>
    </row>
    <row r="9" spans="1:38" ht="12.75" customHeight="1">
      <c r="A9" s="1" t="s">
        <v>24</v>
      </c>
      <c r="D9" s="1">
        <f>(0+2723)+(10049+154)</f>
        <v>12926</v>
      </c>
      <c r="I9" s="1">
        <v>22096.033000000003</v>
      </c>
      <c r="J9" s="126">
        <v>23028.817000000003</v>
      </c>
      <c r="M9" s="1">
        <v>25012.69</v>
      </c>
      <c r="N9" s="1">
        <f>(26489.587+0)+17896.956</f>
        <v>44386.542999999998</v>
      </c>
      <c r="O9" s="1">
        <v>47205.550999999999</v>
      </c>
      <c r="R9" s="24">
        <v>43394.622000000003</v>
      </c>
      <c r="S9" s="35">
        <v>68683.741999999998</v>
      </c>
      <c r="T9" s="45">
        <v>64188.095999999998</v>
      </c>
      <c r="U9" s="35">
        <v>57082.224999999999</v>
      </c>
      <c r="V9" s="35">
        <v>76127.159</v>
      </c>
      <c r="W9" s="126">
        <f>14239.374+(2640.894+59641.547)</f>
        <v>76521.815000000002</v>
      </c>
      <c r="X9" s="126">
        <v>86182.573000000004</v>
      </c>
      <c r="Y9" s="126">
        <v>71445.164000000004</v>
      </c>
      <c r="Z9" s="126">
        <v>70019.168000000005</v>
      </c>
      <c r="AA9" s="126">
        <v>71687.611999999994</v>
      </c>
      <c r="AB9" s="126">
        <v>95653.676000000007</v>
      </c>
      <c r="AC9" s="126">
        <v>104670</v>
      </c>
      <c r="AD9" s="1">
        <v>106053.81600000001</v>
      </c>
      <c r="AE9" s="1">
        <v>91296.222999999998</v>
      </c>
      <c r="AF9" s="1">
        <v>102292.163</v>
      </c>
      <c r="AG9" s="1">
        <v>92122.835999999996</v>
      </c>
      <c r="AH9" s="1">
        <v>101753.06299999999</v>
      </c>
      <c r="AI9" s="1">
        <v>22.757000000000001</v>
      </c>
      <c r="AK9" s="1">
        <v>130515.45</v>
      </c>
      <c r="AL9" s="1">
        <v>101464.715</v>
      </c>
    </row>
    <row r="10" spans="1:38" ht="12.75" customHeight="1">
      <c r="A10" s="1" t="s">
        <v>25</v>
      </c>
      <c r="B10" s="1">
        <f>(16481+723+15311+559)+(44955+12192)</f>
        <v>90221</v>
      </c>
      <c r="C10" s="1">
        <f>(21244+141+13981+958)+(51185+13600)</f>
        <v>101109</v>
      </c>
      <c r="D10" s="1">
        <f>(24434+89+17442+501)+(57767+17156)</f>
        <v>117389</v>
      </c>
      <c r="I10" s="1">
        <f>(100008.12+1921.325)+167738.528</f>
        <v>269667.973</v>
      </c>
      <c r="J10" s="126">
        <v>290336.72899999999</v>
      </c>
      <c r="K10" s="1">
        <f>(86693.446+5154.57)+172440.882</f>
        <v>264288.89800000004</v>
      </c>
      <c r="L10" s="1">
        <f>(105689.428+3931.859)+232769.939</f>
        <v>342391.22600000002</v>
      </c>
      <c r="M10" s="1">
        <v>275509.42099999997</v>
      </c>
      <c r="N10" s="1">
        <f>(116216.505+1344.599)+168101.599</f>
        <v>285662.70299999998</v>
      </c>
      <c r="O10" s="1">
        <v>329142.79799999995</v>
      </c>
      <c r="R10" s="24">
        <v>373330.46100000001</v>
      </c>
      <c r="S10" s="1">
        <v>439121.68700000003</v>
      </c>
      <c r="T10" s="44">
        <v>551877.91</v>
      </c>
      <c r="U10" s="1">
        <v>642119.12</v>
      </c>
      <c r="V10" s="1">
        <v>681499.90599999996</v>
      </c>
      <c r="W10" s="126">
        <v>880887.31900000002</v>
      </c>
      <c r="X10" s="126">
        <v>868863.10900000005</v>
      </c>
      <c r="Y10" s="126">
        <v>933026.05099999998</v>
      </c>
      <c r="Z10" s="126">
        <v>917464.11399999994</v>
      </c>
      <c r="AA10" s="126">
        <v>1127153.4469999999</v>
      </c>
      <c r="AB10" s="126">
        <v>1166090.5049999999</v>
      </c>
      <c r="AC10" s="126">
        <v>1306482</v>
      </c>
      <c r="AD10" s="1">
        <v>1266092.425</v>
      </c>
      <c r="AE10" s="1">
        <v>1326848.4739999999</v>
      </c>
      <c r="AF10" s="1">
        <v>1410414.388</v>
      </c>
      <c r="AG10" s="1">
        <v>1641937.3959999999</v>
      </c>
      <c r="AH10" s="1">
        <v>1571060.8940000001</v>
      </c>
      <c r="AI10" s="1">
        <v>1630901.824</v>
      </c>
      <c r="AK10" s="1">
        <v>2214430.7650000001</v>
      </c>
      <c r="AL10" s="1">
        <v>2330935.6150000002</v>
      </c>
    </row>
    <row r="11" spans="1:38" ht="12.75" customHeight="1">
      <c r="A11" s="1" t="s">
        <v>26</v>
      </c>
      <c r="B11" s="1">
        <f>(4386+594+10194+876)+(13627+36649)</f>
        <v>66326</v>
      </c>
      <c r="C11" s="1">
        <f>(4725+632+10667+837)+(14928+40172)</f>
        <v>71961</v>
      </c>
      <c r="D11" s="1">
        <f>(5752+547+12277+770)+(18391+46468)</f>
        <v>84205</v>
      </c>
      <c r="I11" s="1">
        <f>(27898.729+2465.459)+91047.146</f>
        <v>121411.33399999999</v>
      </c>
      <c r="J11" s="126">
        <v>129632.202</v>
      </c>
      <c r="K11" s="1">
        <f>(28561.347+3930.985)+122100.248</f>
        <v>154592.58000000002</v>
      </c>
      <c r="L11" s="1">
        <f>(41863.886+4122.979)+123884.077</f>
        <v>169870.94200000001</v>
      </c>
      <c r="M11" s="1">
        <v>229433.076</v>
      </c>
      <c r="N11" s="1">
        <f>(115122.752+4040.612)+140394.731</f>
        <v>259558.09499999997</v>
      </c>
      <c r="O11" s="1">
        <v>301573.21899999998</v>
      </c>
      <c r="R11" s="24">
        <v>503130.29399999999</v>
      </c>
      <c r="S11" s="1">
        <v>639656.19500000007</v>
      </c>
      <c r="T11" s="44">
        <v>504619.723</v>
      </c>
      <c r="U11" s="1">
        <v>517545.48700000002</v>
      </c>
      <c r="V11" s="1">
        <v>549332.52800000005</v>
      </c>
      <c r="W11" s="126">
        <v>399360.24300000002</v>
      </c>
      <c r="X11" s="126">
        <v>447436.19</v>
      </c>
      <c r="Y11" s="126">
        <v>507359.72600000002</v>
      </c>
      <c r="Z11" s="126">
        <v>527597.61</v>
      </c>
      <c r="AA11" s="126">
        <v>444895.00799999997</v>
      </c>
      <c r="AB11" s="126">
        <v>561840.93500000006</v>
      </c>
      <c r="AC11" s="126">
        <v>561016</v>
      </c>
      <c r="AD11" s="1">
        <v>587714.82999999996</v>
      </c>
      <c r="AE11" s="1">
        <v>726670.05599999998</v>
      </c>
      <c r="AF11" s="1">
        <v>664287.92599999998</v>
      </c>
      <c r="AG11" s="1">
        <v>698944.51399999997</v>
      </c>
      <c r="AH11" s="1">
        <v>701501.81099999999</v>
      </c>
      <c r="AI11" s="1">
        <v>775754.23699999996</v>
      </c>
      <c r="AK11" s="1">
        <v>872875.35199999996</v>
      </c>
      <c r="AL11" s="1">
        <v>855304.38300000003</v>
      </c>
    </row>
    <row r="12" spans="1:38" ht="12.75" customHeight="1">
      <c r="A12" s="1" t="s">
        <v>27</v>
      </c>
      <c r="B12" s="1">
        <f>(17860+3094+610)+(39786+1095)</f>
        <v>62445</v>
      </c>
      <c r="C12" s="1">
        <f>(17512+0+4272+630)+(47598+1261)</f>
        <v>71273</v>
      </c>
      <c r="D12" s="1">
        <f>(20709+184+5684+769)+(23228+1354)</f>
        <v>51928</v>
      </c>
      <c r="I12" s="1">
        <f>(30120.364+2092.082)+32445.642</f>
        <v>64658.088000000003</v>
      </c>
      <c r="J12" s="126">
        <v>65177.283000000003</v>
      </c>
      <c r="K12" s="1">
        <f>(30097.685+2131.568)+31610.618</f>
        <v>63839.870999999999</v>
      </c>
      <c r="L12" s="1">
        <f>(31701.791+1872.287)+26573.865</f>
        <v>60147.942999999999</v>
      </c>
      <c r="M12" s="1">
        <v>84373.736000000004</v>
      </c>
      <c r="N12" s="1">
        <f>(44623.056+1530)+63386.56</f>
        <v>109539.61599999999</v>
      </c>
      <c r="O12" s="1">
        <v>150741.655</v>
      </c>
      <c r="R12" s="18">
        <v>209998.27399999998</v>
      </c>
      <c r="S12" s="1">
        <v>293368.04700000002</v>
      </c>
      <c r="T12" s="44">
        <v>280025.647</v>
      </c>
      <c r="U12" s="1">
        <v>299749.39500000002</v>
      </c>
      <c r="V12" s="1">
        <v>262644.81099999999</v>
      </c>
      <c r="W12" s="126">
        <v>283878.78000000003</v>
      </c>
      <c r="X12" s="126">
        <v>313078.28100000002</v>
      </c>
      <c r="Y12" s="126">
        <v>331818.054</v>
      </c>
      <c r="Z12" s="126">
        <v>371999.85399999999</v>
      </c>
      <c r="AA12" s="126">
        <v>350350.54100000003</v>
      </c>
      <c r="AB12" s="126">
        <v>335217.78600000002</v>
      </c>
      <c r="AC12" s="126">
        <v>396277</v>
      </c>
      <c r="AD12" s="1">
        <v>370067.54300000001</v>
      </c>
      <c r="AE12" s="1">
        <v>357919.78600000002</v>
      </c>
      <c r="AF12" s="1">
        <v>344229.533</v>
      </c>
      <c r="AG12" s="1">
        <v>410220.34499999997</v>
      </c>
      <c r="AH12" s="1">
        <v>444636.32500000001</v>
      </c>
      <c r="AI12" s="1">
        <v>415053.30099999998</v>
      </c>
      <c r="AK12" s="1">
        <v>408715.87</v>
      </c>
      <c r="AL12" s="1">
        <v>435616.95299999998</v>
      </c>
    </row>
    <row r="13" spans="1:38" ht="12.75" customHeight="1">
      <c r="A13" s="1" t="s">
        <v>28</v>
      </c>
      <c r="B13" s="1">
        <f>(3548+18348+410)+(6630+11989)</f>
        <v>40925</v>
      </c>
      <c r="C13" s="1">
        <f>(3779+0+19154+372)+(8054+11897)</f>
        <v>43256</v>
      </c>
      <c r="D13" s="1">
        <f>(4208+0+20793+442)+(8994+12617)</f>
        <v>47054</v>
      </c>
      <c r="I13" s="1">
        <f>(52701.597+1923.222)+37359.365</f>
        <v>91984.184000000008</v>
      </c>
      <c r="J13" s="126">
        <v>104938.04</v>
      </c>
      <c r="K13" s="1">
        <f>(70915.476+1785.38)+45387.458</f>
        <v>118088.314</v>
      </c>
      <c r="L13" s="1">
        <f>(80575.185+2373.236)+47074.178</f>
        <v>130022.599</v>
      </c>
      <c r="M13" s="1">
        <v>163717.42000000001</v>
      </c>
      <c r="N13" s="1">
        <f>(115789.915+3467.948)+54024.39</f>
        <v>173282.253</v>
      </c>
      <c r="O13" s="1">
        <v>186289.88099999999</v>
      </c>
      <c r="R13" s="18">
        <v>303614.49400000001</v>
      </c>
      <c r="S13" s="1">
        <v>288914.71799999999</v>
      </c>
      <c r="T13" s="44">
        <v>250905.003</v>
      </c>
      <c r="U13" s="1">
        <v>236566.829</v>
      </c>
      <c r="V13" s="1">
        <v>362229.37400000001</v>
      </c>
      <c r="W13" s="126">
        <v>377485.29700000002</v>
      </c>
      <c r="X13" s="126">
        <v>366860.01400000002</v>
      </c>
      <c r="Y13" s="126">
        <v>392744.34700000001</v>
      </c>
      <c r="Z13" s="126">
        <v>449147.38</v>
      </c>
      <c r="AA13" s="126">
        <v>223712.978</v>
      </c>
      <c r="AB13" s="126">
        <v>469331.17300000001</v>
      </c>
      <c r="AC13" s="126">
        <v>468927</v>
      </c>
      <c r="AD13" s="1">
        <v>478860.10700000002</v>
      </c>
      <c r="AE13" s="1">
        <v>497238.19</v>
      </c>
      <c r="AF13" s="1">
        <v>548760.32799999998</v>
      </c>
      <c r="AG13" s="1">
        <v>654618.10699999996</v>
      </c>
      <c r="AH13" s="1">
        <v>629462.995</v>
      </c>
      <c r="AI13" s="1">
        <v>751701.55099999998</v>
      </c>
      <c r="AK13" s="1">
        <v>962606.09199999995</v>
      </c>
      <c r="AL13" s="1">
        <v>1043392.974</v>
      </c>
    </row>
    <row r="14" spans="1:38" ht="12.75" customHeight="1">
      <c r="A14" s="1" t="s">
        <v>29</v>
      </c>
      <c r="B14" s="1">
        <f>(10502+1679)+18311</f>
        <v>30492</v>
      </c>
      <c r="C14" s="1">
        <f>(23163+1623)+(0+19136)</f>
        <v>43922</v>
      </c>
      <c r="D14" s="1">
        <f>(0+34784+1722)+(0+21690)</f>
        <v>58196</v>
      </c>
      <c r="I14" s="1">
        <f>(58635.429+0)+40936.366</f>
        <v>99571.794999999998</v>
      </c>
      <c r="J14" s="126">
        <v>95203.513000000006</v>
      </c>
      <c r="K14" s="1">
        <v>120839.58499999999</v>
      </c>
      <c r="L14" s="1">
        <f>(59032.409+7.797)+74464.893</f>
        <v>133505.09899999999</v>
      </c>
      <c r="M14" s="1">
        <v>137246.39199999999</v>
      </c>
      <c r="N14" s="1">
        <f>(66891.123+1224.464)+81671.432</f>
        <v>149787.019</v>
      </c>
      <c r="O14" s="1">
        <v>172336.80810999998</v>
      </c>
      <c r="R14" s="18">
        <v>345219.95799999998</v>
      </c>
      <c r="S14" s="1">
        <v>285040.92799999996</v>
      </c>
      <c r="T14" s="44">
        <v>330944.97499999998</v>
      </c>
      <c r="U14" s="1">
        <v>393229.81</v>
      </c>
      <c r="V14" s="1">
        <v>369917.96500000003</v>
      </c>
      <c r="W14" s="126">
        <v>427702.29300000001</v>
      </c>
      <c r="X14" s="126">
        <v>350482.73</v>
      </c>
      <c r="Y14" s="126">
        <v>368105.19500000001</v>
      </c>
      <c r="Z14" s="126">
        <v>448937.47700000001</v>
      </c>
      <c r="AA14" s="126">
        <v>277823.52</v>
      </c>
      <c r="AB14" s="126">
        <v>408354.41800000001</v>
      </c>
      <c r="AC14" s="126">
        <v>398738</v>
      </c>
      <c r="AD14" s="1">
        <v>429761.87300000002</v>
      </c>
      <c r="AE14" s="1">
        <v>450224.75</v>
      </c>
      <c r="AF14" s="1">
        <v>429333.19500000001</v>
      </c>
      <c r="AG14" s="1">
        <v>460729.63199999998</v>
      </c>
      <c r="AH14" s="1">
        <v>475694.087</v>
      </c>
      <c r="AI14" s="1">
        <v>488234.09299999999</v>
      </c>
      <c r="AK14" s="1">
        <v>518677.08</v>
      </c>
      <c r="AL14" s="1">
        <v>518050.36700000003</v>
      </c>
    </row>
    <row r="15" spans="1:38" ht="12.75" customHeight="1">
      <c r="A15" s="1" t="s">
        <v>30</v>
      </c>
      <c r="B15" s="1">
        <f>(845+31+6431+5172)+(2497+10308)</f>
        <v>25284</v>
      </c>
      <c r="C15" s="1">
        <f>(1137+0+6434+5578)+(2388+11062)</f>
        <v>26599</v>
      </c>
      <c r="D15" s="1">
        <f>(0+1007+7213+3041)+(2450+14431)</f>
        <v>28142</v>
      </c>
      <c r="I15" s="1">
        <f>(13098.112+742.432)+30854.957</f>
        <v>44695.500999999997</v>
      </c>
      <c r="J15" s="126">
        <v>44059.441999999995</v>
      </c>
      <c r="K15" s="1">
        <f>(12257.986+1130.429)+33907.568</f>
        <v>47295.983</v>
      </c>
      <c r="L15" s="1">
        <f>(14144.024+1657.722)+32896.634</f>
        <v>48698.38</v>
      </c>
      <c r="M15" s="1">
        <v>59463.828000000001</v>
      </c>
      <c r="N15" s="1">
        <f>(21890.981+3205.306)+35404.148</f>
        <v>60500.434999999998</v>
      </c>
      <c r="O15" s="1">
        <v>66376.370999999999</v>
      </c>
      <c r="R15" s="18">
        <v>100843.38099999999</v>
      </c>
      <c r="S15" s="1">
        <v>109508.10500000001</v>
      </c>
      <c r="T15" s="44">
        <v>125999.16899999999</v>
      </c>
      <c r="U15" s="1">
        <v>129157.569</v>
      </c>
      <c r="V15" s="1">
        <v>145820.77900000001</v>
      </c>
      <c r="W15" s="126">
        <v>151689.19899999999</v>
      </c>
      <c r="X15" s="126">
        <v>171792.09899999999</v>
      </c>
      <c r="Y15" s="126">
        <v>184366.122</v>
      </c>
      <c r="Z15" s="126">
        <v>198029.516</v>
      </c>
      <c r="AA15" s="126">
        <v>154419.04999999999</v>
      </c>
      <c r="AB15" s="126">
        <v>175973.18400000001</v>
      </c>
      <c r="AC15" s="126">
        <v>190268</v>
      </c>
      <c r="AD15" s="1">
        <v>202310.55100000001</v>
      </c>
      <c r="AE15" s="1">
        <v>214073.33600000001</v>
      </c>
      <c r="AF15" s="1">
        <v>223369.17300000001</v>
      </c>
      <c r="AG15" s="1">
        <v>204546.91899999999</v>
      </c>
      <c r="AH15" s="1">
        <v>213813.31599999999</v>
      </c>
      <c r="AI15" s="1">
        <v>204718.84700000001</v>
      </c>
      <c r="AK15" s="1">
        <v>210632.05499999999</v>
      </c>
      <c r="AL15" s="1">
        <v>217306.39799999999</v>
      </c>
    </row>
    <row r="16" spans="1:38" ht="12.75" customHeight="1">
      <c r="A16" s="1" t="s">
        <v>31</v>
      </c>
      <c r="B16" s="1">
        <f>(3428+8936+1140)+(22755+20341)</f>
        <v>56600</v>
      </c>
      <c r="C16" s="1">
        <f>(4777+0+10501+1220)+(28469+24750)</f>
        <v>69717</v>
      </c>
      <c r="D16" s="1">
        <f>(5575+0+11604+1143)+(29554+30794)</f>
        <v>78670</v>
      </c>
      <c r="I16" s="1">
        <f>(30995.398+989.547)+121813.308</f>
        <v>153798.253</v>
      </c>
      <c r="J16" s="126">
        <v>166823.94899999999</v>
      </c>
      <c r="K16" s="1">
        <f>(39733.037+1848.039)+144958.888</f>
        <v>186539.96400000001</v>
      </c>
      <c r="L16" s="1">
        <f>(43482.83+1975.581)+146894.192</f>
        <v>192352.603</v>
      </c>
      <c r="M16" s="1">
        <v>197751.128</v>
      </c>
      <c r="N16" s="1">
        <f>(51764.606+3592.59)+167929.134</f>
        <v>223286.33</v>
      </c>
      <c r="O16" s="1">
        <v>237533.71799999999</v>
      </c>
      <c r="R16" s="18">
        <v>328286.522</v>
      </c>
      <c r="S16" s="1">
        <v>405837.745</v>
      </c>
      <c r="T16" s="1">
        <v>365335.86300000001</v>
      </c>
      <c r="U16" s="1">
        <v>356104.85700000002</v>
      </c>
      <c r="V16" s="1">
        <v>401864.20400000003</v>
      </c>
      <c r="W16" s="126">
        <v>440305.61400000006</v>
      </c>
      <c r="X16" s="126">
        <v>434935.24800000002</v>
      </c>
      <c r="Y16" s="126">
        <v>457945.33100000001</v>
      </c>
      <c r="Z16" s="126">
        <v>608047.07900000003</v>
      </c>
      <c r="AA16" s="126">
        <v>630254.57400000002</v>
      </c>
      <c r="AB16" s="126">
        <v>686807.79599999997</v>
      </c>
      <c r="AC16" s="126">
        <v>802583</v>
      </c>
      <c r="AD16" s="1">
        <v>745807.66599999997</v>
      </c>
      <c r="AE16" s="1">
        <v>736934.31400000001</v>
      </c>
      <c r="AF16" s="1">
        <v>735507.02</v>
      </c>
      <c r="AG16" s="1">
        <v>800208.17099999997</v>
      </c>
      <c r="AH16" s="1">
        <v>840699.28599999996</v>
      </c>
      <c r="AI16" s="1">
        <v>925092.30700000003</v>
      </c>
      <c r="AK16" s="1">
        <v>971720.08</v>
      </c>
      <c r="AL16" s="1">
        <v>1003643.8590000001</v>
      </c>
    </row>
    <row r="17" spans="1:38" ht="12.75" customHeight="1">
      <c r="A17" s="1" t="s">
        <v>32</v>
      </c>
      <c r="B17" s="1">
        <f>(7898+6)+12296</f>
        <v>20200</v>
      </c>
      <c r="C17" s="1">
        <f>(7279+9)+(0+14729)</f>
        <v>22017</v>
      </c>
      <c r="D17" s="1">
        <f>(0+0+18022+412)+(0+15625)</f>
        <v>34059</v>
      </c>
      <c r="I17" s="1">
        <f>(44577.78+130.01)+28276.702</f>
        <v>72984.491999999998</v>
      </c>
      <c r="J17" s="126">
        <v>88713.635999999999</v>
      </c>
      <c r="K17" s="1">
        <f>(58801.451+348.875)+32763.295</f>
        <v>91913.620999999999</v>
      </c>
      <c r="L17" s="1">
        <f>(54985.414+268.987)+40876.545</f>
        <v>96130.945999999996</v>
      </c>
      <c r="M17" s="1">
        <v>105913.41399999999</v>
      </c>
      <c r="N17" s="1">
        <f>(65409.633+156.483)+45482.176</f>
        <v>111048.29199999999</v>
      </c>
      <c r="O17" s="1">
        <v>123731.10837</v>
      </c>
      <c r="R17" s="18">
        <v>168019.163</v>
      </c>
      <c r="S17" s="1">
        <v>187674.27799999999</v>
      </c>
      <c r="T17" s="1">
        <v>205273.50099999999</v>
      </c>
      <c r="U17" s="1">
        <v>247537.04</v>
      </c>
      <c r="V17" s="1">
        <v>256589.84599999999</v>
      </c>
      <c r="W17" s="126">
        <v>254789.973</v>
      </c>
      <c r="X17" s="126">
        <v>292364.092</v>
      </c>
      <c r="Y17" s="126">
        <v>334150.31699999998</v>
      </c>
      <c r="Z17" s="126">
        <v>342600.23100000003</v>
      </c>
      <c r="AA17" s="126">
        <v>229307.9</v>
      </c>
      <c r="AB17" s="126">
        <v>393991.891</v>
      </c>
      <c r="AC17" s="126">
        <v>438159</v>
      </c>
      <c r="AD17" s="1">
        <v>432219.22700000001</v>
      </c>
      <c r="AE17" s="1">
        <v>433158.435</v>
      </c>
      <c r="AF17" s="1">
        <v>472634.43099999998</v>
      </c>
      <c r="AG17" s="1">
        <v>492193.234</v>
      </c>
      <c r="AH17" s="1">
        <v>519514.897</v>
      </c>
      <c r="AI17" s="1">
        <v>511603.47</v>
      </c>
      <c r="AK17" s="1">
        <v>589152.88500000001</v>
      </c>
      <c r="AL17" s="1">
        <v>539288.56000000006</v>
      </c>
    </row>
    <row r="18" spans="1:38" ht="12.75" customHeight="1">
      <c r="A18" s="1" t="s">
        <v>33</v>
      </c>
      <c r="B18" s="1">
        <f>(714+31+1258+39)+(8920+6374)</f>
        <v>17336</v>
      </c>
      <c r="C18" s="1">
        <f>(3085+128+1287+145)+(11956+5881)</f>
        <v>22482</v>
      </c>
      <c r="D18" s="1">
        <f>(3755+114+2136+346)+(13538+7729)</f>
        <v>27618</v>
      </c>
      <c r="I18" s="1">
        <f>(10830.46+920.602)+49158.546</f>
        <v>60909.608</v>
      </c>
      <c r="J18" s="126">
        <v>80636.438999999998</v>
      </c>
      <c r="K18" s="1">
        <f>(9514.225+1195.23)+71072.786</f>
        <v>81782.240999999995</v>
      </c>
      <c r="L18" s="1">
        <f>(13955.734+1863.975)+79856.328</f>
        <v>95676.036999999997</v>
      </c>
      <c r="M18" s="1">
        <v>89738.713000000003</v>
      </c>
      <c r="N18" s="1">
        <f>(13851.584+1925.538)+68794.387</f>
        <v>84571.509000000005</v>
      </c>
      <c r="O18" s="1">
        <v>98530.750999999989</v>
      </c>
      <c r="R18" s="18">
        <v>125321.985</v>
      </c>
      <c r="S18" s="1">
        <v>182544.72500000001</v>
      </c>
      <c r="T18" s="1">
        <v>210796.29399999999</v>
      </c>
      <c r="U18" s="1">
        <v>243967.478</v>
      </c>
      <c r="V18" s="1">
        <v>273119.20799999998</v>
      </c>
      <c r="W18" s="126">
        <v>289824.35600000003</v>
      </c>
      <c r="X18" s="126">
        <v>305903.31300000002</v>
      </c>
      <c r="Y18" s="126">
        <v>328365.96399999998</v>
      </c>
      <c r="Z18" s="126">
        <v>331693.41100000002</v>
      </c>
      <c r="AA18" s="126">
        <v>334477.66399999999</v>
      </c>
      <c r="AB18" s="126">
        <v>413883.85600000003</v>
      </c>
      <c r="AC18" s="126">
        <v>424631</v>
      </c>
      <c r="AD18" s="1">
        <v>445099.26799999998</v>
      </c>
      <c r="AE18" s="1">
        <v>475941.53499999997</v>
      </c>
      <c r="AF18" s="1">
        <v>499657.54</v>
      </c>
      <c r="AG18" s="1">
        <v>492153.59899999999</v>
      </c>
      <c r="AH18" s="1">
        <v>512414.67599999998</v>
      </c>
      <c r="AI18" s="1">
        <v>597070.70499999996</v>
      </c>
      <c r="AK18" s="1">
        <v>655764.90099999995</v>
      </c>
      <c r="AL18" s="1">
        <v>645215.50899999996</v>
      </c>
    </row>
    <row r="19" spans="1:38" ht="12.75" customHeight="1">
      <c r="A19" s="1" t="s">
        <v>34</v>
      </c>
      <c r="B19" s="1">
        <f>(2421+401+5367+3022)+(5318+24840)</f>
        <v>41369</v>
      </c>
      <c r="C19" s="1">
        <f>(3180+275+7135+3075)+(7451+28659)</f>
        <v>49775</v>
      </c>
      <c r="D19" s="1">
        <f>(5258+935+8864+4296)+(9459+30724)</f>
        <v>59536</v>
      </c>
      <c r="I19" s="1">
        <f>(24393.376+7864.237)+62787.292</f>
        <v>95044.904999999999</v>
      </c>
      <c r="J19" s="126">
        <v>97216.26</v>
      </c>
      <c r="K19" s="1">
        <f>(28075.049+9822.36)+76085.275</f>
        <v>113982.68399999999</v>
      </c>
      <c r="L19" s="1">
        <f>(34327.01+11435.913)+83079.722</f>
        <v>128842.64499999999</v>
      </c>
      <c r="M19" s="1">
        <v>131355.948</v>
      </c>
      <c r="N19" s="1">
        <f>(39487.81+12365.583)+95679.335</f>
        <v>147532.728</v>
      </c>
      <c r="O19" s="1">
        <v>163441.42053999999</v>
      </c>
      <c r="R19" s="24">
        <v>192791.51</v>
      </c>
      <c r="S19" s="1">
        <v>240877.33100000001</v>
      </c>
      <c r="T19" s="1">
        <v>228400.45300000001</v>
      </c>
      <c r="U19" s="1">
        <v>268606.11499999999</v>
      </c>
      <c r="V19" s="1">
        <v>347483.30300000001</v>
      </c>
      <c r="W19" s="126">
        <v>456944.31699999998</v>
      </c>
      <c r="X19" s="126">
        <v>402589.56099999999</v>
      </c>
      <c r="Y19" s="126">
        <v>485346.96899999998</v>
      </c>
      <c r="Z19" s="126">
        <v>472422.62099999998</v>
      </c>
      <c r="AA19" s="126">
        <v>486507.40399999998</v>
      </c>
      <c r="AB19" s="127">
        <v>436160.88099999999</v>
      </c>
      <c r="AC19" s="126">
        <v>581855</v>
      </c>
      <c r="AD19" s="1">
        <v>529676.13300000003</v>
      </c>
      <c r="AE19" s="1">
        <v>511993.93400000001</v>
      </c>
      <c r="AF19" s="1">
        <v>514143.364</v>
      </c>
      <c r="AG19" s="1">
        <v>531115.70200000005</v>
      </c>
      <c r="AH19" s="1">
        <v>579229.31900000002</v>
      </c>
      <c r="AI19" s="1">
        <v>586620.80200000003</v>
      </c>
      <c r="AK19" s="1">
        <v>671696.43299999996</v>
      </c>
      <c r="AL19" s="1">
        <v>693300.804</v>
      </c>
    </row>
    <row r="20" spans="1:38" ht="12.75" customHeight="1">
      <c r="A20" s="1" t="s">
        <v>35</v>
      </c>
      <c r="B20" s="1">
        <f>(9327+315+28045+9355)+(51418+75363)</f>
        <v>173823</v>
      </c>
      <c r="C20" s="1">
        <f>(10989+774+25393+8667)+(71576+81644)</f>
        <v>199043</v>
      </c>
      <c r="D20" s="1">
        <f>(14269+734+39051+9605)+(82970+93479)</f>
        <v>240108</v>
      </c>
      <c r="I20" s="1">
        <f>(82156.718+19159.012)+270054.399</f>
        <v>371370.12899999996</v>
      </c>
      <c r="J20" s="126">
        <v>398147.98599999998</v>
      </c>
      <c r="K20" s="1">
        <f>(134720.432+37176.362)+319096.244</f>
        <v>490993.038</v>
      </c>
      <c r="L20" s="1">
        <f>(153932.665+56799.332)+331835.686</f>
        <v>542567.68299999996</v>
      </c>
      <c r="M20" s="1">
        <v>644779.35</v>
      </c>
      <c r="N20" s="1">
        <f>(424039.378+144985.091)+362306.313</f>
        <v>931330.78200000012</v>
      </c>
      <c r="O20" s="1">
        <v>980974.95600000001</v>
      </c>
      <c r="R20" s="18">
        <v>1060903.406</v>
      </c>
      <c r="S20" s="1">
        <v>1298274.6270000001</v>
      </c>
      <c r="T20" s="1">
        <v>1440189.3559999999</v>
      </c>
      <c r="U20" s="1">
        <v>1485641.1510000001</v>
      </c>
      <c r="V20" s="1">
        <v>1453709.281</v>
      </c>
      <c r="W20" s="126">
        <v>1563106.254</v>
      </c>
      <c r="X20" s="126">
        <v>1620404.1470000001</v>
      </c>
      <c r="Y20" s="126">
        <v>1682737.7439999999</v>
      </c>
      <c r="Z20" s="126">
        <v>1889548.49</v>
      </c>
      <c r="AA20" s="126">
        <v>1144714.3330000001</v>
      </c>
      <c r="AB20" s="126">
        <v>2075958.7080000001</v>
      </c>
      <c r="AC20" s="126">
        <v>2420576</v>
      </c>
      <c r="AD20" s="1">
        <v>2433950.713</v>
      </c>
      <c r="AE20" s="1">
        <v>1339633.5959999999</v>
      </c>
      <c r="AF20" s="1">
        <v>1985514.0989999999</v>
      </c>
      <c r="AG20" s="1">
        <v>1522668.7990000001</v>
      </c>
      <c r="AH20" s="1">
        <v>3330404.8990000002</v>
      </c>
      <c r="AI20" s="1">
        <v>3182198.409</v>
      </c>
      <c r="AK20" s="1">
        <v>3604354.6549999998</v>
      </c>
      <c r="AL20" s="1">
        <v>3724846.1140000001</v>
      </c>
    </row>
    <row r="21" spans="1:38" ht="12.75" customHeight="1">
      <c r="A21" s="1" t="s">
        <v>36</v>
      </c>
      <c r="B21" s="1">
        <f>(1545+65+6189+5754)+(23119+15903)</f>
        <v>52575</v>
      </c>
      <c r="C21" s="1">
        <f>(2945+285+8007+7595)+(24108+18426)</f>
        <v>61366</v>
      </c>
      <c r="D21" s="1">
        <f>(5010+210+11107+8856)+(27161+21327)</f>
        <v>73671</v>
      </c>
      <c r="I21" s="1">
        <f>(34295.611+15086.725)+131991.385</f>
        <v>181373.72100000002</v>
      </c>
      <c r="J21" s="126">
        <v>195830.60399999999</v>
      </c>
      <c r="K21" s="1">
        <f>(47289.674+11817.062)+143460.087</f>
        <v>202566.823</v>
      </c>
      <c r="L21" s="1">
        <f>(53218.572+13164.865)+151608.538</f>
        <v>217991.97500000001</v>
      </c>
      <c r="M21" s="1">
        <v>255346.484</v>
      </c>
      <c r="N21" s="1">
        <f>(76039.939+10655.602)+186666.727</f>
        <v>273362.26800000004</v>
      </c>
      <c r="O21" s="1">
        <v>294613.505</v>
      </c>
      <c r="R21" s="18">
        <v>337443.48499999999</v>
      </c>
      <c r="S21" s="1">
        <v>373846.755</v>
      </c>
      <c r="T21" s="1">
        <v>321463.14799999999</v>
      </c>
      <c r="U21" s="1">
        <v>341761.538</v>
      </c>
      <c r="V21" s="1">
        <v>341125.11200000002</v>
      </c>
      <c r="W21" s="126">
        <v>370334.23800000001</v>
      </c>
      <c r="X21" s="126">
        <v>386324.15700000001</v>
      </c>
      <c r="Y21" s="126">
        <v>497686.636</v>
      </c>
      <c r="Z21" s="126">
        <v>485921.56</v>
      </c>
      <c r="AA21" s="126">
        <v>469336.413</v>
      </c>
      <c r="AB21" s="126">
        <v>477573.96</v>
      </c>
      <c r="AC21" s="126">
        <v>472476</v>
      </c>
      <c r="AD21" s="1">
        <v>483203.69799999997</v>
      </c>
      <c r="AE21" s="1">
        <v>507825.11200000002</v>
      </c>
      <c r="AF21" s="1">
        <v>519906.23800000001</v>
      </c>
      <c r="AG21" s="1">
        <v>559079.875</v>
      </c>
      <c r="AH21" s="1">
        <v>596014.48400000005</v>
      </c>
      <c r="AI21" s="1">
        <v>616735.82900000003</v>
      </c>
      <c r="AK21" s="1">
        <v>710813.16700000002</v>
      </c>
      <c r="AL21" s="1">
        <v>739971.94499999995</v>
      </c>
    </row>
    <row r="22" spans="1:38" ht="12.75" customHeight="1">
      <c r="A22" s="27" t="s">
        <v>37</v>
      </c>
      <c r="B22" s="27">
        <f>(9260+718+2793+260)+(4574+2729)</f>
        <v>20334</v>
      </c>
      <c r="C22" s="27">
        <f>(3541+746+3253+509)+(3362+1823)</f>
        <v>13234</v>
      </c>
      <c r="D22" s="27">
        <f>(3752+798+3788+432)+(3656+1778)</f>
        <v>14204</v>
      </c>
      <c r="E22" s="27"/>
      <c r="F22" s="27"/>
      <c r="G22" s="27"/>
      <c r="H22" s="27"/>
      <c r="I22" s="27">
        <f>(14234.282+611.255)+21132.843</f>
        <v>35978.379999999997</v>
      </c>
      <c r="J22" s="127">
        <v>34823.506999999998</v>
      </c>
      <c r="K22" s="27">
        <f>(16708.006+679.244)+19229.914</f>
        <v>36617.164000000004</v>
      </c>
      <c r="L22" s="27">
        <f>(21191.993+849.665)+20525.048</f>
        <v>42566.705999999998</v>
      </c>
      <c r="M22" s="27">
        <v>46115.683000000005</v>
      </c>
      <c r="N22" s="27">
        <f>(22604.742+749.687)+28334.513</f>
        <v>51688.941999999995</v>
      </c>
      <c r="O22" s="27">
        <v>52258.230219999998</v>
      </c>
      <c r="P22" s="27"/>
      <c r="Q22" s="27"/>
      <c r="R22" s="27">
        <v>68626.902000000002</v>
      </c>
      <c r="S22" s="27">
        <v>74342.016999999993</v>
      </c>
      <c r="T22" s="27">
        <v>85544.873000000007</v>
      </c>
      <c r="U22" s="27">
        <v>90284.737999999998</v>
      </c>
      <c r="V22" s="27">
        <v>108398.247</v>
      </c>
      <c r="W22" s="127">
        <v>120025.636</v>
      </c>
      <c r="X22" s="127">
        <v>145690.033</v>
      </c>
      <c r="Y22" s="127">
        <v>152646.951</v>
      </c>
      <c r="Z22" s="127">
        <v>166377.41899999999</v>
      </c>
      <c r="AA22" s="127">
        <v>181594.99799999999</v>
      </c>
      <c r="AB22" s="127">
        <v>176778.05300000001</v>
      </c>
      <c r="AC22" s="127">
        <v>177381</v>
      </c>
      <c r="AD22" s="27">
        <v>189915.21599999999</v>
      </c>
      <c r="AE22" s="27">
        <v>194531.908</v>
      </c>
      <c r="AF22" s="27">
        <v>204535.86600000001</v>
      </c>
      <c r="AG22" s="27">
        <v>212340.239</v>
      </c>
      <c r="AH22" s="27">
        <v>231379.421</v>
      </c>
      <c r="AI22" s="27">
        <v>245741.899</v>
      </c>
      <c r="AJ22" s="27"/>
      <c r="AK22" s="1">
        <v>271480.935</v>
      </c>
      <c r="AL22" s="1">
        <v>345908.08</v>
      </c>
    </row>
    <row r="23" spans="1:38" ht="12.75" customHeight="1">
      <c r="A23" s="6" t="s">
        <v>38</v>
      </c>
      <c r="J23" s="51">
        <f>SUM(J25:J37)</f>
        <v>1338923.6929999997</v>
      </c>
      <c r="M23" s="51">
        <f>SUM(M25:M37)</f>
        <v>1677829.814</v>
      </c>
      <c r="O23" s="51">
        <f>SUM(O25:O37)</f>
        <v>1883061.03804</v>
      </c>
      <c r="R23" s="51">
        <f t="shared" ref="R23:AK23" si="17">SUM(R25:R37)</f>
        <v>2776026.7480000001</v>
      </c>
      <c r="S23" s="51">
        <f t="shared" si="17"/>
        <v>3159879.389</v>
      </c>
      <c r="T23" s="51">
        <f t="shared" si="17"/>
        <v>3059614.4639999997</v>
      </c>
      <c r="U23" s="51">
        <f t="shared" si="17"/>
        <v>3327981.4420000003</v>
      </c>
      <c r="V23" s="51">
        <f t="shared" si="17"/>
        <v>3506409.885999999</v>
      </c>
      <c r="W23" s="51">
        <f t="shared" si="17"/>
        <v>3711205.2239999999</v>
      </c>
      <c r="X23" s="51">
        <f t="shared" si="17"/>
        <v>4305856.79</v>
      </c>
      <c r="Y23" s="51">
        <f t="shared" si="17"/>
        <v>4760076.7819999987</v>
      </c>
      <c r="Z23" s="51">
        <f t="shared" si="17"/>
        <v>5233308.9850000003</v>
      </c>
      <c r="AA23" s="51">
        <f t="shared" si="17"/>
        <v>4621631.1229999997</v>
      </c>
      <c r="AB23" s="51">
        <f t="shared" si="17"/>
        <v>5503348.665000001</v>
      </c>
      <c r="AC23" s="51">
        <f t="shared" si="17"/>
        <v>5712765</v>
      </c>
      <c r="AD23" s="51">
        <f t="shared" si="17"/>
        <v>5904547.2089999979</v>
      </c>
      <c r="AE23" s="51">
        <f t="shared" si="17"/>
        <v>6151722.0719999997</v>
      </c>
      <c r="AF23" s="51">
        <f t="shared" si="17"/>
        <v>6483997.9960000003</v>
      </c>
      <c r="AG23" s="51">
        <f t="shared" si="17"/>
        <v>7160959.3460000008</v>
      </c>
      <c r="AH23" s="51">
        <f t="shared" si="17"/>
        <v>8131725.2429999989</v>
      </c>
      <c r="AI23" s="51">
        <f t="shared" si="17"/>
        <v>8121298.835</v>
      </c>
      <c r="AJ23" s="51">
        <f t="shared" si="17"/>
        <v>0</v>
      </c>
      <c r="AK23" s="131">
        <f t="shared" si="17"/>
        <v>9089176.7339999992</v>
      </c>
      <c r="AL23" s="131">
        <f t="shared" ref="AL23" si="18">SUM(AL25:AL37)</f>
        <v>9537113.7840000018</v>
      </c>
    </row>
    <row r="24" spans="1:38" ht="12.75" customHeight="1">
      <c r="A24" s="6" t="s">
        <v>94</v>
      </c>
      <c r="AA24" s="10">
        <v>0</v>
      </c>
    </row>
    <row r="25" spans="1:38" ht="12.75" customHeight="1">
      <c r="A25" s="1" t="s">
        <v>39</v>
      </c>
      <c r="J25" s="126">
        <v>15407.030999999999</v>
      </c>
      <c r="M25" s="1">
        <v>19863.101000000002</v>
      </c>
      <c r="O25" s="1">
        <v>25670.386999999999</v>
      </c>
      <c r="R25" s="18">
        <v>35331.415000000001</v>
      </c>
      <c r="S25" s="1">
        <v>42924.266000000003</v>
      </c>
      <c r="T25" s="1">
        <v>41221.035000000003</v>
      </c>
      <c r="U25" s="1">
        <v>50808.667999999998</v>
      </c>
      <c r="V25" s="1">
        <v>47031.574999999997</v>
      </c>
      <c r="W25" s="126">
        <v>51450.142999999996</v>
      </c>
      <c r="X25" s="126">
        <v>56790.298000000003</v>
      </c>
      <c r="Y25" s="126">
        <v>58706.675000000003</v>
      </c>
      <c r="Z25" s="126">
        <v>58680.936999999998</v>
      </c>
      <c r="AA25" s="126">
        <v>61233.963000000003</v>
      </c>
      <c r="AB25" s="126">
        <v>60675.631999999998</v>
      </c>
      <c r="AC25" s="126">
        <v>56743</v>
      </c>
      <c r="AD25" s="1">
        <v>65743.096000000005</v>
      </c>
      <c r="AE25" s="1">
        <v>68641.160999999993</v>
      </c>
      <c r="AF25" s="1">
        <v>68414.210999999996</v>
      </c>
      <c r="AG25" s="1">
        <v>63736.978999999999</v>
      </c>
      <c r="AH25" s="1">
        <v>60674.858</v>
      </c>
      <c r="AI25" s="1">
        <v>58764.131999999998</v>
      </c>
      <c r="AK25" s="1">
        <v>58539.019</v>
      </c>
      <c r="AL25" s="1">
        <v>55913.411999999997</v>
      </c>
    </row>
    <row r="26" spans="1:38" ht="12.75" customHeight="1">
      <c r="A26" s="1" t="s">
        <v>40</v>
      </c>
      <c r="J26" s="126">
        <v>88402.16399999999</v>
      </c>
      <c r="M26" s="1">
        <v>101855.35800000001</v>
      </c>
      <c r="O26" s="1">
        <v>121510.78</v>
      </c>
      <c r="R26" s="18">
        <v>168534.45199999999</v>
      </c>
      <c r="S26" s="1">
        <v>173840.785</v>
      </c>
      <c r="T26" s="1">
        <v>170704.59899999999</v>
      </c>
      <c r="U26" s="1">
        <v>197174.361</v>
      </c>
      <c r="V26" s="1">
        <v>201432.269</v>
      </c>
      <c r="W26" s="126">
        <v>214053.12300000002</v>
      </c>
      <c r="X26" s="126">
        <v>246140.58900000001</v>
      </c>
      <c r="Y26" s="126">
        <v>260884.171</v>
      </c>
      <c r="Z26" s="126">
        <v>309759.46399999998</v>
      </c>
      <c r="AA26" s="126">
        <v>352001.56699999998</v>
      </c>
      <c r="AB26" s="126">
        <v>339450.42</v>
      </c>
      <c r="AC26" s="126">
        <v>340452</v>
      </c>
      <c r="AD26" s="1">
        <v>366598.54200000002</v>
      </c>
      <c r="AE26" s="1">
        <v>361965.495</v>
      </c>
      <c r="AF26" s="1">
        <v>350139.59399999998</v>
      </c>
      <c r="AG26" s="1">
        <v>452143.87699999998</v>
      </c>
      <c r="AH26" s="1">
        <v>568325.98300000001</v>
      </c>
      <c r="AI26" s="1">
        <v>542269.30200000003</v>
      </c>
      <c r="AK26" s="1">
        <v>548963.83600000001</v>
      </c>
      <c r="AL26" s="1">
        <v>556751.97400000005</v>
      </c>
    </row>
    <row r="27" spans="1:38" ht="12.75" customHeight="1">
      <c r="A27" s="1" t="s">
        <v>41</v>
      </c>
      <c r="J27" s="126">
        <v>625912.31999999995</v>
      </c>
      <c r="M27" s="1">
        <v>809778.05300000007</v>
      </c>
      <c r="O27" s="1">
        <v>879861.16399999987</v>
      </c>
      <c r="R27" s="18">
        <v>1439263.304</v>
      </c>
      <c r="S27" s="1">
        <v>1650378.8820000002</v>
      </c>
      <c r="T27" s="1">
        <v>1514229.6170000001</v>
      </c>
      <c r="U27" s="1">
        <v>1612746.3659999999</v>
      </c>
      <c r="V27" s="1">
        <v>1821209.4779999999</v>
      </c>
      <c r="W27" s="126">
        <v>1839822.541</v>
      </c>
      <c r="X27" s="126">
        <v>2051038.868</v>
      </c>
      <c r="Y27" s="126">
        <v>2250497.5619999999</v>
      </c>
      <c r="Z27" s="126">
        <v>2463579.1349999998</v>
      </c>
      <c r="AA27" s="126">
        <v>2075308.6740000001</v>
      </c>
      <c r="AB27" s="126">
        <v>2860680.2220000001</v>
      </c>
      <c r="AC27" s="126">
        <v>2917827</v>
      </c>
      <c r="AD27" s="1">
        <v>3067560.4870000002</v>
      </c>
      <c r="AE27" s="1">
        <v>3066061.585</v>
      </c>
      <c r="AF27" s="1">
        <v>3312123.6209999998</v>
      </c>
      <c r="AG27" s="1">
        <v>3618222.22</v>
      </c>
      <c r="AH27" s="1">
        <v>3886085.577</v>
      </c>
      <c r="AI27" s="1">
        <v>4038635.32</v>
      </c>
      <c r="AK27" s="1">
        <v>4722423.7759999996</v>
      </c>
      <c r="AL27" s="1">
        <v>4921183.82</v>
      </c>
    </row>
    <row r="28" spans="1:38" ht="12.75" customHeight="1">
      <c r="A28" s="1" t="s">
        <v>42</v>
      </c>
      <c r="J28" s="126">
        <v>128070.04800000001</v>
      </c>
      <c r="M28" s="1">
        <v>135322.43</v>
      </c>
      <c r="O28" s="1">
        <v>150018.226</v>
      </c>
      <c r="R28" s="18">
        <v>188769.49299999999</v>
      </c>
      <c r="S28" s="1">
        <v>229201.88500000001</v>
      </c>
      <c r="T28" s="1">
        <v>276626.46799999999</v>
      </c>
      <c r="U28" s="1">
        <v>255524.95199999999</v>
      </c>
      <c r="V28" s="1">
        <v>203619.91899999999</v>
      </c>
      <c r="W28" s="126">
        <v>263654.34899999999</v>
      </c>
      <c r="X28" s="126">
        <v>491701.41700000002</v>
      </c>
      <c r="Y28" s="126">
        <v>543516.08799999999</v>
      </c>
      <c r="Z28" s="126">
        <v>628270.78799999994</v>
      </c>
      <c r="AA28" s="126">
        <v>598566.12899999996</v>
      </c>
      <c r="AB28" s="126">
        <v>527451.16500000004</v>
      </c>
      <c r="AC28" s="126">
        <v>681473</v>
      </c>
      <c r="AD28" s="1">
        <v>664109.32999999996</v>
      </c>
      <c r="AE28" s="1">
        <v>651319.41500000004</v>
      </c>
      <c r="AF28" s="1">
        <v>702442.69799999997</v>
      </c>
      <c r="AG28" s="1">
        <v>783858.44099999999</v>
      </c>
      <c r="AH28" s="1">
        <v>922307.31700000004</v>
      </c>
      <c r="AI28" s="1">
        <v>975503.43</v>
      </c>
      <c r="AK28" s="1">
        <v>1075581.0419999999</v>
      </c>
      <c r="AL28" s="1">
        <v>1128572.9380000001</v>
      </c>
    </row>
    <row r="29" spans="1:38" ht="12.75" customHeight="1">
      <c r="A29" s="1" t="s">
        <v>43</v>
      </c>
      <c r="J29" s="126">
        <v>23069.416000000001</v>
      </c>
      <c r="M29" s="1">
        <v>27193.417000000001</v>
      </c>
      <c r="O29" s="1">
        <v>24609.377</v>
      </c>
      <c r="R29" s="18">
        <v>31804.14</v>
      </c>
      <c r="S29" s="1">
        <v>28007.008999999998</v>
      </c>
      <c r="T29" s="1">
        <v>39131.025000000001</v>
      </c>
      <c r="U29" s="1">
        <v>113308.311</v>
      </c>
      <c r="V29" s="1">
        <v>111673.68799999999</v>
      </c>
      <c r="W29" s="126">
        <v>113817.18700000001</v>
      </c>
      <c r="X29" s="126">
        <v>126654.08</v>
      </c>
      <c r="Y29" s="126">
        <v>144658.40299999999</v>
      </c>
      <c r="Z29" s="126">
        <v>173707.21400000001</v>
      </c>
      <c r="AA29" s="126">
        <v>187018.72500000001</v>
      </c>
      <c r="AB29" s="126">
        <v>181636.47700000001</v>
      </c>
      <c r="AC29" s="126">
        <v>164737</v>
      </c>
      <c r="AD29" s="1">
        <v>168487.851</v>
      </c>
      <c r="AE29" s="1">
        <v>175108.68799999999</v>
      </c>
      <c r="AF29" s="1">
        <v>183766.204</v>
      </c>
      <c r="AG29" s="1">
        <v>193525.28</v>
      </c>
      <c r="AH29" s="1">
        <v>207442.42</v>
      </c>
      <c r="AI29" s="1">
        <v>231305.51800000001</v>
      </c>
      <c r="AK29" s="1">
        <v>277687.86300000001</v>
      </c>
      <c r="AL29" s="1">
        <v>289720.63099999999</v>
      </c>
    </row>
    <row r="30" spans="1:38" ht="12.75" customHeight="1">
      <c r="A30" s="1" t="s">
        <v>44</v>
      </c>
      <c r="J30" s="126">
        <v>30595.324999999997</v>
      </c>
      <c r="M30" s="1">
        <v>35831.861000000004</v>
      </c>
      <c r="O30" s="1">
        <v>38961.502999999997</v>
      </c>
      <c r="R30" s="18">
        <v>47305.305999999997</v>
      </c>
      <c r="S30" s="1">
        <v>52978.012000000002</v>
      </c>
      <c r="T30" s="1">
        <v>59708.008000000002</v>
      </c>
      <c r="U30" s="1">
        <v>66385.028000000006</v>
      </c>
      <c r="V30" s="1">
        <v>75173.956999999995</v>
      </c>
      <c r="W30" s="126">
        <v>80337.490999999995</v>
      </c>
      <c r="X30" s="126">
        <v>89859.722999999998</v>
      </c>
      <c r="Y30" s="126">
        <v>86007.429000000004</v>
      </c>
      <c r="Z30" s="126">
        <v>88212.145999999993</v>
      </c>
      <c r="AA30" s="126">
        <v>80170.850000000006</v>
      </c>
      <c r="AB30" s="126">
        <v>75525.123000000007</v>
      </c>
      <c r="AC30" s="126">
        <v>81318</v>
      </c>
      <c r="AD30" s="1">
        <v>89125.489000000001</v>
      </c>
      <c r="AE30" s="1">
        <v>96794.417000000001</v>
      </c>
      <c r="AF30" s="1">
        <v>94630.608999999997</v>
      </c>
      <c r="AG30" s="1">
        <v>91230.861000000004</v>
      </c>
      <c r="AH30" s="1">
        <v>98978.925000000003</v>
      </c>
      <c r="AI30" s="1">
        <v>103040.713</v>
      </c>
      <c r="AK30" s="1">
        <v>104066.814</v>
      </c>
      <c r="AL30" s="1">
        <v>110860.314</v>
      </c>
    </row>
    <row r="31" spans="1:38" ht="12.75" customHeight="1">
      <c r="A31" s="1" t="s">
        <v>45</v>
      </c>
      <c r="J31" s="126">
        <v>15741.478999999999</v>
      </c>
      <c r="M31" s="1">
        <v>22564.663</v>
      </c>
      <c r="O31" s="1">
        <v>28028.106</v>
      </c>
      <c r="R31" s="24">
        <v>47046.615000000005</v>
      </c>
      <c r="S31" s="1">
        <v>42373.832999999999</v>
      </c>
      <c r="T31" s="1">
        <v>49136.220999999998</v>
      </c>
      <c r="U31" s="1">
        <v>40602.216</v>
      </c>
      <c r="V31" s="1">
        <v>42556.478999999999</v>
      </c>
      <c r="W31" s="126">
        <v>46844.29</v>
      </c>
      <c r="X31" s="126">
        <v>56523.307000000001</v>
      </c>
      <c r="Y31" s="126">
        <v>58990.627</v>
      </c>
      <c r="Z31" s="126">
        <v>62008.951999999997</v>
      </c>
      <c r="AA31" s="126">
        <v>63123.883999999998</v>
      </c>
      <c r="AB31" s="126">
        <v>58778.591999999997</v>
      </c>
      <c r="AC31" s="126">
        <v>55063</v>
      </c>
      <c r="AD31" s="1">
        <v>58086.726000000002</v>
      </c>
      <c r="AE31" s="1">
        <v>60144.146000000001</v>
      </c>
      <c r="AF31" s="1">
        <v>62791.86</v>
      </c>
      <c r="AG31" s="1">
        <v>68998.62</v>
      </c>
      <c r="AH31" s="1">
        <v>69894.395000000004</v>
      </c>
      <c r="AI31" s="1">
        <v>76315.142999999996</v>
      </c>
      <c r="AK31" s="1">
        <v>83264.801000000007</v>
      </c>
      <c r="AL31" s="1">
        <v>83489.157000000007</v>
      </c>
    </row>
    <row r="32" spans="1:38" ht="12.75" customHeight="1">
      <c r="A32" s="1" t="s">
        <v>46</v>
      </c>
      <c r="J32" s="126">
        <v>34754.745999999999</v>
      </c>
      <c r="M32" s="1">
        <v>51429.622000000003</v>
      </c>
      <c r="O32" s="1">
        <v>52573.483</v>
      </c>
      <c r="R32" s="24">
        <v>61674.952999999994</v>
      </c>
      <c r="S32" s="1">
        <v>70067.638000000006</v>
      </c>
      <c r="T32" s="1">
        <v>58517.455999999998</v>
      </c>
      <c r="U32" s="1">
        <v>69441.843999999997</v>
      </c>
      <c r="V32" s="1">
        <v>81297.138000000006</v>
      </c>
      <c r="W32" s="126">
        <v>88838.294999999998</v>
      </c>
      <c r="X32" s="126">
        <v>98547.163</v>
      </c>
      <c r="Y32" s="126">
        <v>103935.78</v>
      </c>
      <c r="Z32" s="126">
        <v>97935.944000000003</v>
      </c>
      <c r="AA32" s="126">
        <v>86327.24</v>
      </c>
      <c r="AB32" s="126">
        <v>110132.47100000001</v>
      </c>
      <c r="AC32" s="126">
        <v>97495</v>
      </c>
      <c r="AD32" s="1">
        <v>87357.407000000007</v>
      </c>
      <c r="AE32" s="1">
        <v>97385.67</v>
      </c>
      <c r="AF32" s="1">
        <v>104406.143</v>
      </c>
      <c r="AG32" s="1">
        <v>118518.031</v>
      </c>
      <c r="AH32" s="1">
        <v>134107.016</v>
      </c>
      <c r="AI32" s="1">
        <v>149762.62700000001</v>
      </c>
      <c r="AK32" s="1">
        <v>126367.012</v>
      </c>
      <c r="AL32" s="1">
        <v>120698.996</v>
      </c>
    </row>
    <row r="33" spans="1:38" ht="12.75" customHeight="1">
      <c r="A33" s="1" t="s">
        <v>47</v>
      </c>
      <c r="J33" s="126">
        <v>85490.49</v>
      </c>
      <c r="M33" s="1">
        <v>96271.214000000007</v>
      </c>
      <c r="O33" s="1">
        <v>107358.73804000001</v>
      </c>
      <c r="R33" s="24">
        <v>126469.93400000001</v>
      </c>
      <c r="S33" s="1">
        <v>143303.5</v>
      </c>
      <c r="T33" s="1">
        <v>122282.11900000001</v>
      </c>
      <c r="U33" s="1">
        <v>138492.80300000001</v>
      </c>
      <c r="V33" s="1">
        <v>144156.394</v>
      </c>
      <c r="W33" s="126">
        <v>139988.29999999999</v>
      </c>
      <c r="X33" s="126">
        <v>149081.394</v>
      </c>
      <c r="Y33" s="126">
        <v>166290.90900000001</v>
      </c>
      <c r="Z33" s="126">
        <v>196087.05499999999</v>
      </c>
      <c r="AA33" s="126">
        <v>208515.59700000001</v>
      </c>
      <c r="AB33" s="126">
        <v>199186.51800000001</v>
      </c>
      <c r="AC33" s="126">
        <v>221840</v>
      </c>
      <c r="AD33" s="1">
        <v>183279.40400000001</v>
      </c>
      <c r="AE33" s="1">
        <v>197434.704</v>
      </c>
      <c r="AF33" s="1">
        <v>201541.75399999999</v>
      </c>
      <c r="AG33" s="1">
        <v>207111.26199999999</v>
      </c>
      <c r="AH33" s="1">
        <v>215884.851</v>
      </c>
      <c r="AI33" s="1">
        <v>224668.334</v>
      </c>
      <c r="AK33" s="1">
        <v>193989.894</v>
      </c>
      <c r="AL33" s="1">
        <v>200414.41699999999</v>
      </c>
    </row>
    <row r="34" spans="1:38" ht="12.75" customHeight="1">
      <c r="A34" s="1" t="s">
        <v>48</v>
      </c>
      <c r="J34" s="126">
        <v>80187.565000000002</v>
      </c>
      <c r="M34" s="1">
        <v>101222.35699999999</v>
      </c>
      <c r="O34" s="1">
        <v>130936.698</v>
      </c>
      <c r="R34" s="18">
        <v>194694.86</v>
      </c>
      <c r="S34" s="1">
        <v>274559.37400000001</v>
      </c>
      <c r="T34" s="1">
        <v>215978.63200000001</v>
      </c>
      <c r="U34" s="1">
        <v>234862.58</v>
      </c>
      <c r="V34" s="1">
        <v>288322.71899999998</v>
      </c>
      <c r="W34" s="126">
        <v>339842.16499999998</v>
      </c>
      <c r="X34" s="126">
        <v>326558.32199999999</v>
      </c>
      <c r="Y34" s="126">
        <v>358196.73</v>
      </c>
      <c r="Z34" s="126">
        <v>355288.31800000003</v>
      </c>
      <c r="AA34" s="126">
        <v>179708.429</v>
      </c>
      <c r="AB34" s="126">
        <v>290640.63400000002</v>
      </c>
      <c r="AC34" s="126">
        <v>248197</v>
      </c>
      <c r="AD34" s="1">
        <v>300559.90700000001</v>
      </c>
      <c r="AE34" s="1">
        <v>420406.04</v>
      </c>
      <c r="AF34" s="1">
        <v>410338.50400000002</v>
      </c>
      <c r="AG34" s="1">
        <v>520997.19500000001</v>
      </c>
      <c r="AH34" s="1">
        <v>882343.43900000001</v>
      </c>
      <c r="AI34" s="1">
        <v>537862.57999999996</v>
      </c>
      <c r="AK34" s="1">
        <v>580590.19700000004</v>
      </c>
      <c r="AL34" s="1">
        <v>622642.81799999997</v>
      </c>
    </row>
    <row r="35" spans="1:38" ht="12.75" customHeight="1">
      <c r="A35" s="1" t="s">
        <v>49</v>
      </c>
      <c r="J35" s="126">
        <v>62216.790999999997</v>
      </c>
      <c r="M35" s="1">
        <v>81257.512000000002</v>
      </c>
      <c r="O35" s="1">
        <v>106055.93400000001</v>
      </c>
      <c r="R35" s="18">
        <v>167006.82800000001</v>
      </c>
      <c r="S35" s="1">
        <v>156279.606</v>
      </c>
      <c r="T35" s="1">
        <v>183003.60500000001</v>
      </c>
      <c r="U35" s="1">
        <v>150652.40700000001</v>
      </c>
      <c r="V35" s="1">
        <v>149958.696</v>
      </c>
      <c r="W35" s="126">
        <v>158198.22500000001</v>
      </c>
      <c r="X35" s="126">
        <v>173427.07199999999</v>
      </c>
      <c r="Y35" s="126">
        <v>236738.95699999999</v>
      </c>
      <c r="Z35" s="126">
        <v>290686.82699999999</v>
      </c>
      <c r="AA35" s="126">
        <v>245559.269</v>
      </c>
      <c r="AB35" s="126">
        <v>267335.78499999997</v>
      </c>
      <c r="AC35" s="126">
        <v>262051</v>
      </c>
      <c r="AD35" s="1">
        <v>265665.049</v>
      </c>
      <c r="AE35" s="1">
        <v>282808.91100000002</v>
      </c>
      <c r="AF35" s="1">
        <v>303835.45600000001</v>
      </c>
      <c r="AG35" s="1">
        <v>309276.21000000002</v>
      </c>
      <c r="AH35" s="1">
        <v>306261.27100000001</v>
      </c>
      <c r="AI35" s="1">
        <v>347590.07900000003</v>
      </c>
      <c r="AK35" s="1">
        <v>427148.87099999998</v>
      </c>
      <c r="AL35" s="1">
        <v>489244.67800000001</v>
      </c>
    </row>
    <row r="36" spans="1:38" ht="12.75" customHeight="1">
      <c r="A36" s="1" t="s">
        <v>50</v>
      </c>
      <c r="J36" s="126">
        <v>136475.068</v>
      </c>
      <c r="M36" s="1">
        <v>175338.299</v>
      </c>
      <c r="O36" s="1">
        <v>198616.43300000002</v>
      </c>
      <c r="R36" s="18">
        <v>247229.75599999999</v>
      </c>
      <c r="S36" s="1">
        <v>268324.76799999998</v>
      </c>
      <c r="T36" s="1">
        <v>302085.18699999998</v>
      </c>
      <c r="U36" s="1">
        <v>374348.56</v>
      </c>
      <c r="V36" s="1">
        <v>309329.88199999998</v>
      </c>
      <c r="W36" s="126">
        <v>344262.745</v>
      </c>
      <c r="X36" s="126">
        <v>405209.94500000001</v>
      </c>
      <c r="Y36" s="126">
        <v>445537.41399999999</v>
      </c>
      <c r="Z36" s="126">
        <v>470049.21399999998</v>
      </c>
      <c r="AA36" s="126">
        <v>434418.64899999998</v>
      </c>
      <c r="AB36" s="126">
        <v>469370.45400000003</v>
      </c>
      <c r="AC36" s="126">
        <v>508845</v>
      </c>
      <c r="AD36" s="1">
        <v>515508.99699999997</v>
      </c>
      <c r="AE36" s="1">
        <v>592498.06000000006</v>
      </c>
      <c r="AF36" s="1">
        <v>620657.90800000005</v>
      </c>
      <c r="AG36" s="1">
        <v>642147.69499999995</v>
      </c>
      <c r="AH36" s="1">
        <v>677640.51800000004</v>
      </c>
      <c r="AI36" s="1">
        <v>754191.10199999996</v>
      </c>
      <c r="AK36" s="1">
        <v>816533.60900000005</v>
      </c>
      <c r="AL36" s="1">
        <v>900120.62899999996</v>
      </c>
    </row>
    <row r="37" spans="1:38" ht="12.75" customHeight="1">
      <c r="A37" s="27" t="s">
        <v>51</v>
      </c>
      <c r="B37" s="27"/>
      <c r="C37" s="27"/>
      <c r="D37" s="27"/>
      <c r="E37" s="27"/>
      <c r="F37" s="27"/>
      <c r="G37" s="27"/>
      <c r="H37" s="27"/>
      <c r="I37" s="27"/>
      <c r="J37" s="127">
        <v>12601.25</v>
      </c>
      <c r="K37" s="27"/>
      <c r="L37" s="27"/>
      <c r="M37" s="27">
        <v>19901.927</v>
      </c>
      <c r="N37" s="27"/>
      <c r="O37" s="27">
        <v>18860.209000000003</v>
      </c>
      <c r="P37" s="27"/>
      <c r="Q37" s="27"/>
      <c r="R37" s="37">
        <v>20895.692000000003</v>
      </c>
      <c r="S37" s="27">
        <v>27639.830999999998</v>
      </c>
      <c r="T37" s="27">
        <v>26990.491999999998</v>
      </c>
      <c r="U37" s="27">
        <v>23633.346000000001</v>
      </c>
      <c r="V37" s="27">
        <v>30647.691999999999</v>
      </c>
      <c r="W37" s="127">
        <v>30096.37</v>
      </c>
      <c r="X37" s="127">
        <v>34324.612000000001</v>
      </c>
      <c r="Y37" s="127">
        <v>46116.036999999997</v>
      </c>
      <c r="Z37" s="127">
        <v>39042.991000000002</v>
      </c>
      <c r="AA37" s="127">
        <v>49678.146999999997</v>
      </c>
      <c r="AB37" s="127">
        <v>62485.171999999999</v>
      </c>
      <c r="AC37" s="127">
        <v>76724</v>
      </c>
      <c r="AD37" s="27">
        <v>72464.923999999999</v>
      </c>
      <c r="AE37" s="27">
        <v>81153.78</v>
      </c>
      <c r="AF37" s="27">
        <v>68909.433999999994</v>
      </c>
      <c r="AG37" s="27">
        <v>91192.675000000003</v>
      </c>
      <c r="AH37" s="27">
        <v>101778.673</v>
      </c>
      <c r="AI37" s="27">
        <v>81390.554999999993</v>
      </c>
      <c r="AJ37" s="27"/>
      <c r="AK37" s="1">
        <v>74020</v>
      </c>
      <c r="AL37" s="1">
        <v>57500</v>
      </c>
    </row>
    <row r="38" spans="1:38" ht="12.75" customHeight="1">
      <c r="A38" s="6" t="s">
        <v>52</v>
      </c>
      <c r="J38" s="51">
        <f>SUM(J40:J51)</f>
        <v>1480621.1579999998</v>
      </c>
      <c r="M38" s="51">
        <f>SUM(M40:M51)</f>
        <v>1722751.62</v>
      </c>
      <c r="O38" s="51">
        <f>SUM(O40:O51)</f>
        <v>1977295.8350199999</v>
      </c>
      <c r="R38" s="51">
        <f t="shared" ref="R38:AK38" si="19">SUM(R40:R51)</f>
        <v>2568874.318</v>
      </c>
      <c r="S38" s="51">
        <f t="shared" si="19"/>
        <v>2967725.8830000004</v>
      </c>
      <c r="T38" s="51">
        <f t="shared" si="19"/>
        <v>3131635.7169999997</v>
      </c>
      <c r="U38" s="51">
        <f t="shared" si="19"/>
        <v>3376676.0999999996</v>
      </c>
      <c r="V38" s="51">
        <f t="shared" si="19"/>
        <v>3398600.1679999996</v>
      </c>
      <c r="W38" s="51">
        <f t="shared" si="19"/>
        <v>3698238.1620000005</v>
      </c>
      <c r="X38" s="51">
        <f t="shared" si="19"/>
        <v>3786095.6839999999</v>
      </c>
      <c r="Y38" s="51">
        <f t="shared" si="19"/>
        <v>4037776.4559999998</v>
      </c>
      <c r="Z38" s="51">
        <f t="shared" si="19"/>
        <v>4407579.5520000001</v>
      </c>
      <c r="AA38" s="51">
        <f t="shared" si="19"/>
        <v>4337841.9180000005</v>
      </c>
      <c r="AB38" s="51">
        <f t="shared" si="19"/>
        <v>4560749.1840000004</v>
      </c>
      <c r="AC38" s="51">
        <f t="shared" si="19"/>
        <v>4565211</v>
      </c>
      <c r="AD38" s="51">
        <f t="shared" si="19"/>
        <v>4719960.5619999999</v>
      </c>
      <c r="AE38" s="51">
        <f t="shared" si="19"/>
        <v>5058048.33</v>
      </c>
      <c r="AF38" s="51">
        <f t="shared" si="19"/>
        <v>5341367.3840000005</v>
      </c>
      <c r="AG38" s="51">
        <f t="shared" si="19"/>
        <v>5685764.476999999</v>
      </c>
      <c r="AH38" s="51">
        <f t="shared" si="19"/>
        <v>5605532.9240000006</v>
      </c>
      <c r="AI38" s="51">
        <f t="shared" si="19"/>
        <v>5994056.0749999993</v>
      </c>
      <c r="AJ38" s="51">
        <f t="shared" si="19"/>
        <v>0</v>
      </c>
      <c r="AK38" s="131">
        <f t="shared" si="19"/>
        <v>6351285.1789999995</v>
      </c>
      <c r="AL38" s="131">
        <f t="shared" ref="AL38" si="20">SUM(AL40:AL51)</f>
        <v>6575371.1429999992</v>
      </c>
    </row>
    <row r="39" spans="1:38" ht="12.75" customHeight="1">
      <c r="A39" s="6" t="s">
        <v>94</v>
      </c>
      <c r="AA39" s="10">
        <v>0</v>
      </c>
    </row>
    <row r="40" spans="1:38" ht="12.75" customHeight="1">
      <c r="A40" s="1" t="s">
        <v>53</v>
      </c>
      <c r="J40" s="126">
        <v>217510.75700000001</v>
      </c>
      <c r="M40" s="1">
        <v>205642.86600000001</v>
      </c>
      <c r="O40" s="1">
        <v>239683.42</v>
      </c>
      <c r="R40" s="18">
        <v>332336.25100000005</v>
      </c>
      <c r="S40" s="1">
        <v>372534.89899999998</v>
      </c>
      <c r="T40" s="1">
        <v>434041.68099999998</v>
      </c>
      <c r="U40" s="1">
        <v>438875.913</v>
      </c>
      <c r="V40" s="1">
        <v>342795.54100000003</v>
      </c>
      <c r="W40" s="126">
        <v>370391.24199999997</v>
      </c>
      <c r="X40" s="126">
        <v>410378.05599999998</v>
      </c>
      <c r="Y40" s="126">
        <v>433967.06800000003</v>
      </c>
      <c r="Z40" s="126">
        <v>469184.185</v>
      </c>
      <c r="AA40" s="126">
        <v>475253.93599999999</v>
      </c>
      <c r="AB40" s="126">
        <v>493493.734</v>
      </c>
      <c r="AC40" s="126">
        <v>471711</v>
      </c>
      <c r="AD40" s="1">
        <v>482296.06199999998</v>
      </c>
      <c r="AE40" s="1">
        <v>484872.87599999999</v>
      </c>
      <c r="AF40" s="1">
        <v>638623.53500000003</v>
      </c>
      <c r="AG40" s="1">
        <v>638576.27599999995</v>
      </c>
      <c r="AH40" s="1">
        <v>495801.11800000002</v>
      </c>
      <c r="AI40" s="1">
        <v>572154.14800000004</v>
      </c>
      <c r="AK40" s="1">
        <v>684835.97900000005</v>
      </c>
      <c r="AL40" s="1">
        <v>776413.005</v>
      </c>
    </row>
    <row r="41" spans="1:38" ht="12.75" customHeight="1">
      <c r="A41" s="1" t="s">
        <v>54</v>
      </c>
      <c r="J41" s="126">
        <v>151952.46400000001</v>
      </c>
      <c r="M41" s="1">
        <v>152930.70699999999</v>
      </c>
      <c r="O41" s="1">
        <v>172290.633</v>
      </c>
      <c r="R41" s="18">
        <v>227607.375</v>
      </c>
      <c r="S41" s="1">
        <v>298299.41100000002</v>
      </c>
      <c r="T41" s="1">
        <v>391273.48800000001</v>
      </c>
      <c r="U41" s="1">
        <v>355388.071</v>
      </c>
      <c r="V41" s="1">
        <v>412229.94</v>
      </c>
      <c r="W41" s="126">
        <v>439398.03300000005</v>
      </c>
      <c r="X41" s="126">
        <v>392798.984</v>
      </c>
      <c r="Y41" s="126">
        <v>440045.28100000002</v>
      </c>
      <c r="Z41" s="126">
        <v>459451.71399999998</v>
      </c>
      <c r="AA41" s="126">
        <v>500309.19799999997</v>
      </c>
      <c r="AB41" s="126">
        <v>445344.42200000002</v>
      </c>
      <c r="AC41" s="126">
        <v>461343</v>
      </c>
      <c r="AD41" s="1">
        <v>461138.52799999999</v>
      </c>
      <c r="AE41" s="1">
        <v>471904.924</v>
      </c>
      <c r="AF41" s="1">
        <v>527265.07700000005</v>
      </c>
      <c r="AG41" s="1">
        <v>554966.03399999999</v>
      </c>
      <c r="AH41" s="1">
        <v>582394.61100000003</v>
      </c>
      <c r="AI41" s="1">
        <v>579599.74800000002</v>
      </c>
      <c r="AK41" s="1">
        <v>645268.06900000002</v>
      </c>
      <c r="AL41" s="1">
        <v>689852.48899999994</v>
      </c>
    </row>
    <row r="42" spans="1:38" ht="12.75" customHeight="1">
      <c r="A42" s="1" t="s">
        <v>55</v>
      </c>
      <c r="J42" s="126">
        <v>75930.720000000001</v>
      </c>
      <c r="M42" s="1">
        <v>85270.831000000006</v>
      </c>
      <c r="O42" s="1">
        <v>98051.851999999999</v>
      </c>
      <c r="R42" s="18">
        <v>121441.56200000001</v>
      </c>
      <c r="S42" s="1">
        <v>128188.32500000001</v>
      </c>
      <c r="T42" s="1">
        <v>147092.15900000001</v>
      </c>
      <c r="U42" s="1">
        <v>169535.375</v>
      </c>
      <c r="V42" s="1">
        <v>144234.41899999999</v>
      </c>
      <c r="W42" s="126">
        <v>160626.80900000001</v>
      </c>
      <c r="X42" s="126">
        <v>172176.08600000001</v>
      </c>
      <c r="Y42" s="126">
        <v>176749.565</v>
      </c>
      <c r="Z42" s="126">
        <v>197085.742</v>
      </c>
      <c r="AA42" s="126">
        <v>213148.36300000001</v>
      </c>
      <c r="AB42" s="126">
        <v>214835.272</v>
      </c>
      <c r="AC42" s="126">
        <v>220684</v>
      </c>
      <c r="AD42" s="1">
        <v>214053.44399999999</v>
      </c>
      <c r="AE42" s="1">
        <v>222279.84299999999</v>
      </c>
      <c r="AF42" s="1">
        <v>258301.8</v>
      </c>
      <c r="AG42" s="1">
        <v>255817.45600000001</v>
      </c>
      <c r="AH42" s="1">
        <v>278051.88400000002</v>
      </c>
      <c r="AI42" s="1">
        <v>292785.56199999998</v>
      </c>
      <c r="AK42" s="1">
        <v>287503.239</v>
      </c>
      <c r="AL42" s="1">
        <v>300238.701</v>
      </c>
    </row>
    <row r="43" spans="1:38" ht="12.75" customHeight="1">
      <c r="A43" s="1" t="s">
        <v>56</v>
      </c>
      <c r="J43" s="126">
        <v>51223.67</v>
      </c>
      <c r="M43" s="1">
        <v>70368.478999999992</v>
      </c>
      <c r="O43" s="1">
        <v>88826.775630000004</v>
      </c>
      <c r="R43" s="18">
        <v>109277.671</v>
      </c>
      <c r="S43" s="1">
        <v>99022.072</v>
      </c>
      <c r="T43" s="1">
        <v>169475.89600000001</v>
      </c>
      <c r="U43" s="1">
        <v>183786.495</v>
      </c>
      <c r="V43" s="1">
        <v>169975.94399999999</v>
      </c>
      <c r="W43" s="126">
        <v>194866.701</v>
      </c>
      <c r="X43" s="126">
        <v>209152.405</v>
      </c>
      <c r="Y43" s="126">
        <v>148072.568</v>
      </c>
      <c r="Z43" s="126">
        <v>155013.75700000001</v>
      </c>
      <c r="AA43" s="126">
        <v>191805.02100000001</v>
      </c>
      <c r="AB43" s="126">
        <v>225451.524</v>
      </c>
      <c r="AC43" s="126">
        <v>216752</v>
      </c>
      <c r="AD43" s="1">
        <v>244776.886</v>
      </c>
      <c r="AE43" s="1">
        <v>285341.929</v>
      </c>
      <c r="AF43" s="1">
        <v>288747.00300000003</v>
      </c>
      <c r="AG43" s="1">
        <v>301092.05599999998</v>
      </c>
      <c r="AH43" s="1">
        <v>284884.75</v>
      </c>
      <c r="AI43" s="1">
        <v>255608.10800000001</v>
      </c>
      <c r="AK43" s="1">
        <v>277960.18099999998</v>
      </c>
      <c r="AL43" s="1">
        <v>298817.91899999999</v>
      </c>
    </row>
    <row r="44" spans="1:38" ht="12.75" customHeight="1">
      <c r="A44" s="1" t="s">
        <v>57</v>
      </c>
      <c r="J44" s="126">
        <v>276871.37199999997</v>
      </c>
      <c r="M44" s="1">
        <v>327414.44699999999</v>
      </c>
      <c r="O44" s="1">
        <v>367635.473</v>
      </c>
      <c r="R44" s="18">
        <v>504277.77599999995</v>
      </c>
      <c r="S44" s="1">
        <v>543051.53300000005</v>
      </c>
      <c r="T44" s="1">
        <v>490319.951</v>
      </c>
      <c r="U44" s="1">
        <v>564877.46699999995</v>
      </c>
      <c r="V44" s="1">
        <v>594086.09299999999</v>
      </c>
      <c r="W44" s="126">
        <v>625679.43999999994</v>
      </c>
      <c r="X44" s="126">
        <v>573641.40099999995</v>
      </c>
      <c r="Y44" s="126">
        <v>620891.772</v>
      </c>
      <c r="Z44" s="126">
        <v>667772.65500000003</v>
      </c>
      <c r="AA44" s="126">
        <v>677083.55900000001</v>
      </c>
      <c r="AB44" s="126">
        <v>649507.26399999997</v>
      </c>
      <c r="AC44" s="126">
        <v>652260</v>
      </c>
      <c r="AD44" s="1">
        <v>658956.96900000004</v>
      </c>
      <c r="AE44" s="1">
        <v>772754.99199999997</v>
      </c>
      <c r="AF44" s="1">
        <v>768004.50199999998</v>
      </c>
      <c r="AG44" s="1">
        <v>831303.946</v>
      </c>
      <c r="AH44" s="1">
        <v>829660.57</v>
      </c>
      <c r="AI44" s="1">
        <v>950934.71100000001</v>
      </c>
      <c r="AK44" s="1">
        <v>918648.41899999999</v>
      </c>
      <c r="AL44" s="1">
        <v>907718.76</v>
      </c>
    </row>
    <row r="45" spans="1:38" ht="12.75" customHeight="1">
      <c r="A45" s="1" t="s">
        <v>58</v>
      </c>
      <c r="J45" s="126">
        <v>192042.03399999999</v>
      </c>
      <c r="M45" s="1">
        <v>254469.90100000001</v>
      </c>
      <c r="O45" s="1">
        <v>280360.489</v>
      </c>
      <c r="R45" s="18">
        <v>314385.61100000003</v>
      </c>
      <c r="S45" s="1">
        <v>368567.25899999996</v>
      </c>
      <c r="T45" s="1">
        <v>371889.603</v>
      </c>
      <c r="U45" s="1">
        <v>395434.11800000002</v>
      </c>
      <c r="V45" s="1">
        <v>412655.50099999999</v>
      </c>
      <c r="W45" s="126">
        <v>415572.37199999997</v>
      </c>
      <c r="X45" s="126">
        <v>421642.55</v>
      </c>
      <c r="Y45" s="126">
        <v>529695.64500000002</v>
      </c>
      <c r="Z45" s="126">
        <v>547757.84299999999</v>
      </c>
      <c r="AA45" s="126">
        <v>556961.48699999996</v>
      </c>
      <c r="AB45" s="126">
        <v>624591.13600000006</v>
      </c>
      <c r="AC45" s="126">
        <v>625551</v>
      </c>
      <c r="AD45" s="1">
        <v>667324.50199999998</v>
      </c>
      <c r="AE45" s="1">
        <v>691088.00199999998</v>
      </c>
      <c r="AF45" s="1">
        <v>755022.12800000003</v>
      </c>
      <c r="AG45" s="1">
        <v>777246.26599999995</v>
      </c>
      <c r="AH45" s="1">
        <v>838368.59299999999</v>
      </c>
      <c r="AI45" s="1">
        <v>860355.97499999998</v>
      </c>
      <c r="AK45" s="1">
        <v>954743.35199999996</v>
      </c>
      <c r="AL45" s="1">
        <v>979921.76800000004</v>
      </c>
    </row>
    <row r="46" spans="1:38" ht="12.75" customHeight="1">
      <c r="A46" s="1" t="s">
        <v>59</v>
      </c>
      <c r="J46" s="126">
        <v>61272.334999999999</v>
      </c>
      <c r="M46" s="1">
        <v>87993.691000000006</v>
      </c>
      <c r="O46" s="1">
        <v>120946.93</v>
      </c>
      <c r="R46" s="18">
        <v>136282.182</v>
      </c>
      <c r="S46" s="1">
        <v>215753.93799999999</v>
      </c>
      <c r="T46" s="1">
        <v>141808.24299999999</v>
      </c>
      <c r="U46" s="1">
        <v>153875.54199999999</v>
      </c>
      <c r="V46" s="1">
        <v>161794.66</v>
      </c>
      <c r="W46" s="126">
        <v>204735.93400000001</v>
      </c>
      <c r="X46" s="126">
        <v>175075.26300000001</v>
      </c>
      <c r="Y46" s="126">
        <v>186939.405</v>
      </c>
      <c r="Z46" s="126">
        <v>219401.72</v>
      </c>
      <c r="AA46" s="126">
        <v>225472.36900000001</v>
      </c>
      <c r="AB46" s="126">
        <v>231516.285</v>
      </c>
      <c r="AC46" s="126">
        <v>224928</v>
      </c>
      <c r="AD46" s="1">
        <v>265364.65100000001</v>
      </c>
      <c r="AE46" s="1">
        <v>237232.87400000001</v>
      </c>
      <c r="AF46" s="1">
        <v>241485.91899999999</v>
      </c>
      <c r="AG46" s="1">
        <v>249863.06700000001</v>
      </c>
      <c r="AH46" s="1">
        <v>262949.125</v>
      </c>
      <c r="AI46" s="1">
        <v>264394.24900000001</v>
      </c>
      <c r="AK46" s="1">
        <v>293991.30800000002</v>
      </c>
      <c r="AL46" s="1">
        <v>316344.46899999998</v>
      </c>
    </row>
    <row r="47" spans="1:38" ht="12.75" customHeight="1">
      <c r="A47" s="1" t="s">
        <v>60</v>
      </c>
      <c r="J47" s="126">
        <v>58899.493000000002</v>
      </c>
      <c r="M47" s="1">
        <v>72048.624000000011</v>
      </c>
      <c r="O47" s="1">
        <v>64731.436999999998</v>
      </c>
      <c r="R47" s="24">
        <v>110525.91</v>
      </c>
      <c r="S47" s="1">
        <v>128654.844</v>
      </c>
      <c r="T47" s="1">
        <v>143276.321</v>
      </c>
      <c r="U47" s="1">
        <v>153651.27600000001</v>
      </c>
      <c r="V47" s="1">
        <v>170435.40700000001</v>
      </c>
      <c r="W47" s="126">
        <v>181041.77</v>
      </c>
      <c r="X47" s="126">
        <v>238603.64199999999</v>
      </c>
      <c r="Y47" s="126">
        <v>239866.435</v>
      </c>
      <c r="Z47" s="126">
        <v>269306.54399999999</v>
      </c>
      <c r="AA47" s="126">
        <v>96014.705000000002</v>
      </c>
      <c r="AB47" s="126">
        <v>272689.15600000002</v>
      </c>
      <c r="AC47" s="126">
        <v>275144</v>
      </c>
      <c r="AD47" s="1">
        <v>260408.33799999999</v>
      </c>
      <c r="AE47" s="1">
        <v>298033.32699999999</v>
      </c>
      <c r="AF47" s="1">
        <v>305256.69699999999</v>
      </c>
      <c r="AG47" s="1">
        <v>383677.21799999999</v>
      </c>
      <c r="AH47" s="1">
        <v>373154.72499999998</v>
      </c>
      <c r="AI47" s="1">
        <v>390375.02399999998</v>
      </c>
      <c r="AK47" s="1">
        <v>378446.49900000001</v>
      </c>
      <c r="AL47" s="1">
        <v>390710.40500000003</v>
      </c>
    </row>
    <row r="48" spans="1:38" ht="12.75" customHeight="1">
      <c r="A48" s="1" t="s">
        <v>61</v>
      </c>
      <c r="J48" s="126">
        <v>18069.159</v>
      </c>
      <c r="M48" s="1">
        <v>22262.078999999998</v>
      </c>
      <c r="O48" s="1">
        <v>26422.179000000004</v>
      </c>
      <c r="R48" s="18">
        <v>29224.702000000001</v>
      </c>
      <c r="S48" s="1">
        <v>31039.080999999998</v>
      </c>
      <c r="T48" s="1">
        <v>34590.735999999997</v>
      </c>
      <c r="U48" s="1">
        <v>38428.089</v>
      </c>
      <c r="V48" s="1">
        <v>42819.328999999998</v>
      </c>
      <c r="W48" s="126">
        <v>44550.739000000001</v>
      </c>
      <c r="X48" s="126">
        <v>62035.173000000003</v>
      </c>
      <c r="Y48" s="126">
        <v>49009.932000000001</v>
      </c>
      <c r="Z48" s="126">
        <v>55977.536999999997</v>
      </c>
      <c r="AA48" s="126">
        <v>62144.364000000001</v>
      </c>
      <c r="AB48" s="126">
        <v>66817.967000000004</v>
      </c>
      <c r="AC48" s="126">
        <v>64771</v>
      </c>
      <c r="AD48" s="1">
        <v>73616.384999999995</v>
      </c>
      <c r="AE48" s="1">
        <v>75524.043999999994</v>
      </c>
      <c r="AF48" s="1">
        <v>78731.960999999996</v>
      </c>
      <c r="AG48" s="1">
        <v>73587.065000000002</v>
      </c>
      <c r="AH48" s="1">
        <v>70754.59</v>
      </c>
      <c r="AI48" s="1">
        <v>79367.793000000005</v>
      </c>
      <c r="AK48" s="1">
        <v>92951.712</v>
      </c>
      <c r="AL48" s="1">
        <v>96711.332999999999</v>
      </c>
    </row>
    <row r="49" spans="1:38" ht="12.75" customHeight="1">
      <c r="A49" s="1" t="s">
        <v>62</v>
      </c>
      <c r="J49" s="126">
        <v>223488.40599999999</v>
      </c>
      <c r="M49" s="1">
        <v>276860.05800000002</v>
      </c>
      <c r="O49" s="1">
        <v>307046.52300000004</v>
      </c>
      <c r="R49" s="18">
        <v>393501.16300000006</v>
      </c>
      <c r="S49" s="1">
        <v>470154.22499999998</v>
      </c>
      <c r="T49" s="1">
        <v>496661.48200000002</v>
      </c>
      <c r="U49" s="1">
        <v>554699.54799999995</v>
      </c>
      <c r="V49" s="1">
        <v>564816.69700000004</v>
      </c>
      <c r="W49" s="126">
        <v>604868.54700000002</v>
      </c>
      <c r="X49" s="126">
        <v>684184.01699999999</v>
      </c>
      <c r="Y49" s="126">
        <v>737898.647</v>
      </c>
      <c r="Z49" s="126">
        <v>841948.39800000004</v>
      </c>
      <c r="AA49" s="126">
        <v>798964.04799999995</v>
      </c>
      <c r="AB49" s="126">
        <v>741366.93099999998</v>
      </c>
      <c r="AC49" s="126">
        <v>763874</v>
      </c>
      <c r="AD49" s="1">
        <v>755072.99</v>
      </c>
      <c r="AE49" s="1">
        <v>802232.64500000002</v>
      </c>
      <c r="AF49" s="1">
        <v>822818.60800000001</v>
      </c>
      <c r="AG49" s="1">
        <v>907913.94299999997</v>
      </c>
      <c r="AH49" s="1">
        <v>858378.46100000001</v>
      </c>
      <c r="AI49" s="1">
        <v>904445.30500000005</v>
      </c>
      <c r="AK49" s="1">
        <v>950164.74899999995</v>
      </c>
      <c r="AL49" s="1">
        <v>937801.69099999999</v>
      </c>
    </row>
    <row r="50" spans="1:38" ht="12.75" customHeight="1">
      <c r="A50" s="1" t="s">
        <v>63</v>
      </c>
      <c r="J50" s="126">
        <v>10964.546999999999</v>
      </c>
      <c r="M50" s="1">
        <v>14389.019</v>
      </c>
      <c r="O50" s="1">
        <v>13309.392390000001</v>
      </c>
      <c r="R50" s="18">
        <v>20539.706000000002</v>
      </c>
      <c r="S50" s="1">
        <v>24612.198999999997</v>
      </c>
      <c r="T50" s="1">
        <v>24461.64</v>
      </c>
      <c r="U50" s="1">
        <v>21204.111000000001</v>
      </c>
      <c r="V50" s="1">
        <v>20106.171999999999</v>
      </c>
      <c r="W50" s="126">
        <v>26413.659</v>
      </c>
      <c r="X50" s="126">
        <v>28324.328000000001</v>
      </c>
      <c r="Y50" s="126">
        <v>30832.42</v>
      </c>
      <c r="Z50" s="126">
        <v>31185.710999999999</v>
      </c>
      <c r="AA50" s="126">
        <v>33104.019</v>
      </c>
      <c r="AB50" s="126">
        <v>32445.865000000002</v>
      </c>
      <c r="AC50" s="126">
        <v>32164</v>
      </c>
      <c r="AD50" s="1">
        <v>41636.862000000001</v>
      </c>
      <c r="AE50" s="1">
        <v>50587.341999999997</v>
      </c>
      <c r="AF50" s="1">
        <v>50782.302000000003</v>
      </c>
      <c r="AG50" s="1">
        <v>55324.156999999999</v>
      </c>
      <c r="AH50" s="1">
        <v>56034.877</v>
      </c>
      <c r="AI50" s="1">
        <v>64877.358</v>
      </c>
      <c r="AK50" s="1">
        <v>76201.686000000002</v>
      </c>
      <c r="AL50" s="1">
        <v>83621.082999999999</v>
      </c>
    </row>
    <row r="51" spans="1:38" ht="12.75" customHeight="1">
      <c r="A51" s="27" t="s">
        <v>64</v>
      </c>
      <c r="B51" s="27"/>
      <c r="C51" s="27"/>
      <c r="D51" s="27"/>
      <c r="E51" s="27"/>
      <c r="F51" s="27"/>
      <c r="G51" s="27"/>
      <c r="H51" s="27"/>
      <c r="I51" s="27"/>
      <c r="J51" s="127">
        <v>142396.201</v>
      </c>
      <c r="K51" s="27"/>
      <c r="L51" s="27"/>
      <c r="M51" s="27">
        <v>153100.91800000001</v>
      </c>
      <c r="N51" s="27"/>
      <c r="O51" s="27">
        <v>197990.731</v>
      </c>
      <c r="P51" s="27"/>
      <c r="Q51" s="27"/>
      <c r="R51" s="37">
        <v>269474.40899999999</v>
      </c>
      <c r="S51" s="27">
        <v>287848.09700000001</v>
      </c>
      <c r="T51" s="27">
        <v>286744.51699999999</v>
      </c>
      <c r="U51" s="27">
        <v>346920.09499999997</v>
      </c>
      <c r="V51" s="27">
        <v>362650.46500000003</v>
      </c>
      <c r="W51" s="127">
        <v>430092.91599999997</v>
      </c>
      <c r="X51" s="127">
        <v>418083.77899999998</v>
      </c>
      <c r="Y51" s="127">
        <v>443807.71799999999</v>
      </c>
      <c r="Z51" s="127">
        <v>493493.74599999998</v>
      </c>
      <c r="AA51" s="127">
        <v>507580.84899999999</v>
      </c>
      <c r="AB51" s="127">
        <v>562689.62800000003</v>
      </c>
      <c r="AC51" s="127">
        <v>556029</v>
      </c>
      <c r="AD51" s="27">
        <v>595314.94499999995</v>
      </c>
      <c r="AE51" s="27">
        <v>666195.53200000001</v>
      </c>
      <c r="AF51" s="27">
        <v>606327.85199999996</v>
      </c>
      <c r="AG51" s="27">
        <v>656396.99300000002</v>
      </c>
      <c r="AH51" s="27">
        <v>675099.62</v>
      </c>
      <c r="AI51" s="27">
        <v>779158.09400000004</v>
      </c>
      <c r="AJ51" s="27"/>
      <c r="AK51" s="1">
        <v>790569.98600000003</v>
      </c>
      <c r="AL51" s="1">
        <v>797219.52</v>
      </c>
    </row>
    <row r="52" spans="1:38" ht="12.75" customHeight="1">
      <c r="A52" s="6" t="s">
        <v>65</v>
      </c>
      <c r="J52" s="51">
        <f>SUM(J54:J62)</f>
        <v>841389.71800000011</v>
      </c>
      <c r="M52" s="51">
        <f>SUM(M54:M62)</f>
        <v>1019603.8380000001</v>
      </c>
      <c r="O52" s="51">
        <f>SUM(O54:O62)</f>
        <v>1417626.4069999999</v>
      </c>
      <c r="R52" s="51">
        <f t="shared" ref="R52:AK52" si="21">SUM(R54:R62)</f>
        <v>1379004.2660000001</v>
      </c>
      <c r="S52" s="51">
        <f t="shared" si="21"/>
        <v>1485031.5400000003</v>
      </c>
      <c r="T52" s="51">
        <f t="shared" si="21"/>
        <v>1405957.7249999999</v>
      </c>
      <c r="U52" s="51">
        <f t="shared" si="21"/>
        <v>1336840.0430000001</v>
      </c>
      <c r="V52" s="51">
        <f t="shared" si="21"/>
        <v>1543265.3529999999</v>
      </c>
      <c r="W52" s="51">
        <f t="shared" si="21"/>
        <v>1690182.959</v>
      </c>
      <c r="X52" s="51">
        <f t="shared" si="21"/>
        <v>1837893.2169999997</v>
      </c>
      <c r="Y52" s="51">
        <f t="shared" si="21"/>
        <v>1948480.2149999999</v>
      </c>
      <c r="Z52" s="51">
        <f t="shared" si="21"/>
        <v>1983569.983</v>
      </c>
      <c r="AA52" s="51">
        <f t="shared" si="21"/>
        <v>1831683.9380000001</v>
      </c>
      <c r="AB52" s="51">
        <f t="shared" si="21"/>
        <v>2170631.4219999998</v>
      </c>
      <c r="AC52" s="51">
        <f t="shared" si="21"/>
        <v>2199124</v>
      </c>
      <c r="AD52" s="51">
        <f t="shared" si="21"/>
        <v>2277440.1159999999</v>
      </c>
      <c r="AE52" s="51">
        <f t="shared" si="21"/>
        <v>2254155.9369999999</v>
      </c>
      <c r="AF52" s="51">
        <f t="shared" si="21"/>
        <v>2401252.932</v>
      </c>
      <c r="AG52" s="51">
        <f t="shared" si="21"/>
        <v>2544311.4710000004</v>
      </c>
      <c r="AH52" s="51">
        <f t="shared" si="21"/>
        <v>2560484.9050000003</v>
      </c>
      <c r="AI52" s="51">
        <f t="shared" si="21"/>
        <v>2636614.64</v>
      </c>
      <c r="AJ52" s="51">
        <f t="shared" si="21"/>
        <v>0</v>
      </c>
      <c r="AK52" s="131">
        <f t="shared" si="21"/>
        <v>3047962.1640000003</v>
      </c>
      <c r="AL52" s="131">
        <f t="shared" ref="AL52" si="22">SUM(AL54:AL62)</f>
        <v>3300776.139</v>
      </c>
    </row>
    <row r="53" spans="1:38" ht="12.75" customHeight="1">
      <c r="A53" s="6" t="s">
        <v>94</v>
      </c>
      <c r="AA53" s="10">
        <v>0</v>
      </c>
    </row>
    <row r="54" spans="1:38" ht="12.75" customHeight="1">
      <c r="A54" s="1" t="s">
        <v>66</v>
      </c>
      <c r="J54" s="126">
        <v>40247.892999999996</v>
      </c>
      <c r="M54" s="1">
        <v>56916.11</v>
      </c>
      <c r="O54" s="1">
        <v>48766.284</v>
      </c>
      <c r="R54" s="18">
        <v>66989.266999999993</v>
      </c>
      <c r="S54" s="1">
        <v>70062.957999999999</v>
      </c>
      <c r="T54" s="1">
        <v>50653.561000000002</v>
      </c>
      <c r="U54" s="1">
        <v>83548.573000000004</v>
      </c>
      <c r="V54" s="1">
        <v>96823.828999999998</v>
      </c>
      <c r="W54" s="126">
        <v>76590.342000000004</v>
      </c>
      <c r="X54" s="126">
        <v>135761.29</v>
      </c>
      <c r="Y54" s="126">
        <v>94641.993000000002</v>
      </c>
      <c r="Z54" s="126">
        <v>131342.27100000001</v>
      </c>
      <c r="AA54" s="126">
        <v>109546.886</v>
      </c>
      <c r="AB54" s="126">
        <v>104099.249</v>
      </c>
      <c r="AC54" s="126">
        <v>107330</v>
      </c>
      <c r="AD54" s="1">
        <v>113549.808</v>
      </c>
      <c r="AE54" s="1">
        <v>146600.326</v>
      </c>
      <c r="AF54" s="1">
        <v>114827.856</v>
      </c>
      <c r="AG54" s="1">
        <v>135735.67600000001</v>
      </c>
      <c r="AH54" s="1">
        <v>137602.27299999999</v>
      </c>
      <c r="AI54" s="1">
        <v>130386.217</v>
      </c>
      <c r="AK54" s="1">
        <v>138831.58300000001</v>
      </c>
      <c r="AL54" s="1">
        <v>131284.524</v>
      </c>
    </row>
    <row r="55" spans="1:38" ht="12.75" customHeight="1">
      <c r="A55" s="1" t="s">
        <v>67</v>
      </c>
      <c r="J55" s="126">
        <v>21464.11</v>
      </c>
      <c r="M55" s="1">
        <v>27754.421999999999</v>
      </c>
      <c r="O55" s="1">
        <v>37684.437000000005</v>
      </c>
      <c r="R55" s="18">
        <v>47117.127</v>
      </c>
      <c r="S55" s="1">
        <v>54062.54</v>
      </c>
      <c r="T55" s="1">
        <v>56352.218999999997</v>
      </c>
      <c r="U55" s="1">
        <v>58025.034</v>
      </c>
      <c r="V55" s="1">
        <v>60818.826999999997</v>
      </c>
      <c r="W55" s="126">
        <v>66480.596999999994</v>
      </c>
      <c r="X55" s="126">
        <v>66627.881999999998</v>
      </c>
      <c r="Y55" s="126">
        <v>66297.512000000002</v>
      </c>
      <c r="Z55" s="126">
        <v>70477.222999999998</v>
      </c>
      <c r="AA55" s="126">
        <v>76652.084000000003</v>
      </c>
      <c r="AB55" s="126">
        <v>71667.633000000002</v>
      </c>
      <c r="AC55" s="126">
        <v>71170</v>
      </c>
      <c r="AD55" s="1">
        <v>64879.834999999999</v>
      </c>
      <c r="AE55" s="1">
        <v>51086.214999999997</v>
      </c>
      <c r="AF55" s="1">
        <v>49300.196000000004</v>
      </c>
      <c r="AG55" s="1">
        <v>52331.381999999998</v>
      </c>
      <c r="AH55" s="1">
        <v>56090.362999999998</v>
      </c>
      <c r="AI55" s="1">
        <v>54404.203000000001</v>
      </c>
      <c r="AK55" s="1">
        <v>62268.116999999998</v>
      </c>
      <c r="AL55" s="1">
        <v>63982.902000000002</v>
      </c>
    </row>
    <row r="56" spans="1:38" ht="12.75" customHeight="1">
      <c r="A56" s="1" t="s">
        <v>68</v>
      </c>
      <c r="J56" s="126">
        <v>71685.239000000001</v>
      </c>
      <c r="M56" s="1">
        <v>84776.8</v>
      </c>
      <c r="O56" s="1">
        <v>97291.931000000011</v>
      </c>
      <c r="R56" s="18">
        <v>129067.80900000001</v>
      </c>
      <c r="S56" s="1">
        <v>146135.96399999998</v>
      </c>
      <c r="T56" s="1">
        <v>146967.41899999999</v>
      </c>
      <c r="U56" s="1">
        <v>144163.81899999999</v>
      </c>
      <c r="V56" s="1">
        <v>153972.59899999999</v>
      </c>
      <c r="W56" s="126">
        <v>170368.06700000001</v>
      </c>
      <c r="X56" s="126">
        <v>187850.89300000001</v>
      </c>
      <c r="Y56" s="126">
        <v>197002.33</v>
      </c>
      <c r="Z56" s="126">
        <v>215978.70199999999</v>
      </c>
      <c r="AA56" s="126">
        <v>129918.65399999999</v>
      </c>
      <c r="AB56" s="126">
        <v>216890.52600000001</v>
      </c>
      <c r="AC56" s="126">
        <v>218449</v>
      </c>
      <c r="AD56" s="1">
        <v>221632.89799999999</v>
      </c>
      <c r="AE56" s="1">
        <v>225659.84899999999</v>
      </c>
      <c r="AF56" s="1">
        <v>240274.39</v>
      </c>
      <c r="AG56" s="1">
        <v>248522.47500000001</v>
      </c>
      <c r="AH56" s="1">
        <v>267499.74200000003</v>
      </c>
      <c r="AI56" s="1">
        <v>256046.15100000001</v>
      </c>
      <c r="AK56" s="1">
        <v>303504.36099999998</v>
      </c>
      <c r="AL56" s="1">
        <v>304733.73200000002</v>
      </c>
    </row>
    <row r="57" spans="1:38" ht="12.75" customHeight="1">
      <c r="A57" s="1" t="s">
        <v>69</v>
      </c>
      <c r="J57" s="126">
        <v>18644.948</v>
      </c>
      <c r="M57" s="1">
        <v>27186.124</v>
      </c>
      <c r="O57" s="1">
        <v>28350.627</v>
      </c>
      <c r="R57" s="24">
        <v>36400.826000000001</v>
      </c>
      <c r="S57" s="1">
        <v>37536.167999999998</v>
      </c>
      <c r="T57" s="1">
        <v>38436.881000000001</v>
      </c>
      <c r="U57" s="1">
        <v>37350.682999999997</v>
      </c>
      <c r="V57" s="1">
        <v>39157.156000000003</v>
      </c>
      <c r="W57" s="126">
        <v>40199.417000000001</v>
      </c>
      <c r="X57" s="126">
        <v>41836.305999999997</v>
      </c>
      <c r="Y57" s="126">
        <v>49916.959999999999</v>
      </c>
      <c r="Z57" s="126">
        <v>53158.972000000002</v>
      </c>
      <c r="AA57" s="126">
        <v>51920.341</v>
      </c>
      <c r="AB57" s="126">
        <v>58159.733999999997</v>
      </c>
      <c r="AC57" s="126">
        <v>74490</v>
      </c>
      <c r="AD57" s="1">
        <v>67684.53</v>
      </c>
      <c r="AE57" s="1">
        <v>64902.150999999998</v>
      </c>
      <c r="AF57" s="1">
        <v>58378.36</v>
      </c>
      <c r="AG57" s="1">
        <v>58859.040999999997</v>
      </c>
      <c r="AH57" s="1">
        <v>67618.892000000007</v>
      </c>
      <c r="AI57" s="1">
        <v>62302.654000000002</v>
      </c>
      <c r="AK57" s="1">
        <v>66495.304000000004</v>
      </c>
      <c r="AL57" s="1">
        <v>69221.755000000005</v>
      </c>
    </row>
    <row r="58" spans="1:38" ht="12.75" customHeight="1">
      <c r="A58" s="1" t="s">
        <v>70</v>
      </c>
      <c r="J58" s="126">
        <v>93579.430999999997</v>
      </c>
      <c r="M58" s="1">
        <v>111871.74800000001</v>
      </c>
      <c r="O58" s="1">
        <v>220395.45300000001</v>
      </c>
      <c r="R58" s="24">
        <v>177969.70500000002</v>
      </c>
      <c r="S58" s="1">
        <v>210652.136</v>
      </c>
      <c r="T58" s="1">
        <v>240291.649</v>
      </c>
      <c r="U58" s="1">
        <v>233181.99100000001</v>
      </c>
      <c r="V58" s="1">
        <v>242593.10500000001</v>
      </c>
      <c r="W58" s="126">
        <v>415841.52500000002</v>
      </c>
      <c r="X58" s="126">
        <v>424113.64399999997</v>
      </c>
      <c r="Y58" s="126">
        <v>479622.00099999999</v>
      </c>
      <c r="Z58" s="126">
        <v>496229.962</v>
      </c>
      <c r="AA58" s="126">
        <v>384931.06199999998</v>
      </c>
      <c r="AB58" s="126">
        <v>558286.75800000003</v>
      </c>
      <c r="AC58" s="126">
        <v>555380</v>
      </c>
      <c r="AD58" s="1">
        <v>560017.14500000002</v>
      </c>
      <c r="AE58" s="1">
        <v>414553.84399999998</v>
      </c>
      <c r="AF58" s="1">
        <v>594068.68599999999</v>
      </c>
      <c r="AG58" s="1">
        <v>634842.89300000004</v>
      </c>
      <c r="AH58" s="1">
        <v>629684.745</v>
      </c>
      <c r="AI58" s="1">
        <v>672728.70499999996</v>
      </c>
      <c r="AK58" s="1">
        <v>733167.81900000002</v>
      </c>
      <c r="AL58" s="1">
        <v>649701.89899999998</v>
      </c>
    </row>
    <row r="59" spans="1:38" ht="12.75" customHeight="1">
      <c r="A59" s="1" t="s">
        <v>71</v>
      </c>
      <c r="J59" s="126">
        <v>338148.092</v>
      </c>
      <c r="M59" s="1">
        <v>398172.163</v>
      </c>
      <c r="O59" s="1">
        <v>575909.28099999996</v>
      </c>
      <c r="R59" s="24">
        <v>489448.62800000003</v>
      </c>
      <c r="S59" s="1">
        <v>545100.05000000005</v>
      </c>
      <c r="T59" s="1">
        <v>602999.10100000002</v>
      </c>
      <c r="U59" s="1">
        <v>583174.93999999994</v>
      </c>
      <c r="V59" s="1">
        <v>740825.61399999994</v>
      </c>
      <c r="W59" s="126">
        <v>717150.87199999997</v>
      </c>
      <c r="X59" s="126">
        <v>766372.7</v>
      </c>
      <c r="Y59" s="126">
        <v>825789.603</v>
      </c>
      <c r="Z59" s="126">
        <v>782690.63300000003</v>
      </c>
      <c r="AA59" s="126">
        <v>865744.56700000004</v>
      </c>
      <c r="AB59" s="126">
        <v>927657.45700000005</v>
      </c>
      <c r="AC59" s="126">
        <v>942011</v>
      </c>
      <c r="AD59" s="1">
        <v>1003708.915</v>
      </c>
      <c r="AE59" s="1">
        <v>1110747.2009999999</v>
      </c>
      <c r="AF59" s="1">
        <v>1087823.905</v>
      </c>
      <c r="AG59" s="1">
        <v>1164385.5889999999</v>
      </c>
      <c r="AH59" s="1">
        <v>1133056.9129999999</v>
      </c>
      <c r="AI59" s="1">
        <v>1191847.804</v>
      </c>
      <c r="AK59" s="1">
        <v>1450097.719</v>
      </c>
      <c r="AL59" s="1">
        <v>1799905.541</v>
      </c>
    </row>
    <row r="60" spans="1:38" ht="12.75" customHeight="1">
      <c r="A60" s="1" t="s">
        <v>72</v>
      </c>
      <c r="J60" s="126">
        <v>223554.91100000002</v>
      </c>
      <c r="M60" s="1">
        <v>271931.04700000002</v>
      </c>
      <c r="O60" s="1">
        <v>363198.38699999999</v>
      </c>
      <c r="R60" s="18">
        <v>373587.28</v>
      </c>
      <c r="S60" s="1">
        <v>357544.95499999996</v>
      </c>
      <c r="T60" s="1">
        <v>191410.63</v>
      </c>
      <c r="U60" s="1">
        <v>112830.387</v>
      </c>
      <c r="V60" s="1">
        <v>122414.38499999999</v>
      </c>
      <c r="W60" s="126">
        <v>117747.59600000001</v>
      </c>
      <c r="X60" s="126">
        <v>125168.7</v>
      </c>
      <c r="Y60" s="126">
        <v>142707.859</v>
      </c>
      <c r="Z60" s="126">
        <v>149211.86300000001</v>
      </c>
      <c r="AA60" s="126">
        <v>129642.167</v>
      </c>
      <c r="AB60" s="126">
        <v>138898.85500000001</v>
      </c>
      <c r="AC60" s="126">
        <v>134595</v>
      </c>
      <c r="AD60" s="1">
        <v>148004.79500000001</v>
      </c>
      <c r="AE60" s="1">
        <v>133903.291</v>
      </c>
      <c r="AF60" s="1">
        <v>144363.96900000001</v>
      </c>
      <c r="AG60" s="1">
        <v>138789.038</v>
      </c>
      <c r="AH60" s="1">
        <v>152345.579</v>
      </c>
      <c r="AI60" s="1">
        <v>146881.47099999999</v>
      </c>
      <c r="AK60" s="1">
        <v>144937.68299999999</v>
      </c>
      <c r="AL60" s="1">
        <v>137919.95699999999</v>
      </c>
    </row>
    <row r="61" spans="1:38" ht="12.75" customHeight="1">
      <c r="A61" s="1" t="s">
        <v>73</v>
      </c>
      <c r="J61" s="126">
        <v>8795.24</v>
      </c>
      <c r="M61" s="1">
        <v>8662.9939999999988</v>
      </c>
      <c r="O61" s="1">
        <v>11834.465</v>
      </c>
      <c r="R61" s="18">
        <v>15659.399000000001</v>
      </c>
      <c r="S61" s="1">
        <v>16767.881999999998</v>
      </c>
      <c r="T61" s="1">
        <v>19604.169000000002</v>
      </c>
      <c r="U61" s="1">
        <v>22018.451000000001</v>
      </c>
      <c r="V61" s="1">
        <v>25963.095000000001</v>
      </c>
      <c r="W61" s="126">
        <v>27581.902000000002</v>
      </c>
      <c r="X61" s="126">
        <v>26357.865000000002</v>
      </c>
      <c r="Y61" s="126">
        <v>27961.703000000001</v>
      </c>
      <c r="Z61" s="126">
        <v>29984.098999999998</v>
      </c>
      <c r="AA61" s="126">
        <v>30755.232</v>
      </c>
      <c r="AB61" s="126">
        <v>34978.724999999999</v>
      </c>
      <c r="AC61" s="126">
        <v>39150</v>
      </c>
      <c r="AD61" s="1">
        <v>43355.154000000002</v>
      </c>
      <c r="AE61" s="1">
        <v>23818.812999999998</v>
      </c>
      <c r="AF61" s="1">
        <v>33341.396999999997</v>
      </c>
      <c r="AG61" s="1">
        <v>33771.728000000003</v>
      </c>
      <c r="AH61" s="1">
        <v>34674.377999999997</v>
      </c>
      <c r="AI61" s="1">
        <v>36500.733</v>
      </c>
      <c r="AK61" s="1">
        <v>38372.116999999998</v>
      </c>
      <c r="AL61" s="1">
        <v>39649.813999999998</v>
      </c>
    </row>
    <row r="62" spans="1:38" ht="12.75" customHeight="1">
      <c r="A62" s="27" t="s">
        <v>74</v>
      </c>
      <c r="B62" s="27"/>
      <c r="C62" s="27"/>
      <c r="D62" s="27"/>
      <c r="E62" s="27"/>
      <c r="F62" s="27"/>
      <c r="G62" s="27"/>
      <c r="H62" s="27"/>
      <c r="I62" s="27"/>
      <c r="J62" s="127">
        <v>25269.853999999999</v>
      </c>
      <c r="K62" s="27"/>
      <c r="L62" s="27"/>
      <c r="M62" s="27">
        <v>32332.43</v>
      </c>
      <c r="N62" s="27"/>
      <c r="O62" s="27">
        <v>34195.542000000001</v>
      </c>
      <c r="P62" s="27"/>
      <c r="Q62" s="27"/>
      <c r="R62" s="37">
        <v>42764.224999999999</v>
      </c>
      <c r="S62" s="27">
        <v>47168.887000000002</v>
      </c>
      <c r="T62" s="27">
        <v>59242.095999999998</v>
      </c>
      <c r="U62" s="27">
        <v>62546.165000000001</v>
      </c>
      <c r="V62" s="27">
        <v>60696.743000000002</v>
      </c>
      <c r="W62" s="127">
        <v>58222.641000000003</v>
      </c>
      <c r="X62" s="127">
        <v>63803.936999999998</v>
      </c>
      <c r="Y62" s="127">
        <v>64540.254000000001</v>
      </c>
      <c r="Z62" s="127">
        <v>54496.258000000002</v>
      </c>
      <c r="AA62" s="127">
        <v>52572.945</v>
      </c>
      <c r="AB62" s="127">
        <v>59992.485000000001</v>
      </c>
      <c r="AC62" s="127">
        <v>56549</v>
      </c>
      <c r="AD62" s="27">
        <v>54607.036</v>
      </c>
      <c r="AE62" s="27">
        <v>82884.247000000003</v>
      </c>
      <c r="AF62" s="27">
        <v>78874.172999999995</v>
      </c>
      <c r="AG62" s="27">
        <v>77073.649000000005</v>
      </c>
      <c r="AH62" s="27">
        <v>81912.02</v>
      </c>
      <c r="AI62" s="27">
        <v>85516.702000000005</v>
      </c>
      <c r="AJ62" s="27"/>
      <c r="AK62" s="27">
        <v>110287.461</v>
      </c>
      <c r="AL62" s="1">
        <v>104376.015</v>
      </c>
    </row>
    <row r="63" spans="1:38">
      <c r="A63" s="49" t="s">
        <v>75</v>
      </c>
      <c r="B63" s="46"/>
      <c r="C63" s="46"/>
      <c r="D63" s="46"/>
      <c r="E63" s="46"/>
      <c r="F63" s="46"/>
      <c r="G63" s="46"/>
      <c r="H63" s="46"/>
      <c r="I63" s="46"/>
      <c r="J63" s="128">
        <v>6738.5890000000009</v>
      </c>
      <c r="K63" s="46"/>
      <c r="L63" s="46"/>
      <c r="M63" s="46">
        <v>7993.66</v>
      </c>
      <c r="N63" s="46"/>
      <c r="O63" s="46">
        <v>7757.1416600000002</v>
      </c>
      <c r="P63" s="46"/>
      <c r="Q63" s="46"/>
      <c r="R63" s="47">
        <v>7542.6390000000001</v>
      </c>
      <c r="S63" s="46">
        <v>8861.1740000000009</v>
      </c>
      <c r="T63" s="46">
        <v>8907.2170000000006</v>
      </c>
      <c r="U63" s="46">
        <v>6057.4129999999996</v>
      </c>
      <c r="V63" s="46">
        <v>9550.9869999999992</v>
      </c>
      <c r="W63" s="128">
        <v>11797.191000000001</v>
      </c>
      <c r="X63" s="128">
        <v>12017.323</v>
      </c>
      <c r="Y63" s="128">
        <v>12911.321</v>
      </c>
      <c r="Z63" s="128">
        <v>11369.3</v>
      </c>
      <c r="AA63" s="128">
        <v>11858.687</v>
      </c>
      <c r="AB63" s="128">
        <v>14555.546</v>
      </c>
      <c r="AC63" s="128">
        <v>11800</v>
      </c>
      <c r="AD63" s="27">
        <v>13736.311</v>
      </c>
      <c r="AE63" s="27">
        <v>11160.235000000001</v>
      </c>
      <c r="AF63" s="27">
        <v>8617.4339999999993</v>
      </c>
      <c r="AG63" s="27">
        <v>7027.9309999999996</v>
      </c>
      <c r="AH63" s="27">
        <v>8346.4560000000001</v>
      </c>
      <c r="AI63" s="27">
        <v>6838.5469999999996</v>
      </c>
      <c r="AJ63" s="27"/>
      <c r="AK63" s="27">
        <v>8145.6959999999999</v>
      </c>
      <c r="AL63" s="130">
        <v>6904.5150000000003</v>
      </c>
    </row>
    <row r="64" spans="1:38" ht="12.75" customHeight="1"/>
    <row r="65" spans="2:29" ht="12.75" customHeight="1">
      <c r="B65" s="1" t="s">
        <v>95</v>
      </c>
    </row>
    <row r="66" spans="2:29" ht="12.75" customHeight="1">
      <c r="M66" s="31"/>
      <c r="N66" s="19"/>
      <c r="U66" s="31"/>
      <c r="V66" s="31"/>
      <c r="W66" s="31"/>
      <c r="X66" s="31"/>
      <c r="Y66" s="31"/>
      <c r="Z66" s="31"/>
      <c r="AA66" s="31"/>
      <c r="AB66" s="31"/>
      <c r="AC66" s="31"/>
    </row>
    <row r="67" spans="2:29" ht="12.75" customHeight="1">
      <c r="W67" s="1"/>
      <c r="X67" s="1"/>
      <c r="Y67" s="1"/>
      <c r="Z67" s="1"/>
      <c r="AA67" s="1"/>
      <c r="AB67" s="1"/>
      <c r="AC67" s="1"/>
    </row>
    <row r="68" spans="2:29" ht="12.75" customHeight="1">
      <c r="W68" s="1"/>
      <c r="X68" s="1"/>
      <c r="Y68" s="1"/>
      <c r="Z68" s="1"/>
      <c r="AA68" s="1"/>
      <c r="AB68" s="1"/>
      <c r="AC68" s="1"/>
    </row>
    <row r="69" spans="2:29" ht="12.75" customHeight="1">
      <c r="M69" s="38"/>
      <c r="N69" s="38"/>
    </row>
    <row r="70" spans="2:29" ht="12.75" customHeight="1"/>
    <row r="71" spans="2:29" ht="12.75" customHeight="1"/>
    <row r="72" spans="2:29" ht="12.75" customHeight="1"/>
    <row r="73" spans="2:29" ht="12.75" customHeight="1"/>
    <row r="74" spans="2:29" ht="12.75" customHeight="1"/>
    <row r="75" spans="2:29" ht="12.75" customHeight="1"/>
    <row r="76" spans="2:29" ht="12.75" customHeight="1"/>
    <row r="77" spans="2:29" ht="12.75" customHeight="1"/>
    <row r="78" spans="2:29" ht="12.75" customHeight="1"/>
    <row r="79" spans="2:29" ht="12.75" customHeight="1"/>
    <row r="80" spans="2:29" ht="12.75" customHeight="1"/>
    <row r="81" spans="2:207" ht="9.9499999999999993" customHeight="1"/>
    <row r="82" spans="2:207" ht="9.9499999999999993" customHeight="1">
      <c r="GQ82" s="4"/>
      <c r="GR82" s="4"/>
      <c r="GS82" s="4"/>
      <c r="GT82" s="4"/>
      <c r="GU82" s="4"/>
      <c r="GV82" s="4"/>
      <c r="GW82" s="4"/>
      <c r="GX82" s="4"/>
      <c r="GY82" s="4"/>
    </row>
    <row r="83" spans="2:207">
      <c r="GO83" s="4"/>
      <c r="GP83" s="4"/>
      <c r="GQ83" s="4"/>
      <c r="GR83" s="4"/>
      <c r="GS83" s="4"/>
      <c r="GT83" s="4"/>
      <c r="GU83" s="4"/>
      <c r="GV83" s="4"/>
      <c r="GW83" s="4"/>
      <c r="GX83" s="4"/>
      <c r="GY83" s="4"/>
    </row>
    <row r="84" spans="2:207">
      <c r="GO84" s="4"/>
      <c r="GP84" s="4"/>
      <c r="GQ84" s="4"/>
      <c r="GR84" s="4"/>
      <c r="GS84" s="4"/>
      <c r="GT84" s="4"/>
      <c r="GU84" s="4"/>
      <c r="GV84" s="4"/>
      <c r="GW84" s="4"/>
      <c r="GX84" s="4"/>
      <c r="GY84" s="4"/>
    </row>
    <row r="85" spans="2:207">
      <c r="GQ85" s="4"/>
      <c r="GR85" s="4"/>
      <c r="GS85" s="4"/>
      <c r="GT85" s="4"/>
      <c r="GU85" s="4"/>
      <c r="GV85" s="4"/>
      <c r="GW85" s="4"/>
    </row>
    <row r="86" spans="2:207">
      <c r="GQ86" s="4"/>
      <c r="GR86" s="4"/>
      <c r="GS86" s="4"/>
      <c r="GT86" s="4"/>
      <c r="GU86" s="4"/>
      <c r="GV86" s="4"/>
      <c r="GW86" s="4"/>
    </row>
    <row r="87" spans="2:207">
      <c r="GQ87" s="4"/>
      <c r="GR87" s="4"/>
      <c r="GS87" s="4"/>
      <c r="GT87" s="4"/>
      <c r="GU87" s="4"/>
      <c r="GV87" s="4"/>
      <c r="GW87" s="4"/>
    </row>
    <row r="92" spans="2:207">
      <c r="B92" s="12"/>
      <c r="C92" s="12"/>
      <c r="D92" s="12"/>
      <c r="E92" s="12"/>
      <c r="F92" s="12"/>
      <c r="G92" s="12"/>
      <c r="H92" s="12"/>
      <c r="I92" s="12"/>
    </row>
  </sheetData>
  <phoneticPr fontId="8" type="noConversion"/>
  <pageMargins left="0.5" right="0.5" top="0.5" bottom="0.55000000000000004" header="0.5" footer="0.5"/>
  <pageSetup scale="88" orientation="landscape" horizontalDpi="1200" verticalDpi="300" r:id="rId1"/>
  <headerFooter alignWithMargins="0">
    <oddFooter>&amp;LSREB Fact Book 1996/1997&amp;CUpdate&amp;R&amp;D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CA227E-04CE-4F5A-91B5-D058079FB19B}"/>
</file>

<file path=customXml/itemProps2.xml><?xml version="1.0" encoding="utf-8"?>
<ds:datastoreItem xmlns:ds="http://schemas.openxmlformats.org/officeDocument/2006/customXml" ds:itemID="{61337C7B-415D-442F-B2EA-2EC29F9A797C}"/>
</file>

<file path=customXml/itemProps3.xml><?xml version="1.0" encoding="utf-8"?>
<ds:datastoreItem xmlns:ds="http://schemas.openxmlformats.org/officeDocument/2006/customXml" ds:itemID="{36B085C8-A91D-4EC2-9431-02052D37A1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Lounsbury</dc:creator>
  <cp:keywords/>
  <dc:description/>
  <cp:lastModifiedBy>MJ Kim</cp:lastModifiedBy>
  <cp:revision/>
  <dcterms:created xsi:type="dcterms:W3CDTF">1999-03-17T16:07:50Z</dcterms:created>
  <dcterms:modified xsi:type="dcterms:W3CDTF">2024-09-16T14:54:36Z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2019-04-29T18:55:07.1708592Z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