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70" windowHeight="5865" activeTab="0"/>
  </bookViews>
  <sheets>
    <sheet name="SCH Database" sheetId="1" r:id="rId1"/>
    <sheet name="Apprp. Database" sheetId="2" r:id="rId2"/>
    <sheet name="SCH Summary" sheetId="3" r:id="rId3"/>
    <sheet name="Apprp. Summary" sheetId="4" r:id="rId4"/>
    <sheet name="FTE Calc" sheetId="5" r:id="rId5"/>
    <sheet name="FTE$ Calc." sheetId="6" r:id="rId6"/>
    <sheet name="Table 1" sheetId="7" r:id="rId7"/>
    <sheet name="Table 2" sheetId="8" r:id="rId8"/>
    <sheet name="Table 3" sheetId="9" r:id="rId9"/>
    <sheet name="Table 4" sheetId="10" r:id="rId10"/>
    <sheet name="Table 5a" sheetId="11" r:id="rId11"/>
    <sheet name="Table 5b" sheetId="12" r:id="rId12"/>
    <sheet name="Table 6" sheetId="13" r:id="rId13"/>
    <sheet name="Graphs" sheetId="14" r:id="rId14"/>
    <sheet name="Macros" sheetId="15" r:id="rId15"/>
  </sheets>
  <definedNames>
    <definedName name="\E">'Macros'!$B$3</definedName>
    <definedName name="\L">'Macros'!$E$14:$E$23</definedName>
    <definedName name="\P">'Macros'!$E$2</definedName>
    <definedName name="\S">'SCH Database'!$DA$822</definedName>
    <definedName name="\X">'Macros'!$B$3</definedName>
    <definedName name="__123Graph_A" hidden="1">'Graphs'!$B$4:$B$12</definedName>
    <definedName name="__123Graph_A$PERFTE" hidden="1">'Graphs'!$B$4:$B$12</definedName>
    <definedName name="__123Graph_LBL_A" hidden="1">'Graphs'!$B$4:$B$12</definedName>
    <definedName name="__123Graph_LBL_A$PERFTE" hidden="1">'Graphs'!$B$4:$B$12</definedName>
    <definedName name="__123Graph_X" hidden="1">'Graphs'!$A$4:$A$12</definedName>
    <definedName name="__123Graph_X$PERFTE" hidden="1">'Graphs'!$A$4:$A$12</definedName>
    <definedName name="_2YR1">'Table 4'!$H$9:$H$29</definedName>
    <definedName name="_2YR2">'Table 4'!$I$9:$I$29</definedName>
    <definedName name="_Key1" hidden="1">'Apprp. Database'!$A$9</definedName>
    <definedName name="_Key2" hidden="1">'Apprp. Database'!$D$9</definedName>
    <definedName name="_Order1" hidden="1">255</definedName>
    <definedName name="_Order2" hidden="1">255</definedName>
    <definedName name="_Sort" hidden="1">'Apprp. Database'!$A$9:$Q$608</definedName>
    <definedName name="AL">'SCH Database:Apprp. Summary'!$D$29:$E$115</definedName>
    <definedName name="AL_DAT">'SCH Database:Apprp. Summary'!$A$23:$G$118</definedName>
    <definedName name="AR">'SCH Summary:Apprp. Summary'!$C$11:$G$49</definedName>
    <definedName name="AR_DAT">'SCH Summary:Apprp. Summary'!$A$15:$G$43</definedName>
    <definedName name="BAC">'Table 4'!$G$9:$G$29</definedName>
    <definedName name="DATA">'SCH Database:Apprp. Summary'!$A$131:$G$284</definedName>
    <definedName name="DOC1">'Table 4'!$B$9:$B$29</definedName>
    <definedName name="DOC2">'Table 4'!$C$9:$C$29</definedName>
    <definedName name="DOC3">'Table 4'!$D$9:$D$29</definedName>
    <definedName name="FL">'SCH Summary:Apprp. Summary'!$C$31:$G$68</definedName>
    <definedName name="FL_DAT">'SCH Summary:Apprp. Summary'!$A$34:$G$62</definedName>
    <definedName name="G_1">'Graphs'!$D$1:$D$44</definedName>
    <definedName name="GA">'SCH Summary:Apprp. Summary'!$C$50:$G$87</definedName>
    <definedName name="GA_DAT">'SCH Summary:Apprp. Summary'!$A$53:$G$81</definedName>
    <definedName name="GRAPHS">'Graphs'!$A$2</definedName>
    <definedName name="HERE">'Graphs'!$A$4</definedName>
    <definedName name="KY">'SCH Summary:Apprp. Summary'!$C$69:$G$106</definedName>
    <definedName name="KY_DAT">'SCH Summary:Apprp. Summary'!$A$72:$G$100</definedName>
    <definedName name="LA">'SCH Summary:Apprp. Summary'!$C$88:$G$125</definedName>
    <definedName name="LA_DAT">'SCH Summary:Apprp. Summary'!$A$91:$G$119</definedName>
    <definedName name="LAFTE">'SCH Database'!$BB$135:$CF$659</definedName>
    <definedName name="MAST1">'Table 4'!$E$9:$E$29</definedName>
    <definedName name="MAST2">'Table 4'!$F$9:$F$29</definedName>
    <definedName name="MD">'SCH Summary:Apprp. Summary'!$C$107:$G$144</definedName>
    <definedName name="MD_DAT">'SCH Summary:Apprp. Summary'!$A$110:$G$138</definedName>
    <definedName name="MS">'SCH Summary:Apprp. Summary'!$C$126:$G$163</definedName>
    <definedName name="MS_DAT">'SCH Summary:Apprp. Summary'!$A$129:$G$157</definedName>
    <definedName name="N_1">'Table 1'!$B$9:$J$29</definedName>
    <definedName name="N_2">'Table 2'!$C$9:$I$29</definedName>
    <definedName name="N_3">'Table 3'!$C$9:$G$29</definedName>
    <definedName name="N_4">'Table 4'!$B$9:$J$29</definedName>
    <definedName name="N_5A">'Table 5a'!$B$10:$J$30</definedName>
    <definedName name="N_5B">'Table 5b'!$B$12:$O$32</definedName>
    <definedName name="N_6">'Table 6'!$B$10:$I$30</definedName>
    <definedName name="NC">'SCH Summary:Apprp. Summary'!$C$145:$E$182</definedName>
    <definedName name="NC_DAT">'SCH Summary:Apprp. Summary'!$A$149:$G$176</definedName>
    <definedName name="NOTE">'SCH Database:Table 6'!$G$146:$IV$8192</definedName>
    <definedName name="OK">'SCH Summary:Apprp. Summary'!$C$164:$G$201</definedName>
    <definedName name="OK_DAT">'SCH Summary'!$A$173</definedName>
    <definedName name="_xlnm.Print_Area" localSheetId="0">'SCH Database'!$CH$762:$CP$824</definedName>
    <definedName name="_xlnm.Print_Area" localSheetId="12">'Table 6'!$A$1:$J$42</definedName>
    <definedName name="Print_Area_MI" localSheetId="0">'SCH Database'!$CH$762:$CP$824</definedName>
    <definedName name="SC">'SCH Summary:Apprp. Summary'!$C$183:$G$220</definedName>
    <definedName name="SC_DAT">'SCH Summary'!$A$192</definedName>
    <definedName name="STATES">'Table 1'!$A$11:$A$29</definedName>
    <definedName name="T">'Apprp. Summary'!$B$1:$N$6</definedName>
    <definedName name="T_1">'Table 1'!$A$1:$K$34</definedName>
    <definedName name="T_2">'Table 2'!$A$1:$J$34</definedName>
    <definedName name="T_3">'Table 3'!$A$1:$I$34</definedName>
    <definedName name="T_4">'Table 4'!$A$1:$K$40</definedName>
    <definedName name="T_5A">'Table 5a'!$A$1:$J$41</definedName>
    <definedName name="T_5B">'Table 5b'!$A$1:$O$43</definedName>
    <definedName name="T_6">'Table 6'!$A$1:$J$42</definedName>
    <definedName name="TABLES">'SCH Database:Table 1'!$A$1:$CM$610</definedName>
    <definedName name="TN">'SCH Summary:Apprp. Summary'!$C$202:$G$239</definedName>
    <definedName name="TN_DAT">'SCH Summary:Apprp. Summary'!$A$209:$G$231</definedName>
    <definedName name="TOT">'Table 4'!$J$9:$J$29</definedName>
    <definedName name="TX">'SCH Summary:Apprp. Summary'!$C$221:$G$258</definedName>
    <definedName name="TX_DAT">'SCH Summary:Apprp. Summary'!$A$228:$G$250</definedName>
    <definedName name="VA">'SCH Summary:Apprp. Summary'!$C$240:$G$277</definedName>
    <definedName name="VA_DAT">'SCH Summary:Apprp. Summary'!$A$245:$G$271</definedName>
    <definedName name="WV">'SCH Summary:Apprp. Summary'!$C$259:$G$296</definedName>
    <definedName name="WV_DAT">'SCH Database:SCH Summary'!$A$336:$L$451</definedName>
  </definedNames>
  <calcPr calcMode="manual" fullCalcOnLoad="1" calcCompleted="0" calcOnSave="0" iterate="1" iterateCount="1" iterateDelta="0.00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B164" authorId="0">
      <text>
        <r>
          <rPr>
            <sz val="10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<sst xmlns="http://schemas.openxmlformats.org/spreadsheetml/2006/main" count="8058" uniqueCount="1573">
  <si>
    <t>fall of 1995 along with the credit hours from most recent previous terms from the previous academic year (i.e. winter, spring, and summer</t>
  </si>
  <si>
    <t>1995) and by dividing total undergraduate semester credit hours by 30 and total undergraduate quarter hours by 45.  FTE derived from two-year</t>
  </si>
  <si>
    <t>institutions that use contact hours rather than credit hours to measure student activity are found in Table 3.</t>
  </si>
  <si>
    <t>TABLE 2</t>
  </si>
  <si>
    <t>Estimated Full-Year Full-Time-Equivalent Graduate Enrollment</t>
  </si>
  <si>
    <t>NOTES:  Estimated full-year full-time-equivalent (FTE) graduate enrollment for 1995-96 is derirved by taking the</t>
  </si>
  <si>
    <t>credit hours from the fall of 1995 along with the credit hours from most recent terms from the previous academic</t>
  </si>
  <si>
    <t>year (i.e. winter, spring, and summer 1995) and by dividing total graduate semester credit hours by 24 and total</t>
  </si>
  <si>
    <t>graduate quarter hours by 36.</t>
  </si>
  <si>
    <t>TABLE 3</t>
  </si>
  <si>
    <t>Estimated Full-Year Full-Time-Equivalent Contact-Hour Enrollment</t>
  </si>
  <si>
    <t>Two-Year</t>
  </si>
  <si>
    <t xml:space="preserve"> Total</t>
  </si>
  <si>
    <t>SREB Region</t>
  </si>
  <si>
    <t>NOTES:  Estimated full-year full-time-equivalent (FTE) contact hour enrollment for 1995-96 is derirved by taking the</t>
  </si>
  <si>
    <t>contact hours from the fall of 1995 along with the contact hours from most recent terms from the previous academic</t>
  </si>
  <si>
    <t>year (i.e. winter, spring, and summer 1995) and by dividing by 900 (the equivalent of a 30 hour week).</t>
  </si>
  <si>
    <t>TABLE 4</t>
  </si>
  <si>
    <t>Total Estimated Full-Year Full-Time-Equivalent Enrollment</t>
  </si>
  <si>
    <t>Estimated Full-Year 1995-96</t>
  </si>
  <si>
    <t>Mississippi*</t>
  </si>
  <si>
    <t xml:space="preserve"> * The estimate for Mississippi community colleges is based on fall term 1996 only.</t>
  </si>
  <si>
    <t>NOTES:  Estimated full-year full-time-equivalent (FTE) undergraduate enrollment for was derirved by taking the credit hours from the</t>
  </si>
  <si>
    <t>credit hours from the  fall of 1995 along with the credit hours from most recent previous terms from the previous academic year (i.e.</t>
  </si>
  <si>
    <t>winter, spring, and summer 1995) and by dividing total undergraduate semester credit hours by 30 and total undergraduate quarter hours by</t>
  </si>
  <si>
    <t>45.  Estimated full-year full-time-equivalent (FTE) graduate enrollment was derirved by taking the credit hours from the fall of 1995 along</t>
  </si>
  <si>
    <t>with the credit hours from most recent terms from the previous academic year (i.e. winter, spring, and summer 1995) and by dividing total</t>
  </si>
  <si>
    <t>graduate semester credit hours by 24 and total graduate quarter hours by 36.  Estimated full-year full-time-equivalent (FTE) contact hour</t>
  </si>
  <si>
    <t>enrollment for 1995-96 is derirved by taking the contact hours from the fall of 1995 along with the contact hours from most recent terms</t>
  </si>
  <si>
    <t>from the previous academic year (i.e. winter, spring, and summer 1995) and by dividing by 900 (the equivalent of a 30 hour week).</t>
  </si>
  <si>
    <t>TABLE 5a</t>
  </si>
  <si>
    <t>State and Local General Operating Appropriations</t>
  </si>
  <si>
    <t>(thousands)</t>
  </si>
  <si>
    <t>Total*</t>
  </si>
  <si>
    <t>NOTES:  Amounts for two-year institutions include state and local appropriations (where applicable). Amounts for four-year institutions include state</t>
  </si>
  <si>
    <t>appropriations only.   Tennessee appropriations include amounts for Centers of Excellence, Centers of Emphasis, Vocational Improvements, Instruction</t>
  </si>
  <si>
    <t>and Research Equipment, and interest income from Chairs of Excellence. The data for Texas include general revenue funds used to match employee</t>
  </si>
  <si>
    <t>contributions to the state retirement plans, the available "university fund" amounts used for current operations at three universities, overhead on</t>
  </si>
  <si>
    <t>sponsored research, and exclude "higher education assistance fund" amounts not used for current operations.  In West Virginia approximately 25 percent</t>
  </si>
  <si>
    <t>of regular student fees ($40.3 million) are dedicated by law to debt retirement and capital improvements.  In South Carolina also, a portion of tuition and</t>
  </si>
  <si>
    <t>fees revenues are dedicated to debt retirement.  The inability, in these two states, to use these revenues for operating expenses results in higher levels of</t>
  </si>
  <si>
    <t>state appropriations, and to some extent may overstate state support per student.</t>
  </si>
  <si>
    <t>TABLE 5b</t>
  </si>
  <si>
    <t xml:space="preserve">State and Local Operating Appropriations </t>
  </si>
  <si>
    <t>Public Institutions, SREB States, 1995-96</t>
  </si>
  <si>
    <t>(in thousands, reflecting cuts announced by 12/31/95)</t>
  </si>
  <si>
    <t>General Purpose</t>
  </si>
  <si>
    <t>Special Purpose</t>
  </si>
  <si>
    <t>Purpose</t>
  </si>
  <si>
    <t>Health</t>
  </si>
  <si>
    <t>Special</t>
  </si>
  <si>
    <t>as a</t>
  </si>
  <si>
    <t>Professions</t>
  </si>
  <si>
    <t>Operating</t>
  </si>
  <si>
    <t>Percent</t>
  </si>
  <si>
    <t>Purpose*</t>
  </si>
  <si>
    <t>(by inst)</t>
  </si>
  <si>
    <t>(not by inst)</t>
  </si>
  <si>
    <t>of Total**</t>
  </si>
  <si>
    <t xml:space="preserve"> * Includes general purpose appropriations to SREB IX (Specialized) institutions,if any, which are not shown separately.</t>
  </si>
  <si>
    <t xml:space="preserve"> ** Total Operating Appropriations equals the sum of "General Pupose Appropriations" and "Special Purpose Appropriations."  Refer to the chapter introduction for the full definitions.</t>
  </si>
  <si>
    <t>NOTES:  Amounts for two-year institutions include state and local appropriations (where applicable). Amounts for four-year institutions include state appropriations only.   Tennessee appropriations include</t>
  </si>
  <si>
    <t>amounts for Centers of Excellence, Centers of Emphasis, Vocational Improvements, Instruction and Research Equipment, and interest income from Chairs of Excellence. The data for Texas include general</t>
  </si>
  <si>
    <t>revenue funds used to match employee contributions to the state retirement plans, the available "university fund" amounts used for current operations at three universities, overhead on sponsored research, and</t>
  </si>
  <si>
    <t>exclude "higher education assistance fund" amounts not used for current operations.  In West Virginia 27 percent of regular student fees ($37.5 million) are dedicated by law to debt retirement and capital</t>
  </si>
  <si>
    <t>improvements.  In South Carolina also, a portion of tuition and fees revenues are dedicated to debt retirement.  The inability, in these two states, to use these revenues for operating expenses results in higher</t>
  </si>
  <si>
    <t>levels of state appropriations, and to some extent may overstate state support per student.</t>
  </si>
  <si>
    <t>TABLE 6</t>
  </si>
  <si>
    <t>State and Local General Operating Appropriations Per FTE Student</t>
  </si>
  <si>
    <t>(reflecting cuts announced by 12/31/95)</t>
  </si>
  <si>
    <t>as a Percent</t>
  </si>
  <si>
    <t>of Total*</t>
  </si>
  <si>
    <t>NOTES:  Total full-time-equivalent (FTE) enrollment is the sum of undergraduate credit-hour FTE, undergraduate contact-hour FTE, and graduate</t>
  </si>
  <si>
    <t>credit-hour FTE.  Undergraduate credit-hour FTE equals undergraduate credit hours divided by 30.  Undergraduate contact-hour FTE equals total</t>
  </si>
  <si>
    <t>contact hours divided by 900. Graduate FTE equals graduate credit hours (including law) divided by 24.  Amounts for two-year institutions include</t>
  </si>
  <si>
    <t>state and local appropriations (where applicable).  Amounts for four-year institutions include state appropriations only. Tennessee appropriations</t>
  </si>
  <si>
    <t>include amounts for Centers of Excellence, Centers of Emphasis, Vocational Improvements, Instruction and Research Equipment, and interest</t>
  </si>
  <si>
    <t>income from Chairs of Excellence. The data for Texas include  general revenue funds used to match employee contributions to the state retirement</t>
  </si>
  <si>
    <t>plans, the available "university fund" amounts used for current operations at three universities, overhead on sponsored research, and exclude</t>
  </si>
  <si>
    <t>"higher education assistance fund" amounts not used for current operations. In West Virginia 27 percent of regular student fees ($37.5 million) are</t>
  </si>
  <si>
    <t>dedicated by law to capital improvements.  In South Carolina also, a portion of tuition and fees revenues are dedicated to debt retirement. The</t>
  </si>
  <si>
    <t>inability in these two states to use these revenues for operating expenses results in higher levels of state appropriations, and to some extent may</t>
  </si>
  <si>
    <t>overstate state support per student.</t>
  </si>
  <si>
    <t>$ PER S (000s)</t>
  </si>
  <si>
    <t>FTE Students and</t>
  </si>
  <si>
    <t>Publilc Institutions, SREB States, 1995-96</t>
  </si>
  <si>
    <t xml:space="preserve"> (thousands)</t>
  </si>
  <si>
    <t>ALL</t>
  </si>
  <si>
    <t>EXTRACT MACRO</t>
  </si>
  <si>
    <t>PRINT MACRO</t>
  </si>
  <si>
    <t>(requires files named "n_...")</t>
  </si>
  <si>
    <t>\P</t>
  </si>
  <si>
    <t>:prsg 1~g</t>
  </si>
  <si>
    <t>\x</t>
  </si>
  <si>
    <t>/fxvn_1.wk4~n_1~r</t>
  </si>
  <si>
    <t>:prst 1~g</t>
  </si>
  <si>
    <t>/fxvn_2.wk4~n_2~r</t>
  </si>
  <si>
    <t>:prst 2~g</t>
  </si>
  <si>
    <t>/fxvn_3.wk4~n_3~r</t>
  </si>
  <si>
    <t>:prst 3~g</t>
  </si>
  <si>
    <t>/fxvn_4.wk4~n_4~r</t>
  </si>
  <si>
    <t>:prst 4~g</t>
  </si>
  <si>
    <t>/fxvn_5a.wk4~n_5a~r</t>
  </si>
  <si>
    <t>:prst 5a~g</t>
  </si>
  <si>
    <t>/fxvn_5b.wk4~n_5b~r</t>
  </si>
  <si>
    <t>:prst 5b~g</t>
  </si>
  <si>
    <t>/fxvn_6.wk4~n_6~r</t>
  </si>
  <si>
    <t>:prst 6~g</t>
  </si>
  <si>
    <t>LABEL MACRO</t>
  </si>
  <si>
    <t>\L</t>
  </si>
  <si>
    <t>{EDIT}{HOME}^{DOWN}</t>
  </si>
  <si>
    <t>Student Credit Hours, 1995-96</t>
  </si>
  <si>
    <t>Undergraduate</t>
  </si>
  <si>
    <t>Graduate</t>
  </si>
  <si>
    <t>Quarter/</t>
  </si>
  <si>
    <t>Credit Hours</t>
  </si>
  <si>
    <t>Contact Hours</t>
  </si>
  <si>
    <t>State</t>
  </si>
  <si>
    <t>Semester</t>
  </si>
  <si>
    <t>Institution</t>
  </si>
  <si>
    <t>IPEDS ID</t>
  </si>
  <si>
    <t>Code</t>
  </si>
  <si>
    <t>Winter '95</t>
  </si>
  <si>
    <t>Spring '95</t>
  </si>
  <si>
    <t>Summer '95</t>
  </si>
  <si>
    <t>Fall '95</t>
  </si>
  <si>
    <t>Total</t>
  </si>
  <si>
    <t>AL</t>
  </si>
  <si>
    <t>S</t>
  </si>
  <si>
    <t xml:space="preserve">Auburn University  </t>
  </si>
  <si>
    <t>100858</t>
  </si>
  <si>
    <t>1</t>
  </si>
  <si>
    <t xml:space="preserve">University of Alabama </t>
  </si>
  <si>
    <t>100751</t>
  </si>
  <si>
    <t>University of Alabama at Birmingham</t>
  </si>
  <si>
    <t>100663</t>
  </si>
  <si>
    <t>2</t>
  </si>
  <si>
    <t>Alabama Agricultural &amp; Mechanical University</t>
  </si>
  <si>
    <t>100654</t>
  </si>
  <si>
    <t>3</t>
  </si>
  <si>
    <t>Jacksonville State University</t>
  </si>
  <si>
    <t>101480</t>
  </si>
  <si>
    <t>University of Alabama in Huntsville **</t>
  </si>
  <si>
    <t>100706</t>
  </si>
  <si>
    <t>University of South Alabama</t>
  </si>
  <si>
    <t>102094</t>
  </si>
  <si>
    <t>Auburn University at Montgomery</t>
  </si>
  <si>
    <t>100830</t>
  </si>
  <si>
    <t>4</t>
  </si>
  <si>
    <t>Troy State University</t>
  </si>
  <si>
    <t>102368</t>
  </si>
  <si>
    <t xml:space="preserve">Troy State University in Montgomery </t>
  </si>
  <si>
    <t>102359</t>
  </si>
  <si>
    <t>University of Montevallo</t>
  </si>
  <si>
    <t>101709</t>
  </si>
  <si>
    <t>Alabama State University</t>
  </si>
  <si>
    <t>100724</t>
  </si>
  <si>
    <t>5</t>
  </si>
  <si>
    <t>Troy State University at Dothan</t>
  </si>
  <si>
    <t>102322</t>
  </si>
  <si>
    <t>University of North Alabama</t>
  </si>
  <si>
    <t>101879</t>
  </si>
  <si>
    <t>University of West AL (Livingston)</t>
  </si>
  <si>
    <t>101587</t>
  </si>
  <si>
    <t xml:space="preserve">Athens State College </t>
  </si>
  <si>
    <t>100812</t>
  </si>
  <si>
    <t>6</t>
  </si>
  <si>
    <t>Q</t>
  </si>
  <si>
    <t>Alabama Southern Community College</t>
  </si>
  <si>
    <t>101949</t>
  </si>
  <si>
    <t>7</t>
  </si>
  <si>
    <t>Bevill State Community College</t>
  </si>
  <si>
    <t>100964</t>
  </si>
  <si>
    <t>Bishop State Community College</t>
  </si>
  <si>
    <t>102030</t>
  </si>
  <si>
    <t>Central Alabama Community College</t>
  </si>
  <si>
    <t>100760</t>
  </si>
  <si>
    <t xml:space="preserve">Chattahoochee Valley State Community College </t>
  </si>
  <si>
    <t>101028</t>
  </si>
  <si>
    <t xml:space="preserve">Enterprise State Junior College </t>
  </si>
  <si>
    <t>101143</t>
  </si>
  <si>
    <t>Gadsden State Community College</t>
  </si>
  <si>
    <t>101240</t>
  </si>
  <si>
    <t>George Corley Wallace State Community College - Selma</t>
  </si>
  <si>
    <t>101301</t>
  </si>
  <si>
    <t>George C. Wallace State Community College - Dothan</t>
  </si>
  <si>
    <t>101286</t>
  </si>
  <si>
    <t xml:space="preserve">James H. Faulkner State Community College </t>
  </si>
  <si>
    <t>101161</t>
  </si>
  <si>
    <t xml:space="preserve">Jefferson Davis Community College </t>
  </si>
  <si>
    <t>101499</t>
  </si>
  <si>
    <t>Jefferson State Community College</t>
  </si>
  <si>
    <t>101505</t>
  </si>
  <si>
    <t xml:space="preserve">John C. Calhoun State Commmunity College </t>
  </si>
  <si>
    <t>101514</t>
  </si>
  <si>
    <t xml:space="preserve">Lawson State Community College </t>
  </si>
  <si>
    <t>101569</t>
  </si>
  <si>
    <t xml:space="preserve">Lurleen B. Wallace State Junior College </t>
  </si>
  <si>
    <t>101602</t>
  </si>
  <si>
    <t xml:space="preserve">Northeast Alabama State Community College </t>
  </si>
  <si>
    <t>101897</t>
  </si>
  <si>
    <t>Northwest Community College</t>
  </si>
  <si>
    <t>101903</t>
  </si>
  <si>
    <t>Shelton State Community College</t>
  </si>
  <si>
    <t>102067</t>
  </si>
  <si>
    <t xml:space="preserve">Shoals Community College </t>
  </si>
  <si>
    <t>101736</t>
  </si>
  <si>
    <t xml:space="preserve">Snead State Community College </t>
  </si>
  <si>
    <t>102076</t>
  </si>
  <si>
    <t xml:space="preserve">Southern Union State Commmunity College </t>
  </si>
  <si>
    <t>251260</t>
  </si>
  <si>
    <t>Wallace Community College - Hanceville</t>
  </si>
  <si>
    <t>101295</t>
  </si>
  <si>
    <t xml:space="preserve">Alabama Aviation &amp; Technical College </t>
  </si>
  <si>
    <t>100672</t>
  </si>
  <si>
    <t>8</t>
  </si>
  <si>
    <t xml:space="preserve">Atmore State Technical College </t>
  </si>
  <si>
    <t>100821</t>
  </si>
  <si>
    <t xml:space="preserve">Bessemer State Technical College </t>
  </si>
  <si>
    <t>100919</t>
  </si>
  <si>
    <t xml:space="preserve">Harry F. Ayers State Technical College </t>
  </si>
  <si>
    <t>101347</t>
  </si>
  <si>
    <t xml:space="preserve">John M. Patterson State Technical College </t>
  </si>
  <si>
    <t>101523</t>
  </si>
  <si>
    <t xml:space="preserve">J.F. Drake State Technical College </t>
  </si>
  <si>
    <t>101462</t>
  </si>
  <si>
    <t xml:space="preserve">J.F. Ingram State Technical College </t>
  </si>
  <si>
    <t>101471</t>
  </si>
  <si>
    <t xml:space="preserve">MacArthur Technical College </t>
  </si>
  <si>
    <t>101107</t>
  </si>
  <si>
    <t>Opelika State Technical College</t>
  </si>
  <si>
    <t>101921</t>
  </si>
  <si>
    <t xml:space="preserve">Reid State Technical College </t>
  </si>
  <si>
    <t>101994</t>
  </si>
  <si>
    <t xml:space="preserve">Sparks State Technical College </t>
  </si>
  <si>
    <t>101037</t>
  </si>
  <si>
    <t xml:space="preserve">Trenholm Technical College </t>
  </si>
  <si>
    <t>102313</t>
  </si>
  <si>
    <t xml:space="preserve">Walker State Technical College </t>
  </si>
  <si>
    <t>AR</t>
  </si>
  <si>
    <t>University of Arkansas Main Campus</t>
  </si>
  <si>
    <t>106397</t>
  </si>
  <si>
    <t>Arkansas State University</t>
  </si>
  <si>
    <t>106458</t>
  </si>
  <si>
    <t>University of Arkansas at Little Rock</t>
  </si>
  <si>
    <t>106245</t>
  </si>
  <si>
    <t xml:space="preserve">University of Central Arkansas </t>
  </si>
  <si>
    <t>106704</t>
  </si>
  <si>
    <t xml:space="preserve">Arkansas Tech University </t>
  </si>
  <si>
    <t>106467</t>
  </si>
  <si>
    <t xml:space="preserve">Henderson State University </t>
  </si>
  <si>
    <t>107071</t>
  </si>
  <si>
    <t>Southern Arkansas University</t>
  </si>
  <si>
    <t>107983</t>
  </si>
  <si>
    <t>University of Arkansas at Monticello</t>
  </si>
  <si>
    <t>106485</t>
  </si>
  <si>
    <t>University of Arkansas at Pine Bluff</t>
  </si>
  <si>
    <t>106412</t>
  </si>
  <si>
    <t>Arkansas State Univ Mountain Home</t>
  </si>
  <si>
    <t>901090</t>
  </si>
  <si>
    <t>Arkansas State University Beebe</t>
  </si>
  <si>
    <t>106449</t>
  </si>
  <si>
    <t>Arkansas State University-Beebe/Newport</t>
  </si>
  <si>
    <t>Black River Technical College</t>
  </si>
  <si>
    <t>106625</t>
  </si>
  <si>
    <t>Cossatot Technical College</t>
  </si>
  <si>
    <t>106795</t>
  </si>
  <si>
    <t xml:space="preserve">East Arkansas Community College </t>
  </si>
  <si>
    <t>106883</t>
  </si>
  <si>
    <t xml:space="preserve">Garland County Community College </t>
  </si>
  <si>
    <t>106980</t>
  </si>
  <si>
    <t>Gateway Technical College</t>
  </si>
  <si>
    <t>106999</t>
  </si>
  <si>
    <t xml:space="preserve">Mid-South Technical College </t>
  </si>
  <si>
    <t>107318</t>
  </si>
  <si>
    <t xml:space="preserve">Mississippi County Community College </t>
  </si>
  <si>
    <t>107327</t>
  </si>
  <si>
    <t>North Arkansas Community College</t>
  </si>
  <si>
    <t>107460</t>
  </si>
  <si>
    <t xml:space="preserve">NorthWest Arkansas Community College </t>
  </si>
  <si>
    <t>367459</t>
  </si>
  <si>
    <t xml:space="preserve">Ouachita Technical College </t>
  </si>
  <si>
    <t>107521</t>
  </si>
  <si>
    <t xml:space="preserve">Ozarka Technical College </t>
  </si>
  <si>
    <t>107549</t>
  </si>
  <si>
    <t>Petit Jean Technical College</t>
  </si>
  <si>
    <t>107585</t>
  </si>
  <si>
    <t xml:space="preserve">Phillips County Community College </t>
  </si>
  <si>
    <t>107619</t>
  </si>
  <si>
    <t>Pines Technical College</t>
  </si>
  <si>
    <t>107637</t>
  </si>
  <si>
    <t>Pulaski Technical College</t>
  </si>
  <si>
    <t>107664</t>
  </si>
  <si>
    <t xml:space="preserve">Red River Technical College </t>
  </si>
  <si>
    <t>107725</t>
  </si>
  <si>
    <t xml:space="preserve">Rich Mountain Community College </t>
  </si>
  <si>
    <t>107743</t>
  </si>
  <si>
    <t>South Arkansas Community College</t>
  </si>
  <si>
    <t/>
  </si>
  <si>
    <t>Southern Arkansas University Tech</t>
  </si>
  <si>
    <t>107992</t>
  </si>
  <si>
    <t xml:space="preserve">Westark Community College </t>
  </si>
  <si>
    <t>108092</t>
  </si>
  <si>
    <t>Univ of Arkansas for Medical Sciences</t>
  </si>
  <si>
    <t>106263</t>
  </si>
  <si>
    <t>9</t>
  </si>
  <si>
    <t xml:space="preserve"> </t>
  </si>
  <si>
    <t>FL</t>
  </si>
  <si>
    <t xml:space="preserve">Florida State University </t>
  </si>
  <si>
    <t>134097</t>
  </si>
  <si>
    <t>University of Florida</t>
  </si>
  <si>
    <t>134130</t>
  </si>
  <si>
    <t>University of South Florida**</t>
  </si>
  <si>
    <t>137351</t>
  </si>
  <si>
    <t xml:space="preserve">Florida Atlantic University </t>
  </si>
  <si>
    <t>133669</t>
  </si>
  <si>
    <t>University of Central Florida **</t>
  </si>
  <si>
    <t>132903</t>
  </si>
  <si>
    <t>Florida International University</t>
  </si>
  <si>
    <t>133951</t>
  </si>
  <si>
    <t>University of West Florida</t>
  </si>
  <si>
    <t>138354</t>
  </si>
  <si>
    <t>Florida Agricultural &amp; Mechanical University</t>
  </si>
  <si>
    <t>133650</t>
  </si>
  <si>
    <t xml:space="preserve">University of North Florida </t>
  </si>
  <si>
    <t>136172</t>
  </si>
  <si>
    <t xml:space="preserve">Brevard Community College </t>
  </si>
  <si>
    <t>132693</t>
  </si>
  <si>
    <t xml:space="preserve">Broward Community College </t>
  </si>
  <si>
    <t>132709</t>
  </si>
  <si>
    <t xml:space="preserve">Central Florida Community College </t>
  </si>
  <si>
    <t>132851</t>
  </si>
  <si>
    <t xml:space="preserve">Chipola Junior College </t>
  </si>
  <si>
    <t>133021</t>
  </si>
  <si>
    <t xml:space="preserve">Daytona Beach Community College </t>
  </si>
  <si>
    <t>133386</t>
  </si>
  <si>
    <t xml:space="preserve">Edison Community College </t>
  </si>
  <si>
    <t>133508</t>
  </si>
  <si>
    <t>Florida Community College at Jacksonville</t>
  </si>
  <si>
    <t>133702</t>
  </si>
  <si>
    <t xml:space="preserve">Florida Keys Community College </t>
  </si>
  <si>
    <t>133960</t>
  </si>
  <si>
    <t xml:space="preserve">Gulf Coast Community College </t>
  </si>
  <si>
    <t>134343</t>
  </si>
  <si>
    <t xml:space="preserve">Hillsborough Community College </t>
  </si>
  <si>
    <t>134495</t>
  </si>
  <si>
    <t xml:space="preserve">Indian River Community College </t>
  </si>
  <si>
    <t>134608</t>
  </si>
  <si>
    <t xml:space="preserve">Lake City Community College </t>
  </si>
  <si>
    <t>135160</t>
  </si>
  <si>
    <t xml:space="preserve">Lake-Sumter Community College </t>
  </si>
  <si>
    <t>135188</t>
  </si>
  <si>
    <t xml:space="preserve">Manatee Community College </t>
  </si>
  <si>
    <t>135391</t>
  </si>
  <si>
    <t xml:space="preserve">Miami-Dade Community College </t>
  </si>
  <si>
    <t>135717</t>
  </si>
  <si>
    <t xml:space="preserve">North Florida Junior College </t>
  </si>
  <si>
    <t>136145</t>
  </si>
  <si>
    <t xml:space="preserve">Okaloosa-Walton Junior College </t>
  </si>
  <si>
    <t>136233</t>
  </si>
  <si>
    <t xml:space="preserve">Palm Beach Community College </t>
  </si>
  <si>
    <t>136358</t>
  </si>
  <si>
    <t xml:space="preserve">Pasco-Hernando Community College </t>
  </si>
  <si>
    <t>136400</t>
  </si>
  <si>
    <t xml:space="preserve">Pensacola Junior College </t>
  </si>
  <si>
    <t>136473</t>
  </si>
  <si>
    <t xml:space="preserve">Polk Community College </t>
  </si>
  <si>
    <t>136516</t>
  </si>
  <si>
    <t xml:space="preserve">Santa Fe Community College </t>
  </si>
  <si>
    <t>137096</t>
  </si>
  <si>
    <t xml:space="preserve">Seminole Community College </t>
  </si>
  <si>
    <t>137209</t>
  </si>
  <si>
    <t xml:space="preserve">South Florida Community College </t>
  </si>
  <si>
    <t>137315</t>
  </si>
  <si>
    <t xml:space="preserve">St. Johns River Community College </t>
  </si>
  <si>
    <t>137281</t>
  </si>
  <si>
    <t xml:space="preserve">St. Petersburg Junior College </t>
  </si>
  <si>
    <t>137078</t>
  </si>
  <si>
    <t xml:space="preserve">Tallahassee Community College </t>
  </si>
  <si>
    <t>137759</t>
  </si>
  <si>
    <t xml:space="preserve">Valencia Community College </t>
  </si>
  <si>
    <t>138187</t>
  </si>
  <si>
    <t>GA</t>
  </si>
  <si>
    <t>University of Georgia</t>
  </si>
  <si>
    <t>139959</t>
  </si>
  <si>
    <t>Georgia Institute of Technology</t>
  </si>
  <si>
    <t>139755</t>
  </si>
  <si>
    <t>Georgia State University</t>
  </si>
  <si>
    <t>139940</t>
  </si>
  <si>
    <t>Georgia Southern University</t>
  </si>
  <si>
    <t>139931</t>
  </si>
  <si>
    <t xml:space="preserve">Georgia College </t>
  </si>
  <si>
    <t>139861</t>
  </si>
  <si>
    <t xml:space="preserve">Valdosta State College </t>
  </si>
  <si>
    <t>141264</t>
  </si>
  <si>
    <t xml:space="preserve">West Georgia College </t>
  </si>
  <si>
    <t>141334</t>
  </si>
  <si>
    <t xml:space="preserve">Albany State College </t>
  </si>
  <si>
    <t>138716</t>
  </si>
  <si>
    <t xml:space="preserve">Augusta College </t>
  </si>
  <si>
    <t>138983</t>
  </si>
  <si>
    <t xml:space="preserve">Columbus College </t>
  </si>
  <si>
    <t>139366</t>
  </si>
  <si>
    <t xml:space="preserve">Fort Valley State College </t>
  </si>
  <si>
    <t>139719</t>
  </si>
  <si>
    <t xml:space="preserve">Georgia Southwestern College </t>
  </si>
  <si>
    <t>139764</t>
  </si>
  <si>
    <t xml:space="preserve">Kennesaw State College </t>
  </si>
  <si>
    <t>140164</t>
  </si>
  <si>
    <t xml:space="preserve">North Georgia College </t>
  </si>
  <si>
    <t>140669</t>
  </si>
  <si>
    <t xml:space="preserve">Armstrong State College </t>
  </si>
  <si>
    <t>138789</t>
  </si>
  <si>
    <t xml:space="preserve">Clayton State College  </t>
  </si>
  <si>
    <t>139311</t>
  </si>
  <si>
    <t xml:space="preserve">Savannah State College </t>
  </si>
  <si>
    <t>140960</t>
  </si>
  <si>
    <t xml:space="preserve">Abraham Baldwin Agricultural College </t>
  </si>
  <si>
    <t>138558</t>
  </si>
  <si>
    <t>Atlanta Metropolitan College</t>
  </si>
  <si>
    <t>138901</t>
  </si>
  <si>
    <t xml:space="preserve">Bainbridge College </t>
  </si>
  <si>
    <t>139010</t>
  </si>
  <si>
    <t xml:space="preserve">Brunswick College </t>
  </si>
  <si>
    <t>139250</t>
  </si>
  <si>
    <t xml:space="preserve">Dalton College </t>
  </si>
  <si>
    <t>139463</t>
  </si>
  <si>
    <t xml:space="preserve">Darton College </t>
  </si>
  <si>
    <t>138691</t>
  </si>
  <si>
    <t xml:space="preserve">DeKalb College </t>
  </si>
  <si>
    <t>244437</t>
  </si>
  <si>
    <t>East Georgia College</t>
  </si>
  <si>
    <t>139621</t>
  </si>
  <si>
    <t xml:space="preserve">Floyd College </t>
  </si>
  <si>
    <t>139700</t>
  </si>
  <si>
    <t xml:space="preserve">Gainesville College </t>
  </si>
  <si>
    <t>139773</t>
  </si>
  <si>
    <t xml:space="preserve">Gordon College </t>
  </si>
  <si>
    <t>139968</t>
  </si>
  <si>
    <t xml:space="preserve">Macon College </t>
  </si>
  <si>
    <t>140322</t>
  </si>
  <si>
    <t xml:space="preserve">Middle Georgia College </t>
  </si>
  <si>
    <t>140483</t>
  </si>
  <si>
    <t xml:space="preserve">South Georgia College </t>
  </si>
  <si>
    <t>140997</t>
  </si>
  <si>
    <t xml:space="preserve">Waycross College </t>
  </si>
  <si>
    <t>141307</t>
  </si>
  <si>
    <t>Albany Technical Institute</t>
  </si>
  <si>
    <t>138682</t>
  </si>
  <si>
    <t>Altamaha Technical Institute</t>
  </si>
  <si>
    <t>366447</t>
  </si>
  <si>
    <t>Athens Area Technical Institute</t>
  </si>
  <si>
    <t>246813</t>
  </si>
  <si>
    <t>Atlanta Area Technical School</t>
  </si>
  <si>
    <t>138840</t>
  </si>
  <si>
    <t>Augusta Technical Institute</t>
  </si>
  <si>
    <t>138956</t>
  </si>
  <si>
    <t>Ben Hill-Irwin Technical Institute</t>
  </si>
  <si>
    <t>139126</t>
  </si>
  <si>
    <t>Carroll Technical Institute</t>
  </si>
  <si>
    <t>139278</t>
  </si>
  <si>
    <t>Chattahoochee Technical Institute</t>
  </si>
  <si>
    <t>140331</t>
  </si>
  <si>
    <t>Columbus Technical Institute</t>
  </si>
  <si>
    <t>139357</t>
  </si>
  <si>
    <t>Coosa Valley Technical Institute</t>
  </si>
  <si>
    <t>139384</t>
  </si>
  <si>
    <t>Dalton School of Health Occupations</t>
  </si>
  <si>
    <t>139472</t>
  </si>
  <si>
    <t>DeKalb Technical Institute</t>
  </si>
  <si>
    <t>244446</t>
  </si>
  <si>
    <t>Flint River Technical Institute</t>
  </si>
  <si>
    <t>248794</t>
  </si>
  <si>
    <t>Griffin Technical Institute</t>
  </si>
  <si>
    <t>139986</t>
  </si>
  <si>
    <t>Gwinnett Technical Institute</t>
  </si>
  <si>
    <t>140012</t>
  </si>
  <si>
    <t>Heart of Georgia Technical Institute</t>
  </si>
  <si>
    <t>140076</t>
  </si>
  <si>
    <t>Lanier Technical Institute</t>
  </si>
  <si>
    <t>140243</t>
  </si>
  <si>
    <t>Macon Technical Institute</t>
  </si>
  <si>
    <t>140304</t>
  </si>
  <si>
    <t>Middle Georgia Technical Institute</t>
  </si>
  <si>
    <t>140085</t>
  </si>
  <si>
    <t>Moultrie Area Technical Institute</t>
  </si>
  <si>
    <t>140599</t>
  </si>
  <si>
    <t>North Georgia Technical Institute</t>
  </si>
  <si>
    <t>140678</t>
  </si>
  <si>
    <t>North Metro Technical Institute</t>
  </si>
  <si>
    <t>366456</t>
  </si>
  <si>
    <t>Ogeechee Technical Institute</t>
  </si>
  <si>
    <t>366465</t>
  </si>
  <si>
    <t>Okefenokee Technical Institute</t>
  </si>
  <si>
    <t>248776</t>
  </si>
  <si>
    <t>Pickens Technical Institute</t>
  </si>
  <si>
    <t>140809</t>
  </si>
  <si>
    <t>Savannah Technical Institute</t>
  </si>
  <si>
    <t>140942</t>
  </si>
  <si>
    <t>South Georgia Technical Institute</t>
  </si>
  <si>
    <t>141006</t>
  </si>
  <si>
    <t>Southeastern Technical Institute</t>
  </si>
  <si>
    <t>368911</t>
  </si>
  <si>
    <t>Swainsboro Technical Institute</t>
  </si>
  <si>
    <t>141121</t>
  </si>
  <si>
    <t>Thomas Technical Institute</t>
  </si>
  <si>
    <t>141158</t>
  </si>
  <si>
    <t>Valdosta Technical Institute</t>
  </si>
  <si>
    <t>141255</t>
  </si>
  <si>
    <t>Walker Technical Institute</t>
  </si>
  <si>
    <t>141273</t>
  </si>
  <si>
    <t>West Georgia Technical Institute</t>
  </si>
  <si>
    <t>141228</t>
  </si>
  <si>
    <t>Medical College of Georgia</t>
  </si>
  <si>
    <t>140401</t>
  </si>
  <si>
    <t>Southern College of Technology</t>
  </si>
  <si>
    <t>141097</t>
  </si>
  <si>
    <t>KY</t>
  </si>
  <si>
    <t>University of Kentucky</t>
  </si>
  <si>
    <t>157085</t>
  </si>
  <si>
    <t>University of Louisville</t>
  </si>
  <si>
    <t>157289</t>
  </si>
  <si>
    <t xml:space="preserve">Eastern Kentucky University </t>
  </si>
  <si>
    <t>156620</t>
  </si>
  <si>
    <t xml:space="preserve">Murray State University </t>
  </si>
  <si>
    <t>157401</t>
  </si>
  <si>
    <t xml:space="preserve">Western Kentucky University </t>
  </si>
  <si>
    <t>157951</t>
  </si>
  <si>
    <t xml:space="preserve">Morehead State University </t>
  </si>
  <si>
    <t>157386</t>
  </si>
  <si>
    <t xml:space="preserve">Northern Kentucky University </t>
  </si>
  <si>
    <t>157447</t>
  </si>
  <si>
    <t xml:space="preserve">Kentucky State University </t>
  </si>
  <si>
    <t>157058</t>
  </si>
  <si>
    <t>UK Community College System</t>
  </si>
  <si>
    <t>156231</t>
  </si>
  <si>
    <t>LA</t>
  </si>
  <si>
    <t>LSU and Agricultural and Mechanical College</t>
  </si>
  <si>
    <t>159391</t>
  </si>
  <si>
    <t>Univ of New Orleans **</t>
  </si>
  <si>
    <t>159939</t>
  </si>
  <si>
    <t>Univ of Southwestern Louisiana</t>
  </si>
  <si>
    <t>160658</t>
  </si>
  <si>
    <t xml:space="preserve">Louisiana Tech Univ </t>
  </si>
  <si>
    <t>159647</t>
  </si>
  <si>
    <t>McNeese State Univ **</t>
  </si>
  <si>
    <t xml:space="preserve">Northeast Louisiana Univ </t>
  </si>
  <si>
    <t>159993</t>
  </si>
  <si>
    <t xml:space="preserve">Southern Univ and A&amp;M College at Baton Rouge </t>
  </si>
  <si>
    <t>160621</t>
  </si>
  <si>
    <t>Grambling State Univ</t>
  </si>
  <si>
    <t>159009</t>
  </si>
  <si>
    <t>Northwestern State Univ</t>
  </si>
  <si>
    <t>160038</t>
  </si>
  <si>
    <t xml:space="preserve">Southeastern Louisiana Univ </t>
  </si>
  <si>
    <t>160612</t>
  </si>
  <si>
    <t>LSU in Shreveport</t>
  </si>
  <si>
    <t>159416</t>
  </si>
  <si>
    <t xml:space="preserve">Nicholls State Univ </t>
  </si>
  <si>
    <t>159966</t>
  </si>
  <si>
    <t>Southern Univ at New Orleans</t>
  </si>
  <si>
    <t>160360</t>
  </si>
  <si>
    <t>Bossier Parish Community College</t>
  </si>
  <si>
    <t>158431</t>
  </si>
  <si>
    <t xml:space="preserve">Delgado Community College </t>
  </si>
  <si>
    <t>158662</t>
  </si>
  <si>
    <t>LSU at Alexandria</t>
  </si>
  <si>
    <t>159382</t>
  </si>
  <si>
    <t>LSU at Eunice</t>
  </si>
  <si>
    <t>159407</t>
  </si>
  <si>
    <t>Nunez Community College</t>
  </si>
  <si>
    <t>158884</t>
  </si>
  <si>
    <t>Southern Univ in Shreveport</t>
  </si>
  <si>
    <t>160649</t>
  </si>
  <si>
    <t>Acadian Technical Institute</t>
  </si>
  <si>
    <t>Alexandria Regional Technical Institute</t>
  </si>
  <si>
    <t>158088</t>
  </si>
  <si>
    <t>Ascension Parish Technical Institute</t>
  </si>
  <si>
    <t>158219</t>
  </si>
  <si>
    <t>Avoyelles Technical Institute</t>
  </si>
  <si>
    <t>158237</t>
  </si>
  <si>
    <t>Bastrop Technical Institute</t>
  </si>
  <si>
    <t>158307</t>
  </si>
  <si>
    <t>Baton Rouge Vocational-Technical Institute</t>
  </si>
  <si>
    <t>158352</t>
  </si>
  <si>
    <t>Claiborne Technical Institute</t>
  </si>
  <si>
    <t>158529</t>
  </si>
  <si>
    <t>Concordia Technical Institute</t>
  </si>
  <si>
    <t>158583</t>
  </si>
  <si>
    <t>C.B. Coreil Technical Institute</t>
  </si>
  <si>
    <t>Delta-Ouachita Regional-Technical Institute</t>
  </si>
  <si>
    <t>158769</t>
  </si>
  <si>
    <t>Evangeline Technical Institute</t>
  </si>
  <si>
    <t>158893</t>
  </si>
  <si>
    <t>Florida Parishes Technical Institute</t>
  </si>
  <si>
    <t>158936</t>
  </si>
  <si>
    <t>Folkes Technical Institute</t>
  </si>
  <si>
    <t>158945</t>
  </si>
  <si>
    <t>Gulf Area Technical Institute</t>
  </si>
  <si>
    <t>159018</t>
  </si>
  <si>
    <t>Huey P. Long Memorial Technical Institute</t>
  </si>
  <si>
    <t>159090</t>
  </si>
  <si>
    <t>Jefferson Parish Technical Institute</t>
  </si>
  <si>
    <t>159258</t>
  </si>
  <si>
    <t>Jumonville Memorial Technical Institute</t>
  </si>
  <si>
    <t>160214</t>
  </si>
  <si>
    <t>Lafayette Regional Technical Institute</t>
  </si>
  <si>
    <t>159443</t>
  </si>
  <si>
    <t>Lamar Salter Vocational-Technical Institute</t>
  </si>
  <si>
    <t>160843</t>
  </si>
  <si>
    <t>Mansfield Branch Technical Institute</t>
  </si>
  <si>
    <t>159692</t>
  </si>
  <si>
    <t>Nachitoches Technical Institute</t>
  </si>
  <si>
    <t>159823</t>
  </si>
  <si>
    <t>New Orleans Regional Technical Institute</t>
  </si>
  <si>
    <t>159911</t>
  </si>
  <si>
    <t>North Central Technical Institute</t>
  </si>
  <si>
    <t>159984</t>
  </si>
  <si>
    <t>Northeast Louisiana Technical Institute</t>
  </si>
  <si>
    <t>160001</t>
  </si>
  <si>
    <t>Northwest Louisiana Technical Institute</t>
  </si>
  <si>
    <t>160010</t>
  </si>
  <si>
    <t>Oakdale Branch Technical Institute</t>
  </si>
  <si>
    <t>160047</t>
  </si>
  <si>
    <t>Port Sulphur Branch Technical Institute</t>
  </si>
  <si>
    <t>160205</t>
  </si>
  <si>
    <t>River Parishes Technical Institute</t>
  </si>
  <si>
    <t>160311</t>
  </si>
  <si>
    <t>Ruston Technical Institute</t>
  </si>
  <si>
    <t>160366</t>
  </si>
  <si>
    <t>Sabine Valley Technical Institute</t>
  </si>
  <si>
    <t>160384</t>
  </si>
  <si>
    <t>Shreveport-Bossier Regional Technical Institute</t>
  </si>
  <si>
    <t>160427</t>
  </si>
  <si>
    <t>Sidney N. Collier Memorial Technical Institute</t>
  </si>
  <si>
    <t>160436</t>
  </si>
  <si>
    <t>Slidell Technical Institute</t>
  </si>
  <si>
    <t>160454</t>
  </si>
  <si>
    <t>South Louisiana Regional Technical Institute</t>
  </si>
  <si>
    <t>160481</t>
  </si>
  <si>
    <t>Sowela Regional Technical Institute</t>
  </si>
  <si>
    <t>160579</t>
  </si>
  <si>
    <t>Sullivan Technical Institute</t>
  </si>
  <si>
    <t>160667</t>
  </si>
  <si>
    <t>Tallulah Technical Institute</t>
  </si>
  <si>
    <t>160685</t>
  </si>
  <si>
    <t>Teche Area Technical Institute</t>
  </si>
  <si>
    <t>160694</t>
  </si>
  <si>
    <t>Thibodaux Area Technical Institute</t>
  </si>
  <si>
    <t>160719</t>
  </si>
  <si>
    <t>T.H. Harris Technical Institute</t>
  </si>
  <si>
    <t>160676</t>
  </si>
  <si>
    <t>West Jefferson Technical Institute</t>
  </si>
  <si>
    <t>159267</t>
  </si>
  <si>
    <t>Westside Technical Institute</t>
  </si>
  <si>
    <t>160870</t>
  </si>
  <si>
    <t>Young Memorial Technical Institute</t>
  </si>
  <si>
    <t>160913</t>
  </si>
  <si>
    <t>LSU Law Center</t>
  </si>
  <si>
    <t>LSU Medical Center</t>
  </si>
  <si>
    <t>159373</t>
  </si>
  <si>
    <t>MD</t>
  </si>
  <si>
    <t>University of Maryland College Park</t>
  </si>
  <si>
    <t>163286</t>
  </si>
  <si>
    <t>University of Maryland Baltimore County **</t>
  </si>
  <si>
    <t>163268</t>
  </si>
  <si>
    <t xml:space="preserve">Bowie State University </t>
  </si>
  <si>
    <t>162007</t>
  </si>
  <si>
    <t xml:space="preserve">Frostburg State University </t>
  </si>
  <si>
    <t>162584</t>
  </si>
  <si>
    <t>Morgan State University</t>
  </si>
  <si>
    <t>163453</t>
  </si>
  <si>
    <t xml:space="preserve">Salisbury State University </t>
  </si>
  <si>
    <t>163851</t>
  </si>
  <si>
    <t xml:space="preserve">Towson State University </t>
  </si>
  <si>
    <t>164076</t>
  </si>
  <si>
    <t>University of Baltimore</t>
  </si>
  <si>
    <t>161873</t>
  </si>
  <si>
    <t>Coppin State College</t>
  </si>
  <si>
    <t>162283</t>
  </si>
  <si>
    <t>University of Maryland Eastern Shore **</t>
  </si>
  <si>
    <t>163338</t>
  </si>
  <si>
    <t>Saint Mary's College of Maryland</t>
  </si>
  <si>
    <t>163912</t>
  </si>
  <si>
    <t xml:space="preserve">Allegany Community College </t>
  </si>
  <si>
    <t>^161688</t>
  </si>
  <si>
    <t xml:space="preserve">Anne Arundel Community College </t>
  </si>
  <si>
    <t>161767</t>
  </si>
  <si>
    <t>Baltimore City Community College</t>
  </si>
  <si>
    <t>161864</t>
  </si>
  <si>
    <t>Carroll Community College</t>
  </si>
  <si>
    <t>405872</t>
  </si>
  <si>
    <t xml:space="preserve">Catonsville Community College </t>
  </si>
  <si>
    <t>162098</t>
  </si>
  <si>
    <t xml:space="preserve">Cecil Community College </t>
  </si>
  <si>
    <t>162104</t>
  </si>
  <si>
    <t xml:space="preserve">Charles County Community College </t>
  </si>
  <si>
    <t>162122</t>
  </si>
  <si>
    <t xml:space="preserve">Chesapeake College </t>
  </si>
  <si>
    <t>162168</t>
  </si>
  <si>
    <t xml:space="preserve">Dundalk Community College </t>
  </si>
  <si>
    <t>162399</t>
  </si>
  <si>
    <t xml:space="preserve">Essex Community College </t>
  </si>
  <si>
    <t>162478</t>
  </si>
  <si>
    <t xml:space="preserve">Frederick Community College </t>
  </si>
  <si>
    <t>162557</t>
  </si>
  <si>
    <t xml:space="preserve">Garrett Community College </t>
  </si>
  <si>
    <t>162609</t>
  </si>
  <si>
    <t xml:space="preserve">Hagerstown Junior College </t>
  </si>
  <si>
    <t>162690</t>
  </si>
  <si>
    <t xml:space="preserve">Harford Community College </t>
  </si>
  <si>
    <t>162706</t>
  </si>
  <si>
    <t xml:space="preserve">Howard Community College </t>
  </si>
  <si>
    <t>162799</t>
  </si>
  <si>
    <t>Montgomery College Germantown Campus</t>
  </si>
  <si>
    <t>163444</t>
  </si>
  <si>
    <t>combined  w/Rockville &amp; Takoma Park</t>
  </si>
  <si>
    <t>Montgomery College Rockville Campus</t>
  </si>
  <si>
    <t>163426</t>
  </si>
  <si>
    <t>combined  w/Germantown &amp; Takoma Park</t>
  </si>
  <si>
    <t>Montgomery College Takoma Park Campus***</t>
  </si>
  <si>
    <t>163435</t>
  </si>
  <si>
    <t xml:space="preserve">Prince George's Community College </t>
  </si>
  <si>
    <t>163657</t>
  </si>
  <si>
    <t xml:space="preserve">Wor-Wic Community College </t>
  </si>
  <si>
    <t>164313</t>
  </si>
  <si>
    <t xml:space="preserve">University of Maryland at Baltimore </t>
  </si>
  <si>
    <t>163259</t>
  </si>
  <si>
    <t>Medical school</t>
  </si>
  <si>
    <t>University of Maryland University College</t>
  </si>
  <si>
    <t>163204</t>
  </si>
  <si>
    <t>MS</t>
  </si>
  <si>
    <t>Mississippi State University</t>
  </si>
  <si>
    <t>176080</t>
  </si>
  <si>
    <t>NA</t>
  </si>
  <si>
    <t>University of Mississippi</t>
  </si>
  <si>
    <t>176017</t>
  </si>
  <si>
    <t>University of Southern Mississippi</t>
  </si>
  <si>
    <t>176372</t>
  </si>
  <si>
    <t xml:space="preserve">Jackson State University </t>
  </si>
  <si>
    <t>175856</t>
  </si>
  <si>
    <t xml:space="preserve">Alcorn State University </t>
  </si>
  <si>
    <t>175342</t>
  </si>
  <si>
    <t xml:space="preserve">Delta State University </t>
  </si>
  <si>
    <t>175616</t>
  </si>
  <si>
    <t>Mississippi University for Women</t>
  </si>
  <si>
    <t>176035</t>
  </si>
  <si>
    <t>Mississippi Valley State University</t>
  </si>
  <si>
    <t>176044</t>
  </si>
  <si>
    <t xml:space="preserve">Coahoma Community College </t>
  </si>
  <si>
    <t>175519</t>
  </si>
  <si>
    <t xml:space="preserve">Copiah-Lincoln Community College </t>
  </si>
  <si>
    <t>175573</t>
  </si>
  <si>
    <t xml:space="preserve">East Central Community College </t>
  </si>
  <si>
    <t>175643</t>
  </si>
  <si>
    <t xml:space="preserve">East Mississippi Community College </t>
  </si>
  <si>
    <t>175652</t>
  </si>
  <si>
    <t xml:space="preserve">Hinds Community College </t>
  </si>
  <si>
    <t>175786</t>
  </si>
  <si>
    <t xml:space="preserve">Holmes Community College </t>
  </si>
  <si>
    <t>175810</t>
  </si>
  <si>
    <t xml:space="preserve">Itawamba Community College </t>
  </si>
  <si>
    <t>175829</t>
  </si>
  <si>
    <t xml:space="preserve">Jones County Junior College </t>
  </si>
  <si>
    <t>175883</t>
  </si>
  <si>
    <t xml:space="preserve">Meridian Community College </t>
  </si>
  <si>
    <t>175935</t>
  </si>
  <si>
    <t xml:space="preserve">Mississippi Delta Community College </t>
  </si>
  <si>
    <t>176008</t>
  </si>
  <si>
    <t xml:space="preserve">Mississippi Gulf Coast Community College </t>
  </si>
  <si>
    <t>176071</t>
  </si>
  <si>
    <t xml:space="preserve">Northeast Mississippi Community College </t>
  </si>
  <si>
    <t>176169</t>
  </si>
  <si>
    <t xml:space="preserve">Northwest Mississippi Community College </t>
  </si>
  <si>
    <t>176178</t>
  </si>
  <si>
    <t xml:space="preserve">Pearl River Community College </t>
  </si>
  <si>
    <t>176239</t>
  </si>
  <si>
    <t xml:space="preserve">Southwest Mississippi Community College  </t>
  </si>
  <si>
    <t>176354</t>
  </si>
  <si>
    <t>University of Mississippi Medical Center</t>
  </si>
  <si>
    <t>176026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</si>
  <si>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</si>
  <si>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</si>
  <si>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</si>
  <si>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</si>
  <si>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</si>
  <si>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University of North Carolina at Greensboro</t>
  </si>
  <si>
    <t>199148</t>
  </si>
  <si>
    <t xml:space="preserve">Appalachian State University </t>
  </si>
  <si>
    <t>197869</t>
  </si>
  <si>
    <t xml:space="preserve">East Carolina University </t>
  </si>
  <si>
    <t>198464</t>
  </si>
  <si>
    <t>North Carolina Agricultural &amp; Technical State University</t>
  </si>
  <si>
    <t>199102</t>
  </si>
  <si>
    <t xml:space="preserve">North Carolina Central University </t>
  </si>
  <si>
    <t>199157</t>
  </si>
  <si>
    <t>University of North Carolina at Charlotte</t>
  </si>
  <si>
    <t>199139</t>
  </si>
  <si>
    <t xml:space="preserve">Western Carolina University </t>
  </si>
  <si>
    <t>200004</t>
  </si>
  <si>
    <t>University of North Carolina at Wilmington</t>
  </si>
  <si>
    <t>199218</t>
  </si>
  <si>
    <t xml:space="preserve">Fayetteville State University </t>
  </si>
  <si>
    <t>198543</t>
  </si>
  <si>
    <t xml:space="preserve">Pembroke State University </t>
  </si>
  <si>
    <t>199281</t>
  </si>
  <si>
    <t xml:space="preserve">Elizabeth City State University </t>
  </si>
  <si>
    <t>198507</t>
  </si>
  <si>
    <t>University of North Carolina at Asheville</t>
  </si>
  <si>
    <t>199111</t>
  </si>
  <si>
    <t xml:space="preserve">Winston-Salem State University </t>
  </si>
  <si>
    <t>199999</t>
  </si>
  <si>
    <t>Alamance Community College</t>
  </si>
  <si>
    <t>199786</t>
  </si>
  <si>
    <t>Anson Community College</t>
  </si>
  <si>
    <t>197850</t>
  </si>
  <si>
    <t>Asheville-Buncombe Technical Community College</t>
  </si>
  <si>
    <t>197887</t>
  </si>
  <si>
    <t xml:space="preserve">Beaufort County Community College </t>
  </si>
  <si>
    <t>197996</t>
  </si>
  <si>
    <t>Bladen Community College</t>
  </si>
  <si>
    <t>198011</t>
  </si>
  <si>
    <t>Blue Ridge Community College</t>
  </si>
  <si>
    <t>198039</t>
  </si>
  <si>
    <t>Brunswick Community College</t>
  </si>
  <si>
    <t>198084</t>
  </si>
  <si>
    <t>Caldwell Community College  &amp; Technical Institute</t>
  </si>
  <si>
    <t>198118</t>
  </si>
  <si>
    <t>Cape Fear Community College</t>
  </si>
  <si>
    <t>198154</t>
  </si>
  <si>
    <t>Carteret Community College</t>
  </si>
  <si>
    <t>198206</t>
  </si>
  <si>
    <t>Catawba Valley Community College</t>
  </si>
  <si>
    <t>198233</t>
  </si>
  <si>
    <t>Central Carolina Commuity College</t>
  </si>
  <si>
    <t>198251</t>
  </si>
  <si>
    <t xml:space="preserve">Central Piedmont Community College </t>
  </si>
  <si>
    <t>198260</t>
  </si>
  <si>
    <t>Cleveland Community College</t>
  </si>
  <si>
    <t>198321</t>
  </si>
  <si>
    <t xml:space="preserve">Coastal Carolina Community College </t>
  </si>
  <si>
    <t>198330</t>
  </si>
  <si>
    <t>College of the Albemarle</t>
  </si>
  <si>
    <t>197814</t>
  </si>
  <si>
    <t xml:space="preserve">Craven Community College </t>
  </si>
  <si>
    <t>198367</t>
  </si>
  <si>
    <t xml:space="preserve">Davidson County Community College </t>
  </si>
  <si>
    <t>198376</t>
  </si>
  <si>
    <t>Durham Technical Community College</t>
  </si>
  <si>
    <t>198455</t>
  </si>
  <si>
    <t>Edgecombe Community College</t>
  </si>
  <si>
    <t>198491</t>
  </si>
  <si>
    <t>Fayetteville Technical Community College</t>
  </si>
  <si>
    <t>198534</t>
  </si>
  <si>
    <t>Forsyth Technical Community College</t>
  </si>
  <si>
    <t>198552</t>
  </si>
  <si>
    <t xml:space="preserve">Gaston College </t>
  </si>
  <si>
    <t>198570</t>
  </si>
  <si>
    <t>Guilford Technical Community College</t>
  </si>
  <si>
    <t>198622</t>
  </si>
  <si>
    <t xml:space="preserve">Halifax Community College </t>
  </si>
  <si>
    <t>198640</t>
  </si>
  <si>
    <t>Haywood Community College</t>
  </si>
  <si>
    <t>198668</t>
  </si>
  <si>
    <t xml:space="preserve">Isothermal Community College </t>
  </si>
  <si>
    <t>198729</t>
  </si>
  <si>
    <t>James Sprunt Community College</t>
  </si>
  <si>
    <t>198710</t>
  </si>
  <si>
    <t>Johnston Community College</t>
  </si>
  <si>
    <t>198774</t>
  </si>
  <si>
    <t xml:space="preserve">Lenoir Community College </t>
  </si>
  <si>
    <t>198817</t>
  </si>
  <si>
    <t xml:space="preserve">Martin Community College </t>
  </si>
  <si>
    <t>198905</t>
  </si>
  <si>
    <t>Mayland Community College</t>
  </si>
  <si>
    <t>198914</t>
  </si>
  <si>
    <t>McDowell Technical Community College</t>
  </si>
  <si>
    <t>198923</t>
  </si>
  <si>
    <t xml:space="preserve">Mitchell Community College </t>
  </si>
  <si>
    <t>198987</t>
  </si>
  <si>
    <t>Montgomery Community College</t>
  </si>
  <si>
    <t>199023</t>
  </si>
  <si>
    <t>Nash Community College</t>
  </si>
  <si>
    <t>199087</t>
  </si>
  <si>
    <t>Pamlico Community College</t>
  </si>
  <si>
    <t>199263</t>
  </si>
  <si>
    <t>Piedmont Community College</t>
  </si>
  <si>
    <t>199324</t>
  </si>
  <si>
    <t>Pitt Community College</t>
  </si>
  <si>
    <t>199333</t>
  </si>
  <si>
    <t>Randolph Community College</t>
  </si>
  <si>
    <t>199421</t>
  </si>
  <si>
    <t>Richmond Community College</t>
  </si>
  <si>
    <t>199449</t>
  </si>
  <si>
    <t>Roanoke-Chowan Community College</t>
  </si>
  <si>
    <t>199467</t>
  </si>
  <si>
    <t>Robeson Community College</t>
  </si>
  <si>
    <t>199476</t>
  </si>
  <si>
    <t xml:space="preserve">Rockingham Community College </t>
  </si>
  <si>
    <t>199485</t>
  </si>
  <si>
    <t>Rowan-Cabarrus Community College</t>
  </si>
  <si>
    <t>199494</t>
  </si>
  <si>
    <t>Sampson Community College</t>
  </si>
  <si>
    <t>199625</t>
  </si>
  <si>
    <t xml:space="preserve">Sandhills Community College </t>
  </si>
  <si>
    <t>199634</t>
  </si>
  <si>
    <t xml:space="preserve">Southeastern Community College </t>
  </si>
  <si>
    <t>199722</t>
  </si>
  <si>
    <t xml:space="preserve">Southwestern Community College </t>
  </si>
  <si>
    <t>199731</t>
  </si>
  <si>
    <t>Stanly Community College</t>
  </si>
  <si>
    <t>199740</t>
  </si>
  <si>
    <t xml:space="preserve">Surry Community College </t>
  </si>
  <si>
    <t>199768</t>
  </si>
  <si>
    <t xml:space="preserve">Tri-County Community College </t>
  </si>
  <si>
    <t>199795</t>
  </si>
  <si>
    <t xml:space="preserve">Vance-Granville Community College </t>
  </si>
  <si>
    <t>199838</t>
  </si>
  <si>
    <t>Wake Technical Community College</t>
  </si>
  <si>
    <t>199856</t>
  </si>
  <si>
    <t>Wayne Community College</t>
  </si>
  <si>
    <t>199892</t>
  </si>
  <si>
    <t xml:space="preserve">Western Piedmont Community College </t>
  </si>
  <si>
    <t>199908</t>
  </si>
  <si>
    <t xml:space="preserve">Wilkes Community College </t>
  </si>
  <si>
    <t>199926</t>
  </si>
  <si>
    <t>Wilson Technical Community College</t>
  </si>
  <si>
    <t>199953</t>
  </si>
  <si>
    <t>NC School of the Arts</t>
  </si>
  <si>
    <t>199184</t>
  </si>
  <si>
    <t>OK</t>
  </si>
  <si>
    <t>Oklahoma State University Main Campus</t>
  </si>
  <si>
    <t>207388</t>
  </si>
  <si>
    <t>University of Oklahoma Norman Campus</t>
  </si>
  <si>
    <t>207500</t>
  </si>
  <si>
    <t>University of Central Oklahoma</t>
  </si>
  <si>
    <t>206941</t>
  </si>
  <si>
    <t>Northeastern State University</t>
  </si>
  <si>
    <t>207263</t>
  </si>
  <si>
    <t xml:space="preserve">Southwestern Oklahoma State University </t>
  </si>
  <si>
    <t>207865</t>
  </si>
  <si>
    <t>Cameron University  **</t>
  </si>
  <si>
    <t>206914</t>
  </si>
  <si>
    <t xml:space="preserve">East Central University </t>
  </si>
  <si>
    <t>207041</t>
  </si>
  <si>
    <t xml:space="preserve">Northwestern State University </t>
  </si>
  <si>
    <t>207306</t>
  </si>
  <si>
    <t xml:space="preserve">Southeastern Oklahoma State University </t>
  </si>
  <si>
    <t>207847</t>
  </si>
  <si>
    <t>Langston University</t>
  </si>
  <si>
    <t>207209</t>
  </si>
  <si>
    <t xml:space="preserve">Oklahoma Panhandle State University </t>
  </si>
  <si>
    <t>207351</t>
  </si>
  <si>
    <t>University of Science and Arts of Oklahoma</t>
  </si>
  <si>
    <t>207722</t>
  </si>
  <si>
    <t>Carl Albert State College</t>
  </si>
  <si>
    <t>206923</t>
  </si>
  <si>
    <t xml:space="preserve">Connors State College </t>
  </si>
  <si>
    <t>206996</t>
  </si>
  <si>
    <t xml:space="preserve">Eastern Oklahoma State College </t>
  </si>
  <si>
    <t>207050</t>
  </si>
  <si>
    <t xml:space="preserve">Murray State College </t>
  </si>
  <si>
    <t>207236</t>
  </si>
  <si>
    <t xml:space="preserve">Northeastern Oklahoma Agricultural &amp; Mechanical College </t>
  </si>
  <si>
    <t>207290</t>
  </si>
  <si>
    <t xml:space="preserve">Northern Oklahoma College </t>
  </si>
  <si>
    <t>207281</t>
  </si>
  <si>
    <t xml:space="preserve">Oklahoma City Community College </t>
  </si>
  <si>
    <t>207449</t>
  </si>
  <si>
    <t xml:space="preserve">Oklahoma State University-Oklahoma City </t>
  </si>
  <si>
    <t>207397</t>
  </si>
  <si>
    <t xml:space="preserve">Oklahoma State University-Okmulgee </t>
  </si>
  <si>
    <t>207564</t>
  </si>
  <si>
    <t>Redlands Community College</t>
  </si>
  <si>
    <t>207069</t>
  </si>
  <si>
    <t xml:space="preserve">Rogers State College </t>
  </si>
  <si>
    <t>207661</t>
  </si>
  <si>
    <t xml:space="preserve">Rose State College </t>
  </si>
  <si>
    <t>207670</t>
  </si>
  <si>
    <t xml:space="preserve">Seminole Junior College </t>
  </si>
  <si>
    <t>207740</t>
  </si>
  <si>
    <t xml:space="preserve">Tulsa Junior College </t>
  </si>
  <si>
    <t>207935</t>
  </si>
  <si>
    <t xml:space="preserve">Western Oklahoma State College </t>
  </si>
  <si>
    <t>207035</t>
  </si>
  <si>
    <t>Oklahoma College of Osteopathic Medicine and Surgery</t>
  </si>
  <si>
    <t>207315</t>
  </si>
  <si>
    <t>Oklahoma State University-Veterinary Medicine</t>
  </si>
  <si>
    <t>University of Oklahoma Health Sciences Center</t>
  </si>
  <si>
    <t>207342</t>
  </si>
  <si>
    <t>University of Oklahoma-Law Center</t>
  </si>
  <si>
    <t>SC</t>
  </si>
  <si>
    <t>University of South Carolina-Columbia</t>
  </si>
  <si>
    <t>218663</t>
  </si>
  <si>
    <t>Clemson University</t>
  </si>
  <si>
    <t>217882</t>
  </si>
  <si>
    <t xml:space="preserve">Winthrop University </t>
  </si>
  <si>
    <t>218964</t>
  </si>
  <si>
    <t>College of Charleston **</t>
  </si>
  <si>
    <t>217819</t>
  </si>
  <si>
    <t xml:space="preserve">Francis Marion University </t>
  </si>
  <si>
    <t>218061</t>
  </si>
  <si>
    <t xml:space="preserve">South Carolina State University </t>
  </si>
  <si>
    <t>218733</t>
  </si>
  <si>
    <t>The Citadel, the Military College of South Carolina</t>
  </si>
  <si>
    <t>217864</t>
  </si>
  <si>
    <t>Coastal Carolina University</t>
  </si>
  <si>
    <t>218229</t>
  </si>
  <si>
    <t xml:space="preserve">Lander University </t>
  </si>
  <si>
    <t>218645</t>
  </si>
  <si>
    <t>University of South Carolina-Aiken</t>
  </si>
  <si>
    <t>218724</t>
  </si>
  <si>
    <t>University of South Carolina-Spartanburg</t>
  </si>
  <si>
    <t>218742</t>
  </si>
  <si>
    <t xml:space="preserve">Aiken Technical College </t>
  </si>
  <si>
    <t>217615</t>
  </si>
  <si>
    <t xml:space="preserve">Central Carolina Technical College </t>
  </si>
  <si>
    <t>218858</t>
  </si>
  <si>
    <t xml:space="preserve">Chesterfield-Marlboro Technical College </t>
  </si>
  <si>
    <t>217837</t>
  </si>
  <si>
    <t xml:space="preserve">Denmark Technical College </t>
  </si>
  <si>
    <t>217989</t>
  </si>
  <si>
    <t xml:space="preserve">Florence-Darlington Technical College </t>
  </si>
  <si>
    <t>218025</t>
  </si>
  <si>
    <t xml:space="preserve">Greenville Technical College </t>
  </si>
  <si>
    <t>218113</t>
  </si>
  <si>
    <t xml:space="preserve">Horry-Georgetown Technical College </t>
  </si>
  <si>
    <t>218140</t>
  </si>
  <si>
    <t xml:space="preserve">Midlands Technical College </t>
  </si>
  <si>
    <t>218353</t>
  </si>
  <si>
    <t xml:space="preserve">Orangeburg-Calhoun Technical College </t>
  </si>
  <si>
    <t>218487</t>
  </si>
  <si>
    <t xml:space="preserve">Piedmont Technical College </t>
  </si>
  <si>
    <t>218520</t>
  </si>
  <si>
    <t xml:space="preserve">Spartanburg Technical College </t>
  </si>
  <si>
    <t>218830</t>
  </si>
  <si>
    <t>Technical College of the Low Country</t>
  </si>
  <si>
    <t>217712</t>
  </si>
  <si>
    <t xml:space="preserve">Tri-County Technical College </t>
  </si>
  <si>
    <t>218885</t>
  </si>
  <si>
    <t xml:space="preserve">Trident Technical College </t>
  </si>
  <si>
    <t>218894</t>
  </si>
  <si>
    <t>University of South Carolina-Beaufort</t>
  </si>
  <si>
    <t>218654</t>
  </si>
  <si>
    <t>University of South Carolina-Lancaster</t>
  </si>
  <si>
    <t>218672</t>
  </si>
  <si>
    <t>University of South Carolina-Salkehatchie</t>
  </si>
  <si>
    <t>218681</t>
  </si>
  <si>
    <t>University of South Carolina-Sumter</t>
  </si>
  <si>
    <t>218690</t>
  </si>
  <si>
    <t>University of South Carolina-Union</t>
  </si>
  <si>
    <t>218706</t>
  </si>
  <si>
    <t xml:space="preserve">Willamsburg Technical College </t>
  </si>
  <si>
    <t>218955</t>
  </si>
  <si>
    <t xml:space="preserve">York Technical College </t>
  </si>
  <si>
    <t>218991</t>
  </si>
  <si>
    <t>Medical University of South Carolina</t>
  </si>
  <si>
    <t>218335</t>
  </si>
  <si>
    <t>TN</t>
  </si>
  <si>
    <t>University of Tennessee, Knoxville</t>
  </si>
  <si>
    <t>221759</t>
  </si>
  <si>
    <t>University of Memphis</t>
  </si>
  <si>
    <t>220862</t>
  </si>
  <si>
    <t xml:space="preserve">East Tennessee State University </t>
  </si>
  <si>
    <t>220075</t>
  </si>
  <si>
    <t xml:space="preserve">Middle Tennessee State University </t>
  </si>
  <si>
    <t>220978</t>
  </si>
  <si>
    <t xml:space="preserve">Tennessee State University </t>
  </si>
  <si>
    <t>221838</t>
  </si>
  <si>
    <t xml:space="preserve">Austin Peay State University </t>
  </si>
  <si>
    <t>219602</t>
  </si>
  <si>
    <t xml:space="preserve">Tennessee Technological University </t>
  </si>
  <si>
    <t>221847</t>
  </si>
  <si>
    <t>University of Tennessee at Chattanooga</t>
  </si>
  <si>
    <t>221740</t>
  </si>
  <si>
    <t>University of Tennessee at Martin</t>
  </si>
  <si>
    <t>221768</t>
  </si>
  <si>
    <t>Chattanooga State Technical Community College</t>
  </si>
  <si>
    <t>219824</t>
  </si>
  <si>
    <t>Cleveland State Community College</t>
  </si>
  <si>
    <t>219879</t>
  </si>
  <si>
    <t>Columbia State Community College</t>
  </si>
  <si>
    <t>219888</t>
  </si>
  <si>
    <t>Dyersburg State Community College</t>
  </si>
  <si>
    <t>220057</t>
  </si>
  <si>
    <t>Jackson State Community College</t>
  </si>
  <si>
    <t>220400</t>
  </si>
  <si>
    <t>Motlow State Community College</t>
  </si>
  <si>
    <t>221096</t>
  </si>
  <si>
    <t>Nashville State Technical Institute</t>
  </si>
  <si>
    <t>221184</t>
  </si>
  <si>
    <t>Northeast State Technical Community College</t>
  </si>
  <si>
    <t>221908</t>
  </si>
  <si>
    <t>Pellissippi State Technical Community College</t>
  </si>
  <si>
    <t>221642</t>
  </si>
  <si>
    <t>Roane State Community College</t>
  </si>
  <si>
    <t>221397</t>
  </si>
  <si>
    <t>Shelby State Community College</t>
  </si>
  <si>
    <t>221485</t>
  </si>
  <si>
    <t>State Technical Institute at Memphis</t>
  </si>
  <si>
    <t>221652</t>
  </si>
  <si>
    <t>Volunteer State Community College</t>
  </si>
  <si>
    <t>222053</t>
  </si>
  <si>
    <t>Walters State Community College</t>
  </si>
  <si>
    <t>222062</t>
  </si>
  <si>
    <t>TTC at Athens</t>
  </si>
  <si>
    <t>219596</t>
  </si>
  <si>
    <t>TTC at Chattanooga</t>
  </si>
  <si>
    <t>TTC at Covington</t>
  </si>
  <si>
    <t>219921</t>
  </si>
  <si>
    <t>TTC at Crossville</t>
  </si>
  <si>
    <t>221591</t>
  </si>
  <si>
    <t>TTC at Crump (formerly Savannah)</t>
  </si>
  <si>
    <t>^221430</t>
  </si>
  <si>
    <t>TTC at Dickson</t>
  </si>
  <si>
    <t>219994</t>
  </si>
  <si>
    <t>TTC at Elizabethton</t>
  </si>
  <si>
    <t>220127</t>
  </si>
  <si>
    <t>TTC at Harriman</t>
  </si>
  <si>
    <t>220251</t>
  </si>
  <si>
    <t>TTC at Hartsville</t>
  </si>
  <si>
    <t>220279</t>
  </si>
  <si>
    <t>TTC at Holenwald</t>
  </si>
  <si>
    <t>220321</t>
  </si>
  <si>
    <t>TTC at Jacksboro</t>
  </si>
  <si>
    <t>220394</t>
  </si>
  <si>
    <t>TTC at Jackson</t>
  </si>
  <si>
    <t>221616</t>
  </si>
  <si>
    <t>TTC at Knoxville</t>
  </si>
  <si>
    <t>221625</t>
  </si>
  <si>
    <t>TTC at Livingston</t>
  </si>
  <si>
    <t>220640</t>
  </si>
  <si>
    <t>TTC at McKenzie</t>
  </si>
  <si>
    <t>220756</t>
  </si>
  <si>
    <t>TTC at McMinnville</t>
  </si>
  <si>
    <t>221607</t>
  </si>
  <si>
    <t>TTC at Memphis</t>
  </si>
  <si>
    <t>220853</t>
  </si>
  <si>
    <t>TTC at Morristown</t>
  </si>
  <si>
    <t>221050</t>
  </si>
  <si>
    <t>TTC at Murphressboro</t>
  </si>
  <si>
    <t>221102</t>
  </si>
  <si>
    <t>TTC at Nashville</t>
  </si>
  <si>
    <t>248925</t>
  </si>
  <si>
    <t>TTC at Newbern</t>
  </si>
  <si>
    <t>221236</t>
  </si>
  <si>
    <t>TTC at Oneida</t>
  </si>
  <si>
    <t>221582</t>
  </si>
  <si>
    <t>TTC at Paris</t>
  </si>
  <si>
    <t>221281</t>
  </si>
  <si>
    <t>TTC at Pulaski</t>
  </si>
  <si>
    <t>221333</t>
  </si>
  <si>
    <t>TTC at Ripley</t>
  </si>
  <si>
    <t>221388</t>
  </si>
  <si>
    <t>TTC at Shelbyville</t>
  </si>
  <si>
    <t>221494</t>
  </si>
  <si>
    <t>TTC at Whiteville</t>
  </si>
  <si>
    <t>221634</t>
  </si>
  <si>
    <t>University of Tennessee at Memphis</t>
  </si>
  <si>
    <t>221704</t>
  </si>
  <si>
    <t>University of Tennessee Space Institute</t>
  </si>
  <si>
    <t>University of Tennessee Veterinary Medicine</t>
  </si>
  <si>
    <t>TX</t>
  </si>
  <si>
    <t xml:space="preserve">Texas A &amp; M Univ </t>
  </si>
  <si>
    <t>228723</t>
  </si>
  <si>
    <t xml:space="preserve">Texas Tech Univ </t>
  </si>
  <si>
    <t>229115</t>
  </si>
  <si>
    <t>Texas Woman's Univ</t>
  </si>
  <si>
    <t>229179</t>
  </si>
  <si>
    <t>Univ of Houston</t>
  </si>
  <si>
    <t>225511</t>
  </si>
  <si>
    <t>Univ of North Texas</t>
  </si>
  <si>
    <t>227216</t>
  </si>
  <si>
    <t>Univ of Texas at Austin</t>
  </si>
  <si>
    <t>228778</t>
  </si>
  <si>
    <t>Univ of Texas at Arlington</t>
  </si>
  <si>
    <t>228769</t>
  </si>
  <si>
    <t>Univ of Texas at Dallas</t>
  </si>
  <si>
    <t>228787</t>
  </si>
  <si>
    <t xml:space="preserve">East Texas State Univ </t>
  </si>
  <si>
    <t>224554</t>
  </si>
  <si>
    <t>Lamar Univ-Beaumont</t>
  </si>
  <si>
    <t>226091</t>
  </si>
  <si>
    <t>Prairie View A &amp; M Univ</t>
  </si>
  <si>
    <t>227526</t>
  </si>
  <si>
    <t xml:space="preserve">Sam Houston State Univ </t>
  </si>
  <si>
    <t>227881</t>
  </si>
  <si>
    <t xml:space="preserve">Southwest Texas State Univ </t>
  </si>
  <si>
    <t>228459</t>
  </si>
  <si>
    <t>Stephen F. Austin State Univ</t>
  </si>
  <si>
    <t>228431</t>
  </si>
  <si>
    <t xml:space="preserve">Sul Ross State Univ </t>
  </si>
  <si>
    <t>228501</t>
  </si>
  <si>
    <t>Texas A &amp; M Univ-Corpus Christi **</t>
  </si>
  <si>
    <t>224147</t>
  </si>
  <si>
    <t>Texas A &amp; M Univ-Kingsville</t>
  </si>
  <si>
    <t>228705</t>
  </si>
  <si>
    <t xml:space="preserve">Texas Southern Univ </t>
  </si>
  <si>
    <t>229063</t>
  </si>
  <si>
    <t xml:space="preserve">Univ of Houston-Clear Lake </t>
  </si>
  <si>
    <t>225414</t>
  </si>
  <si>
    <t>Univ of Texas at El Paso</t>
  </si>
  <si>
    <t>228796</t>
  </si>
  <si>
    <t>Univ of Texas at San Antonio</t>
  </si>
  <si>
    <t>229027</t>
  </si>
  <si>
    <t>Univ of Texas at Tyler</t>
  </si>
  <si>
    <t>228802</t>
  </si>
  <si>
    <t>West Texas A &amp; M Univ</t>
  </si>
  <si>
    <t>229814</t>
  </si>
  <si>
    <t xml:space="preserve">Angelo State Univ </t>
  </si>
  <si>
    <t>222831</t>
  </si>
  <si>
    <t xml:space="preserve">Midwestern State Univ  </t>
  </si>
  <si>
    <t>226833</t>
  </si>
  <si>
    <t xml:space="preserve">Tarleton State Univ  </t>
  </si>
  <si>
    <t>228529</t>
  </si>
  <si>
    <t>Texas A &amp; M International Univ</t>
  </si>
  <si>
    <t>226152</t>
  </si>
  <si>
    <t>Univ of Texas of the Permian Basin</t>
  </si>
  <si>
    <t>229018</t>
  </si>
  <si>
    <t>Univ of Texas-Pan American</t>
  </si>
  <si>
    <t>227368</t>
  </si>
  <si>
    <t>East Texas State Univ at Texarkana</t>
  </si>
  <si>
    <t>224545</t>
  </si>
  <si>
    <t xml:space="preserve">Sul Ross State Univ/Uvalde Center </t>
  </si>
  <si>
    <t>Univ of Houston-Victoria</t>
  </si>
  <si>
    <t>225502</t>
  </si>
  <si>
    <t>Univ of Texas at Brownsville</t>
  </si>
  <si>
    <t>227377</t>
  </si>
  <si>
    <t>Texas A &amp; M Univ at Galveston</t>
  </si>
  <si>
    <t>228714</t>
  </si>
  <si>
    <t>Univ of Houston-Downtown</t>
  </si>
  <si>
    <t>225432</t>
  </si>
  <si>
    <t xml:space="preserve">Alvin Community College </t>
  </si>
  <si>
    <t>222567</t>
  </si>
  <si>
    <t xml:space="preserve">Amarillo College </t>
  </si>
  <si>
    <t>222576</t>
  </si>
  <si>
    <t xml:space="preserve">Angelina College </t>
  </si>
  <si>
    <t>222822</t>
  </si>
  <si>
    <t xml:space="preserve">Austin Community College </t>
  </si>
  <si>
    <t>222992</t>
  </si>
  <si>
    <t xml:space="preserve">Bee County College </t>
  </si>
  <si>
    <t>223320</t>
  </si>
  <si>
    <t xml:space="preserve">Blinn College </t>
  </si>
  <si>
    <t>223427</t>
  </si>
  <si>
    <t xml:space="preserve">Brazosport College </t>
  </si>
  <si>
    <t>223506</t>
  </si>
  <si>
    <t>Brookhaven College  (DCCCD)</t>
  </si>
  <si>
    <t>223524</t>
  </si>
  <si>
    <t>Cedar Valley College  (DCCCD)</t>
  </si>
  <si>
    <t>223773</t>
  </si>
  <si>
    <t xml:space="preserve">Central Texas College </t>
  </si>
  <si>
    <t>223816</t>
  </si>
  <si>
    <t xml:space="preserve">Cisco Junior College </t>
  </si>
  <si>
    <t>223898</t>
  </si>
  <si>
    <t xml:space="preserve">Clarendon College </t>
  </si>
  <si>
    <t>223922</t>
  </si>
  <si>
    <t>College of the Mainland</t>
  </si>
  <si>
    <t>226408</t>
  </si>
  <si>
    <t>Collin County Community College</t>
  </si>
  <si>
    <t>247834</t>
  </si>
  <si>
    <t xml:space="preserve">Del Mar College </t>
  </si>
  <si>
    <t>224350</t>
  </si>
  <si>
    <t>Eastfield College  (DCCCD)</t>
  </si>
  <si>
    <t>224572</t>
  </si>
  <si>
    <t>El Centro College  (DCCCD)</t>
  </si>
  <si>
    <t>224615</t>
  </si>
  <si>
    <t xml:space="preserve">El Paso County Community College </t>
  </si>
  <si>
    <t>224642</t>
  </si>
  <si>
    <t xml:space="preserve">Frank Phillips College </t>
  </si>
  <si>
    <t>224891</t>
  </si>
  <si>
    <t xml:space="preserve">Galveston College </t>
  </si>
  <si>
    <t>224961</t>
  </si>
  <si>
    <t xml:space="preserve">Grayson County College </t>
  </si>
  <si>
    <t>225070</t>
  </si>
  <si>
    <t>Hill College</t>
  </si>
  <si>
    <t>225371</t>
  </si>
  <si>
    <t>Houston Community College</t>
  </si>
  <si>
    <t>225423</t>
  </si>
  <si>
    <t>Howard College</t>
  </si>
  <si>
    <t>225520</t>
  </si>
  <si>
    <t xml:space="preserve">Kilgore College </t>
  </si>
  <si>
    <t>226019</t>
  </si>
  <si>
    <t>Lamar Institute of Technology</t>
  </si>
  <si>
    <t>Lamar Univ-Orange Campus</t>
  </si>
  <si>
    <t>226107</t>
  </si>
  <si>
    <t>Lamar Univ-Port Arthur Campus</t>
  </si>
  <si>
    <t>226116</t>
  </si>
  <si>
    <t xml:space="preserve">Laredo Community College </t>
  </si>
  <si>
    <t>226134</t>
  </si>
  <si>
    <t xml:space="preserve">Lee College </t>
  </si>
  <si>
    <t>226204</t>
  </si>
  <si>
    <t xml:space="preserve">McLennan Community College </t>
  </si>
  <si>
    <t>226578</t>
  </si>
  <si>
    <t xml:space="preserve">Midland College </t>
  </si>
  <si>
    <t>226806</t>
  </si>
  <si>
    <t>Mountain View College  (DCCCD)</t>
  </si>
  <si>
    <t>226930</t>
  </si>
  <si>
    <t xml:space="preserve">Navarro College </t>
  </si>
  <si>
    <t>227146</t>
  </si>
  <si>
    <t>North Central Texas College</t>
  </si>
  <si>
    <t>224110</t>
  </si>
  <si>
    <t>North Harris Montgomery Community College District</t>
  </si>
  <si>
    <t>227182</t>
  </si>
  <si>
    <t>North Lake College  (DCCCD)</t>
  </si>
  <si>
    <t>227191</t>
  </si>
  <si>
    <t xml:space="preserve">Northeast Texas Community College </t>
  </si>
  <si>
    <t>227225</t>
  </si>
  <si>
    <t xml:space="preserve">Odessa College </t>
  </si>
  <si>
    <t>227304</t>
  </si>
  <si>
    <t>Palo Alto College  (ACCD)</t>
  </si>
  <si>
    <t>246354</t>
  </si>
  <si>
    <t>Panola College</t>
  </si>
  <si>
    <t>227386</t>
  </si>
  <si>
    <t>Paris Junior College</t>
  </si>
  <si>
    <t>227401</t>
  </si>
  <si>
    <t xml:space="preserve">Ranger College </t>
  </si>
  <si>
    <t>227687</t>
  </si>
  <si>
    <t>Richland College  (DCCCD)</t>
  </si>
  <si>
    <t>227766</t>
  </si>
  <si>
    <t>San Antonio College</t>
  </si>
  <si>
    <t>227924</t>
  </si>
  <si>
    <t>San Jacinto College (SJCDS)</t>
  </si>
  <si>
    <t>227979</t>
  </si>
  <si>
    <t xml:space="preserve">South Plains College </t>
  </si>
  <si>
    <t>228158</t>
  </si>
  <si>
    <t xml:space="preserve">South Texas Community College (HCJCD) </t>
  </si>
  <si>
    <t>409315</t>
  </si>
  <si>
    <t xml:space="preserve">Southwest Texas Junior College </t>
  </si>
  <si>
    <t>228316</t>
  </si>
  <si>
    <t>St. Philip's College  (ACCD)</t>
  </si>
  <si>
    <t>227854</t>
  </si>
  <si>
    <t>Tarrant Co. Junior College (TCJCD)</t>
  </si>
  <si>
    <t>228547</t>
  </si>
  <si>
    <t xml:space="preserve">Temple Junior College </t>
  </si>
  <si>
    <t>228608</t>
  </si>
  <si>
    <t xml:space="preserve">Texarkana College </t>
  </si>
  <si>
    <t>228699</t>
  </si>
  <si>
    <t xml:space="preserve">Texas Southmost College </t>
  </si>
  <si>
    <t>229072</t>
  </si>
  <si>
    <t xml:space="preserve">Texas State Technical College-Amarillo </t>
  </si>
  <si>
    <t>228662</t>
  </si>
  <si>
    <t xml:space="preserve">Texas State Technical College-Harlingen </t>
  </si>
  <si>
    <t>229319</t>
  </si>
  <si>
    <t xml:space="preserve">Texas State Technical College-Sweetwater </t>
  </si>
  <si>
    <t>229328</t>
  </si>
  <si>
    <t>Texas State Technical College-Waco/Marshall</t>
  </si>
  <si>
    <t>228680</t>
  </si>
  <si>
    <t>Trinity Valley Community College</t>
  </si>
  <si>
    <t>225308</t>
  </si>
  <si>
    <t xml:space="preserve">Tyler Junior College </t>
  </si>
  <si>
    <t>229355</t>
  </si>
  <si>
    <t xml:space="preserve">Vernon Regional Junior College </t>
  </si>
  <si>
    <t>229504</t>
  </si>
  <si>
    <t xml:space="preserve">Victoria College </t>
  </si>
  <si>
    <t>229540</t>
  </si>
  <si>
    <t xml:space="preserve">Weatherford College </t>
  </si>
  <si>
    <t>229799</t>
  </si>
  <si>
    <t xml:space="preserve">Western Texas College </t>
  </si>
  <si>
    <t>229832</t>
  </si>
  <si>
    <t xml:space="preserve">Wharton County Junior College </t>
  </si>
  <si>
    <t>229841</t>
  </si>
  <si>
    <t>Texas Tech Univ Health Sciences Center</t>
  </si>
  <si>
    <t>229337</t>
  </si>
  <si>
    <t>Univ of Texas Health Science Center at Houston</t>
  </si>
  <si>
    <t>229300</t>
  </si>
  <si>
    <t>Univ of Texas Health Science Center at San Antonio</t>
  </si>
  <si>
    <t>228644</t>
  </si>
  <si>
    <t>Univ of Texas Medical Branch at Galveston</t>
  </si>
  <si>
    <t>228653</t>
  </si>
  <si>
    <t>Univ of Texas Southwestern Medical Center at Dallas</t>
  </si>
  <si>
    <t>228635</t>
  </si>
  <si>
    <t>Univ. of North Texas Health Science Center at Fort Worth</t>
  </si>
  <si>
    <t>228909</t>
  </si>
  <si>
    <t>VA</t>
  </si>
  <si>
    <t>University of Virginia</t>
  </si>
  <si>
    <t>234076</t>
  </si>
  <si>
    <t xml:space="preserve">Virginia Polytechnic Institute &amp; State University </t>
  </si>
  <si>
    <t>233921</t>
  </si>
  <si>
    <t>College of William &amp; Mary</t>
  </si>
  <si>
    <t>231624</t>
  </si>
  <si>
    <t xml:space="preserve">George Mason University </t>
  </si>
  <si>
    <t>232186</t>
  </si>
  <si>
    <t xml:space="preserve">Old Dominion University </t>
  </si>
  <si>
    <t>232982</t>
  </si>
  <si>
    <t xml:space="preserve">Virginia Commonwealth University  </t>
  </si>
  <si>
    <t>234030</t>
  </si>
  <si>
    <t xml:space="preserve">James Madison University  </t>
  </si>
  <si>
    <t>232423</t>
  </si>
  <si>
    <t xml:space="preserve">Norfolk State University </t>
  </si>
  <si>
    <t>232937</t>
  </si>
  <si>
    <t>Radford University</t>
  </si>
  <si>
    <t>233277</t>
  </si>
  <si>
    <t xml:space="preserve">Virginia State University </t>
  </si>
  <si>
    <t>234155</t>
  </si>
  <si>
    <t xml:space="preserve">Longwood College </t>
  </si>
  <si>
    <t>232566</t>
  </si>
  <si>
    <t>Christopher Newport University</t>
  </si>
  <si>
    <t>231712</t>
  </si>
  <si>
    <t>Clinch Valley College of the University of Virginia</t>
  </si>
  <si>
    <t>233897</t>
  </si>
  <si>
    <t xml:space="preserve">Mary Washington College </t>
  </si>
  <si>
    <t>232681</t>
  </si>
  <si>
    <t>All CC's</t>
  </si>
  <si>
    <t>^N/A</t>
  </si>
  <si>
    <t xml:space="preserve">Richard Bland College </t>
  </si>
  <si>
    <t>233338</t>
  </si>
  <si>
    <t>Virginia Military Institute</t>
  </si>
  <si>
    <t>234085</t>
  </si>
  <si>
    <t>WV</t>
  </si>
  <si>
    <t xml:space="preserve">West Virginia University </t>
  </si>
  <si>
    <t>238032</t>
  </si>
  <si>
    <t xml:space="preserve">Marshall University </t>
  </si>
  <si>
    <t>237525</t>
  </si>
  <si>
    <t xml:space="preserve">Bluefield State College </t>
  </si>
  <si>
    <t>237215</t>
  </si>
  <si>
    <t xml:space="preserve">Concord College </t>
  </si>
  <si>
    <t>237330</t>
  </si>
  <si>
    <t xml:space="preserve">Fairmont State College </t>
  </si>
  <si>
    <t>237367</t>
  </si>
  <si>
    <t xml:space="preserve">Glenville State College </t>
  </si>
  <si>
    <t>237385</t>
  </si>
  <si>
    <t xml:space="preserve">Shepherd College </t>
  </si>
  <si>
    <t>237792</t>
  </si>
  <si>
    <t xml:space="preserve">West Liberty State College </t>
  </si>
  <si>
    <t>237932</t>
  </si>
  <si>
    <t xml:space="preserve">West Virginia Institute of Technology </t>
  </si>
  <si>
    <t>237950</t>
  </si>
  <si>
    <t xml:space="preserve">West Virginia State College </t>
  </si>
  <si>
    <t>237899</t>
  </si>
  <si>
    <t>Potomac State College of West Virginia University</t>
  </si>
  <si>
    <t>237701</t>
  </si>
  <si>
    <t>Southern West Virginia Community College</t>
  </si>
  <si>
    <t>237817</t>
  </si>
  <si>
    <t>West Virginia Northern Community College</t>
  </si>
  <si>
    <t>238014</t>
  </si>
  <si>
    <t>West Virginia University at Parkersburg</t>
  </si>
  <si>
    <t>237686</t>
  </si>
  <si>
    <t>West Virginia Graduate College</t>
  </si>
  <si>
    <t>237871</t>
  </si>
  <si>
    <t>West Virginia School of Osteopathic Medicine</t>
  </si>
  <si>
    <t>237880</t>
  </si>
  <si>
    <t>State/Local General-Purpose Operating Appropriations, 1995-96</t>
  </si>
  <si>
    <t>State General-Purpose</t>
  </si>
  <si>
    <t>Local General-Purpose</t>
  </si>
  <si>
    <t>Appropriations</t>
  </si>
  <si>
    <t xml:space="preserve">State Operating </t>
  </si>
  <si>
    <t>Institutionally Identified State Special-Purpose Appropriations</t>
  </si>
  <si>
    <t>1995-96</t>
  </si>
  <si>
    <t>Appropriation for</t>
  </si>
  <si>
    <t>Community</t>
  </si>
  <si>
    <t>[w/cuts</t>
  </si>
  <si>
    <t>Health Professions</t>
  </si>
  <si>
    <t>or Public</t>
  </si>
  <si>
    <t>Non-Credit</t>
  </si>
  <si>
    <t>Agricultural</t>
  </si>
  <si>
    <t>Engineering</t>
  </si>
  <si>
    <t>Final</t>
  </si>
  <si>
    <t>made by</t>
  </si>
  <si>
    <t>Education</t>
  </si>
  <si>
    <t>Service</t>
  </si>
  <si>
    <t>Continuing</t>
  </si>
  <si>
    <t>Cooperative</t>
  </si>
  <si>
    <t>Experiment</t>
  </si>
  <si>
    <t>Research</t>
  </si>
  <si>
    <t>1994-95</t>
  </si>
  <si>
    <t>12/31/95]</t>
  </si>
  <si>
    <t>Veterinary Med</t>
  </si>
  <si>
    <t>Other</t>
  </si>
  <si>
    <t>Units</t>
  </si>
  <si>
    <t>Extension</t>
  </si>
  <si>
    <t>Stations</t>
  </si>
  <si>
    <t>Univ of AL at Birmingham</t>
  </si>
  <si>
    <t>Univ of AL in Huntsville **</t>
  </si>
  <si>
    <t>Univof West AL (Livingston)</t>
  </si>
  <si>
    <t>Arkansas State University Beebe Branch</t>
  </si>
  <si>
    <t>Arkansas State Univ. Mountain Home</t>
  </si>
  <si>
    <t>University of Arkansas for Medical Sciences</t>
  </si>
  <si>
    <t>University of Georgia -Vet School</t>
  </si>
  <si>
    <t>Sandersville Technical Institute</t>
  </si>
  <si>
    <t>^n/a</t>
  </si>
  <si>
    <t>159717</t>
  </si>
  <si>
    <t>These units appear in Part IV.</t>
  </si>
  <si>
    <t>Towson State University  **</t>
  </si>
  <si>
    <t>161688</t>
  </si>
  <si>
    <t>Montgomery College Takoma Park Campus</t>
  </si>
  <si>
    <t>NC Community College System</t>
  </si>
  <si>
    <t>OK State University-Veterinary Medicine</t>
  </si>
  <si>
    <t>Univ of OK Health Sciences Center</t>
  </si>
  <si>
    <t>Univ of OK-Law Center</t>
  </si>
  <si>
    <t>Univ of TN at Memphis</t>
  </si>
  <si>
    <t>Univ of TN Space Institute</t>
  </si>
  <si>
    <t>Univ of TN Veterinary Medicine</t>
  </si>
  <si>
    <t>Prairie View A &amp; M Univ **</t>
  </si>
  <si>
    <t>Alamo Community College</t>
  </si>
  <si>
    <t>Dallas Co. Community College District</t>
  </si>
  <si>
    <t>Texas Food and Fibers Commission</t>
  </si>
  <si>
    <t>Texas Higher Education Coordinating Board</t>
  </si>
  <si>
    <t>Texas Natural Resourse Lab. Commission</t>
  </si>
  <si>
    <t>Univ of Texas Health Center Tyler</t>
  </si>
  <si>
    <t>Univ of Texas MD Anderson Cancer Center</t>
  </si>
  <si>
    <t xml:space="preserve">           Part II.</t>
  </si>
  <si>
    <t>Full Year Credit/Contact Hours</t>
  </si>
  <si>
    <t>_</t>
  </si>
  <si>
    <t xml:space="preserve">   Undergraduate</t>
  </si>
  <si>
    <t xml:space="preserve"> Graduate</t>
  </si>
  <si>
    <t>Cred Hrs</t>
  </si>
  <si>
    <t>Cont Hrs</t>
  </si>
  <si>
    <t>Four-Year 1</t>
  </si>
  <si>
    <t>x</t>
  </si>
  <si>
    <t>Four-Year 2</t>
  </si>
  <si>
    <t>Four-Year 3</t>
  </si>
  <si>
    <t>Four-Year 4</t>
  </si>
  <si>
    <t>Four-Year 5</t>
  </si>
  <si>
    <t>Four-Year 6</t>
  </si>
  <si>
    <t>Two-Year 1[Q]</t>
  </si>
  <si>
    <t>Two-Year 1[S]</t>
  </si>
  <si>
    <t>Two-Year 2[Q]</t>
  </si>
  <si>
    <t>Specialized</t>
  </si>
  <si>
    <t>TOTAL</t>
  </si>
  <si>
    <t>Two-Year 1</t>
  </si>
  <si>
    <t>Two-Year 2</t>
  </si>
  <si>
    <t>na</t>
  </si>
  <si>
    <t>-</t>
  </si>
  <si>
    <t>Part III.</t>
  </si>
  <si>
    <t>Operating Appropriations</t>
  </si>
  <si>
    <t xml:space="preserve">State </t>
  </si>
  <si>
    <t>General</t>
  </si>
  <si>
    <t>Vet Med</t>
  </si>
  <si>
    <t>Local</t>
  </si>
  <si>
    <t>Final 1994-95</t>
  </si>
  <si>
    <t xml:space="preserve">   Full-Time-Equivalent Enrollment</t>
  </si>
  <si>
    <t>S for 4-yr</t>
  </si>
  <si>
    <t>Q for 2-yr</t>
  </si>
  <si>
    <t>Undergrad.</t>
  </si>
  <si>
    <t>Non-Coll.</t>
  </si>
  <si>
    <t xml:space="preserve"> Combined</t>
  </si>
  <si>
    <t xml:space="preserve"> except Shelton St.</t>
  </si>
  <si>
    <t xml:space="preserve">  Undergrad.</t>
  </si>
  <si>
    <t xml:space="preserve">   Graduate</t>
  </si>
  <si>
    <t xml:space="preserve"> Non-Coll.</t>
  </si>
  <si>
    <t xml:space="preserve">    Combined</t>
  </si>
  <si>
    <t xml:space="preserve">   Only fall term available: divide by 15 for this year.</t>
  </si>
  <si>
    <t xml:space="preserve">   Per FTE</t>
  </si>
  <si>
    <t>TABLE 1</t>
  </si>
  <si>
    <t>Estimated Full-Year Full-Time-Equivalent Undergraduate Enrollment</t>
  </si>
  <si>
    <t>Public Institutions, SREB States</t>
  </si>
  <si>
    <t>Four-Year</t>
  </si>
  <si>
    <t xml:space="preserve"> Two-Year</t>
  </si>
  <si>
    <t>I</t>
  </si>
  <si>
    <t>II</t>
  </si>
  <si>
    <t>III</t>
  </si>
  <si>
    <t>IV</t>
  </si>
  <si>
    <t>V</t>
  </si>
  <si>
    <t>VI</t>
  </si>
  <si>
    <t>VII</t>
  </si>
  <si>
    <t>VIII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</si>
  <si>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</si>
  <si>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</si>
  <si>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</si>
  <si>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</si>
  <si>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</si>
  <si>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</si>
  <si>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</si>
  <si>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</si>
  <si>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</si>
  <si>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</si>
  <si>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</si>
  <si>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</si>
  <si>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</si>
  <si>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</si>
  <si>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</si>
  <si>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</si>
  <si>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Estimated full-year full-time-equivalent (FTE) undergraduate enrollment for 1995-96 is derirved by taking the credit hours from the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</si>
</sst>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%"/>
    <numFmt numFmtId="167" formatCode=";;;"/>
    <numFmt numFmtId="168" formatCode="0.0_)"/>
    <numFmt numFmtId="169" formatCode="&quot;$&quot;#,##0.0_);\(&quot;$&quot;#,##0.0\)"/>
  </numFmts>
  <fonts count="23">
    <font>
      <sz val="10"/>
      <name val="Swis721 Cn BT"/>
      <family val="0"/>
    </font>
    <font>
      <sz val="10"/>
      <name val="Arial"/>
      <family val="0"/>
    </font>
    <font>
      <b/>
      <sz val="12"/>
      <name val="Swis721 Cn BT"/>
      <family val="2"/>
    </font>
    <font>
      <sz val="10"/>
      <color indexed="12"/>
      <name val="Courier"/>
      <family val="0"/>
    </font>
    <font>
      <b/>
      <sz val="10"/>
      <color indexed="12"/>
      <name val="Swis721 Cn BT"/>
      <family val="2"/>
    </font>
    <font>
      <sz val="8"/>
      <name val="Times New Roman"/>
      <family val="1"/>
    </font>
    <font>
      <b/>
      <sz val="12"/>
      <name val="Futura XBlk BT"/>
      <family val="2"/>
    </font>
    <font>
      <b/>
      <sz val="10"/>
      <name val="Swis721 Cn BT"/>
      <family val="2"/>
    </font>
    <font>
      <b/>
      <sz val="9"/>
      <name val="Swis721 Cn BT"/>
      <family val="2"/>
    </font>
    <font>
      <sz val="12"/>
      <name val="Futura XBlk BT"/>
      <family val="2"/>
    </font>
    <font>
      <b/>
      <sz val="14"/>
      <name val="Futura XBlk BT"/>
      <family val="2"/>
    </font>
    <font>
      <b/>
      <sz val="12"/>
      <color indexed="12"/>
      <name val="Futura XBlk BT"/>
      <family val="2"/>
    </font>
    <font>
      <sz val="12"/>
      <color indexed="12"/>
      <name val="Futura XBlk BT"/>
      <family val="2"/>
    </font>
    <font>
      <b/>
      <sz val="8"/>
      <name val="Swis721 Cn BT"/>
      <family val="2"/>
    </font>
    <font>
      <sz val="8"/>
      <name val="Swis721 Cn BT"/>
      <family val="2"/>
    </font>
    <font>
      <b/>
      <sz val="14"/>
      <name val="FUTURA-X"/>
      <family val="0"/>
    </font>
    <font>
      <sz val="14"/>
      <name val="FUTURA-X"/>
      <family val="0"/>
    </font>
    <font>
      <sz val="14"/>
      <name val="Futura XBlk BT"/>
      <family val="2"/>
    </font>
    <font>
      <sz val="9"/>
      <name val="Swis721 Cn BT"/>
      <family val="2"/>
    </font>
    <font>
      <sz val="20"/>
      <name val="Futura XBlk BT"/>
      <family val="2"/>
    </font>
    <font>
      <sz val="12"/>
      <name val="Swis721 Cn BT"/>
      <family val="2"/>
    </font>
    <font>
      <sz val="9"/>
      <color indexed="9"/>
      <name val="Swis721 Cn BT"/>
      <family val="0"/>
    </font>
    <font>
      <sz val="10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4" xfId="0" applyBorder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0" fillId="0" borderId="5" xfId="0" applyBorder="1" applyAlignment="1" applyProtection="1">
      <alignment horizontal="centerContinuous"/>
      <protection/>
    </xf>
    <xf numFmtId="37" fontId="0" fillId="0" borderId="6" xfId="0" applyBorder="1" applyAlignment="1" applyProtection="1">
      <alignment/>
      <protection/>
    </xf>
    <xf numFmtId="37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37" fontId="3" fillId="0" borderId="5" xfId="0" applyFont="1" applyBorder="1" applyAlignment="1" applyProtection="1">
      <alignment horizontal="centerContinuous"/>
      <protection locked="0"/>
    </xf>
    <xf numFmtId="37" fontId="3" fillId="0" borderId="5" xfId="0" applyFont="1" applyBorder="1" applyAlignment="1" applyProtection="1">
      <alignment/>
      <protection locked="0"/>
    </xf>
    <xf numFmtId="37" fontId="0" fillId="0" borderId="5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centerContinuous"/>
      <protection locked="0"/>
    </xf>
    <xf numFmtId="37" fontId="3" fillId="0" borderId="5" xfId="0" applyNumberFormat="1" applyFont="1" applyBorder="1" applyAlignment="1" applyProtection="1">
      <alignment horizontal="centerContinuous"/>
      <protection locked="0"/>
    </xf>
    <xf numFmtId="37" fontId="0" fillId="0" borderId="5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3" fillId="2" borderId="0" xfId="0" applyNumberFormat="1" applyFont="1" applyFill="1" applyAlignment="1" applyProtection="1">
      <alignment/>
      <protection locked="0"/>
    </xf>
    <xf numFmtId="37" fontId="3" fillId="2" borderId="5" xfId="0" applyNumberFormat="1" applyFont="1" applyFill="1" applyBorder="1" applyAlignment="1" applyProtection="1">
      <alignment/>
      <protection locked="0"/>
    </xf>
    <xf numFmtId="37" fontId="3" fillId="2" borderId="0" xfId="0" applyFont="1" applyFill="1" applyAlignment="1" applyProtection="1">
      <alignment/>
      <protection locked="0"/>
    </xf>
    <xf numFmtId="37" fontId="3" fillId="2" borderId="5" xfId="0" applyFont="1" applyFill="1" applyBorder="1" applyAlignment="1" applyProtection="1">
      <alignment/>
      <protection locked="0"/>
    </xf>
    <xf numFmtId="37" fontId="0" fillId="2" borderId="0" xfId="0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 locked="0"/>
    </xf>
    <xf numFmtId="37" fontId="5" fillId="0" borderId="0" xfId="0" applyFont="1" applyAlignment="1" applyProtection="1">
      <alignment horizontal="centerContinuous"/>
      <protection/>
    </xf>
    <xf numFmtId="37" fontId="6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8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9" fontId="0" fillId="0" borderId="0" xfId="0" applyNumberFormat="1" applyAlignment="1" applyProtection="1">
      <alignment/>
      <protection/>
    </xf>
    <xf numFmtId="37" fontId="7" fillId="0" borderId="1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 horizontal="centerContinuous"/>
      <protection/>
    </xf>
    <xf numFmtId="37" fontId="7" fillId="0" borderId="3" xfId="0" applyFont="1" applyBorder="1" applyAlignment="1" applyProtection="1">
      <alignment horizontal="centerContinuous"/>
      <protection/>
    </xf>
    <xf numFmtId="37" fontId="7" fillId="0" borderId="1" xfId="0" applyFont="1" applyBorder="1" applyAlignment="1" applyProtection="1">
      <alignment horizontal="center"/>
      <protection/>
    </xf>
    <xf numFmtId="37" fontId="7" fillId="0" borderId="1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7" fillId="0" borderId="7" xfId="0" applyFont="1" applyBorder="1" applyAlignment="1" applyProtection="1">
      <alignment horizontal="centerContinuous"/>
      <protection/>
    </xf>
    <xf numFmtId="37" fontId="7" fillId="0" borderId="8" xfId="0" applyFont="1" applyBorder="1" applyAlignment="1" applyProtection="1">
      <alignment horizontal="centerContinuous"/>
      <protection/>
    </xf>
    <xf numFmtId="37" fontId="7" fillId="0" borderId="5" xfId="0" applyFont="1" applyBorder="1" applyAlignment="1" applyProtection="1">
      <alignment horizontal="centerContinuous"/>
      <protection/>
    </xf>
    <xf numFmtId="37" fontId="7" fillId="0" borderId="6" xfId="0" applyFont="1" applyBorder="1" applyAlignment="1" applyProtection="1">
      <alignment horizontal="centerContinuous"/>
      <protection/>
    </xf>
    <xf numFmtId="37" fontId="7" fillId="0" borderId="4" xfId="0" applyFont="1" applyBorder="1" applyAlignment="1" applyProtection="1">
      <alignment horizontal="centerContinuous"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7" fillId="0" borderId="5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 horizontal="centerContinuous"/>
      <protection/>
    </xf>
    <xf numFmtId="37" fontId="7" fillId="0" borderId="10" xfId="0" applyFont="1" applyBorder="1" applyAlignment="1" applyProtection="1">
      <alignment horizontal="centerContinuous"/>
      <protection/>
    </xf>
    <xf numFmtId="37" fontId="4" fillId="0" borderId="5" xfId="0" applyNumberFormat="1" applyFont="1" applyBorder="1" applyAlignment="1" applyProtection="1">
      <alignment horizontal="centerContinuous"/>
      <protection locked="0"/>
    </xf>
    <xf numFmtId="37" fontId="7" fillId="0" borderId="0" xfId="0" applyNumberFormat="1" applyFont="1" applyAlignment="1" applyProtection="1">
      <alignment horizontal="centerContinuous"/>
      <protection/>
    </xf>
    <xf numFmtId="37" fontId="7" fillId="0" borderId="5" xfId="0" applyNumberFormat="1" applyFont="1" applyBorder="1" applyAlignment="1" applyProtection="1">
      <alignment horizontal="centerContinuous"/>
      <protection/>
    </xf>
    <xf numFmtId="37" fontId="4" fillId="0" borderId="4" xfId="0" applyNumberFormat="1" applyFont="1" applyBorder="1" applyAlignment="1" applyProtection="1">
      <alignment horizontal="centerContinuous"/>
      <protection locked="0"/>
    </xf>
    <xf numFmtId="37" fontId="3" fillId="0" borderId="4" xfId="0" applyNumberFormat="1" applyFont="1" applyBorder="1" applyAlignment="1" applyProtection="1">
      <alignment horizontal="right"/>
      <protection locked="0"/>
    </xf>
    <xf numFmtId="37" fontId="3" fillId="3" borderId="0" xfId="0" applyNumberFormat="1" applyFont="1" applyFill="1" applyAlignment="1" applyProtection="1">
      <alignment/>
      <protection locked="0"/>
    </xf>
    <xf numFmtId="37" fontId="3" fillId="3" borderId="5" xfId="0" applyNumberFormat="1" applyFont="1" applyFill="1" applyBorder="1" applyAlignment="1" applyProtection="1">
      <alignment/>
      <protection locked="0"/>
    </xf>
    <xf numFmtId="5" fontId="3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right"/>
      <protection locked="0"/>
    </xf>
    <xf numFmtId="37" fontId="3" fillId="0" borderId="4" xfId="0" applyNumberFormat="1" applyFont="1" applyBorder="1" applyAlignment="1" applyProtection="1">
      <alignment/>
      <protection locked="0"/>
    </xf>
    <xf numFmtId="37" fontId="3" fillId="4" borderId="0" xfId="0" applyNumberFormat="1" applyFont="1" applyFill="1" applyAlignment="1" applyProtection="1">
      <alignment/>
      <protection locked="0"/>
    </xf>
    <xf numFmtId="37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7" fillId="0" borderId="0" xfId="0" applyFont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6" xfId="0" applyFont="1" applyBorder="1" applyAlignment="1">
      <alignment/>
    </xf>
    <xf numFmtId="37" fontId="7" fillId="0" borderId="1" xfId="0" applyFont="1" applyBorder="1" applyAlignment="1">
      <alignment horizontal="center"/>
    </xf>
    <xf numFmtId="37" fontId="7" fillId="0" borderId="1" xfId="0" applyFont="1" applyBorder="1" applyAlignment="1">
      <alignment horizontal="centerContinuous"/>
    </xf>
    <xf numFmtId="37" fontId="7" fillId="0" borderId="3" xfId="0" applyFont="1" applyBorder="1" applyAlignment="1">
      <alignment horizontal="centerContinuous"/>
    </xf>
    <xf numFmtId="164" fontId="3" fillId="0" borderId="0" xfId="0" applyNumberFormat="1" applyFont="1" applyAlignment="1" applyProtection="1">
      <alignment/>
      <protection locked="0"/>
    </xf>
    <xf numFmtId="37" fontId="0" fillId="5" borderId="0" xfId="0" applyNumberFormat="1" applyFill="1" applyAlignment="1" applyProtection="1">
      <alignment/>
      <protection/>
    </xf>
    <xf numFmtId="37" fontId="0" fillId="5" borderId="0" xfId="0" applyFill="1" applyAlignment="1">
      <alignment/>
    </xf>
    <xf numFmtId="7" fontId="0" fillId="0" borderId="0" xfId="0" applyNumberForma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Font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 locked="0"/>
    </xf>
    <xf numFmtId="37" fontId="12" fillId="0" borderId="0" xfId="0" applyNumberFormat="1" applyFont="1" applyAlignment="1" applyProtection="1">
      <alignment horizontal="centerContinuous"/>
      <protection locked="0"/>
    </xf>
    <xf numFmtId="37" fontId="9" fillId="0" borderId="0" xfId="0" applyFont="1" applyAlignment="1" applyProtection="1">
      <alignment horizontal="centerContinuous"/>
      <protection/>
    </xf>
    <xf numFmtId="37" fontId="13" fillId="0" borderId="9" xfId="0" applyFont="1" applyBorder="1" applyAlignment="1" applyProtection="1">
      <alignment horizontal="centerContinuous"/>
      <protection/>
    </xf>
    <xf numFmtId="37" fontId="13" fillId="0" borderId="10" xfId="0" applyFont="1" applyBorder="1" applyAlignment="1" applyProtection="1">
      <alignment horizontal="centerContinuous"/>
      <protection/>
    </xf>
    <xf numFmtId="37" fontId="13" fillId="0" borderId="1" xfId="0" applyFont="1" applyBorder="1" applyAlignment="1" applyProtection="1">
      <alignment horizontal="centerContinuous"/>
      <protection/>
    </xf>
    <xf numFmtId="37" fontId="13" fillId="0" borderId="3" xfId="0" applyFont="1" applyBorder="1" applyAlignment="1" applyProtection="1">
      <alignment horizontal="centerContinuous"/>
      <protection/>
    </xf>
    <xf numFmtId="37" fontId="13" fillId="0" borderId="1" xfId="0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0" fillId="0" borderId="1" xfId="0" applyNumberFormat="1" applyBorder="1" applyAlignment="1" applyProtection="1">
      <alignment horizontal="center"/>
      <protection/>
    </xf>
    <xf numFmtId="37" fontId="0" fillId="0" borderId="3" xfId="0" applyNumberForma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5" xfId="0" applyNumberFormat="1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37" fontId="14" fillId="0" borderId="0" xfId="0" applyFon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7" fontId="5" fillId="0" borderId="0" xfId="0" applyNumberFormat="1" applyFont="1" applyAlignment="1" applyProtection="1">
      <alignment horizontal="centerContinuous"/>
      <protection/>
    </xf>
    <xf numFmtId="37" fontId="15" fillId="0" borderId="0" xfId="0" applyFont="1" applyAlignment="1" applyProtection="1">
      <alignment horizontal="centerContinuous"/>
      <protection/>
    </xf>
    <xf numFmtId="37" fontId="16" fillId="0" borderId="0" xfId="0" applyFont="1" applyAlignment="1" applyProtection="1">
      <alignment horizontal="centerContinuous"/>
      <protection/>
    </xf>
    <xf numFmtId="37" fontId="17" fillId="0" borderId="0" xfId="0" applyFont="1" applyAlignment="1" applyProtection="1">
      <alignment/>
      <protection/>
    </xf>
    <xf numFmtId="37" fontId="8" fillId="0" borderId="1" xfId="0" applyFont="1" applyBorder="1" applyAlignment="1" applyProtection="1">
      <alignment/>
      <protection/>
    </xf>
    <xf numFmtId="37" fontId="8" fillId="0" borderId="6" xfId="0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 horizontal="center"/>
      <protection/>
    </xf>
    <xf numFmtId="37" fontId="0" fillId="0" borderId="3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5" xfId="0" applyNumberFormat="1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Continuous"/>
      <protection/>
    </xf>
    <xf numFmtId="5" fontId="0" fillId="0" borderId="1" xfId="0" applyNumberFormat="1" applyBorder="1" applyAlignment="1" applyProtection="1">
      <alignment horizontal="center"/>
      <protection/>
    </xf>
    <xf numFmtId="5" fontId="0" fillId="0" borderId="3" xfId="0" applyNumberFormat="1" applyBorder="1" applyAlignment="1" applyProtection="1">
      <alignment horizontal="center"/>
      <protection/>
    </xf>
    <xf numFmtId="37" fontId="1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9" xfId="0" applyBorder="1" applyAlignment="1" applyProtection="1">
      <alignment horizontal="centerContinuous"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3" xfId="0" applyFont="1" applyBorder="1" applyAlignment="1" applyProtection="1">
      <alignment horizontal="center"/>
      <protection/>
    </xf>
    <xf numFmtId="37" fontId="13" fillId="0" borderId="5" xfId="0" applyFont="1" applyBorder="1" applyAlignment="1" applyProtection="1">
      <alignment horizontal="center"/>
      <protection/>
    </xf>
    <xf numFmtId="37" fontId="13" fillId="0" borderId="0" xfId="0" applyFont="1" applyAlignment="1" applyProtection="1">
      <alignment horizontal="centerContinuous"/>
      <protection/>
    </xf>
    <xf numFmtId="37" fontId="13" fillId="0" borderId="5" xfId="0" applyFont="1" applyBorder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8" xfId="0" applyFont="1" applyBorder="1" applyAlignment="1" applyProtection="1">
      <alignment horizontal="centerContinuous"/>
      <protection/>
    </xf>
    <xf numFmtId="37" fontId="13" fillId="0" borderId="6" xfId="0" applyFont="1" applyBorder="1" applyAlignment="1" applyProtection="1">
      <alignment horizontal="center"/>
      <protection/>
    </xf>
    <xf numFmtId="37" fontId="18" fillId="0" borderId="1" xfId="0" applyFont="1" applyBorder="1" applyAlignment="1" applyProtection="1">
      <alignment/>
      <protection/>
    </xf>
    <xf numFmtId="5" fontId="18" fillId="0" borderId="1" xfId="0" applyNumberFormat="1" applyFont="1" applyBorder="1" applyAlignment="1" applyProtection="1">
      <alignment horizontal="center"/>
      <protection/>
    </xf>
    <xf numFmtId="5" fontId="18" fillId="0" borderId="3" xfId="0" applyNumberFormat="1" applyFont="1" applyBorder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center"/>
      <protection/>
    </xf>
    <xf numFmtId="37" fontId="18" fillId="0" borderId="0" xfId="0" applyFont="1" applyAlignment="1" applyProtection="1">
      <alignment/>
      <protection/>
    </xf>
    <xf numFmtId="37" fontId="18" fillId="0" borderId="0" xfId="0" applyFont="1" applyAlignment="1" applyProtection="1">
      <alignment horizontal="center"/>
      <protection/>
    </xf>
    <xf numFmtId="37" fontId="18" fillId="0" borderId="5" xfId="0" applyFont="1" applyBorder="1" applyAlignment="1" applyProtection="1">
      <alignment horizontal="center"/>
      <protection/>
    </xf>
    <xf numFmtId="37" fontId="18" fillId="0" borderId="0" xfId="0" applyNumberFormat="1" applyFont="1" applyAlignment="1" applyProtection="1">
      <alignment horizontal="center"/>
      <protection/>
    </xf>
    <xf numFmtId="37" fontId="18" fillId="0" borderId="5" xfId="0" applyNumberFormat="1" applyFont="1" applyBorder="1" applyAlignment="1" applyProtection="1">
      <alignment horizontal="center"/>
      <protection/>
    </xf>
    <xf numFmtId="37" fontId="18" fillId="0" borderId="6" xfId="0" applyFont="1" applyBorder="1" applyAlignment="1" applyProtection="1">
      <alignment/>
      <protection/>
    </xf>
    <xf numFmtId="37" fontId="18" fillId="0" borderId="6" xfId="0" applyNumberFormat="1" applyFont="1" applyBorder="1" applyAlignment="1" applyProtection="1">
      <alignment horizontal="center"/>
      <protection/>
    </xf>
    <xf numFmtId="37" fontId="18" fillId="0" borderId="8" xfId="0" applyNumberFormat="1" applyFont="1" applyBorder="1" applyAlignment="1" applyProtection="1">
      <alignment horizontal="center"/>
      <protection/>
    </xf>
    <xf numFmtId="164" fontId="18" fillId="0" borderId="6" xfId="0" applyNumberFormat="1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37" fontId="14" fillId="0" borderId="0" xfId="0" applyFont="1" applyAlignment="1" applyProtection="1">
      <alignment/>
      <protection/>
    </xf>
    <xf numFmtId="37" fontId="14" fillId="0" borderId="0" xfId="0" applyNumberFormat="1" applyFont="1" applyAlignment="1" applyProtection="1">
      <alignment horizontal="center"/>
      <protection/>
    </xf>
    <xf numFmtId="37" fontId="13" fillId="0" borderId="3" xfId="0" applyFont="1" applyBorder="1" applyAlignment="1" applyProtection="1">
      <alignment/>
      <protection/>
    </xf>
    <xf numFmtId="37" fontId="13" fillId="0" borderId="6" xfId="0" applyFont="1" applyBorder="1" applyAlignment="1" applyProtection="1">
      <alignment horizontal="centerContinuous" vertical="center"/>
      <protection/>
    </xf>
    <xf numFmtId="37" fontId="13" fillId="0" borderId="8" xfId="0" applyFont="1" applyBorder="1" applyAlignment="1" applyProtection="1">
      <alignment horizontal="centerContinuous" vertical="center"/>
      <protection/>
    </xf>
    <xf numFmtId="37" fontId="13" fillId="0" borderId="6" xfId="0" applyFont="1" applyBorder="1" applyAlignment="1" applyProtection="1">
      <alignment horizontal="centerContinuous"/>
      <protection/>
    </xf>
    <xf numFmtId="5" fontId="0" fillId="0" borderId="0" xfId="0" applyNumberFormat="1" applyAlignment="1" applyProtection="1">
      <alignment horizontal="center"/>
      <protection/>
    </xf>
    <xf numFmtId="5" fontId="0" fillId="0" borderId="5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6" xfId="0" applyNumberForma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0" fillId="0" borderId="11" xfId="0" applyBorder="1" applyAlignment="1">
      <alignment/>
    </xf>
    <xf numFmtId="37" fontId="19" fillId="0" borderId="12" xfId="0" applyFont="1" applyBorder="1" applyAlignment="1">
      <alignment horizontal="center"/>
    </xf>
    <xf numFmtId="169" fontId="0" fillId="0" borderId="0" xfId="0" applyNumberFormat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13" xfId="0" applyBorder="1" applyAlignment="1">
      <alignment/>
    </xf>
    <xf numFmtId="37" fontId="20" fillId="0" borderId="0" xfId="0" applyFont="1" applyAlignment="1">
      <alignment horizontal="center"/>
    </xf>
    <xf numFmtId="37" fontId="0" fillId="0" borderId="0" xfId="0" applyAlignment="1">
      <alignment horizontal="centerContinuous"/>
    </xf>
    <xf numFmtId="37" fontId="0" fillId="0" borderId="6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37" fontId="3" fillId="0" borderId="0" xfId="0" applyFont="1" applyAlignment="1" applyProtection="1">
      <alignment horizontal="right"/>
      <protection locked="0"/>
    </xf>
    <xf numFmtId="37" fontId="7" fillId="0" borderId="6" xfId="0" applyFont="1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39" fontId="3" fillId="0" borderId="5" xfId="0" applyNumberFormat="1" applyFont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fill"/>
      <protection/>
    </xf>
    <xf numFmtId="37" fontId="0" fillId="0" borderId="0" xfId="0" applyAlignment="1">
      <alignment horizontal="center"/>
    </xf>
    <xf numFmtId="37" fontId="3" fillId="4" borderId="0" xfId="0" applyNumberFormat="1" applyFont="1" applyFill="1" applyAlignment="1" applyProtection="1">
      <alignment horizontal="right"/>
      <protection locked="0"/>
    </xf>
    <xf numFmtId="37" fontId="0" fillId="3" borderId="0" xfId="0" applyNumberFormat="1" applyFill="1" applyAlignment="1" applyProtection="1">
      <alignment horizontal="fill"/>
      <protection/>
    </xf>
    <xf numFmtId="37" fontId="3" fillId="3" borderId="0" xfId="0" applyNumberFormat="1" applyFont="1" applyFill="1" applyAlignment="1" applyProtection="1">
      <alignment horizontal="right"/>
      <protection locked="0"/>
    </xf>
    <xf numFmtId="37" fontId="0" fillId="0" borderId="0" xfId="0" applyAlignment="1">
      <alignment horizontal="fill"/>
    </xf>
    <xf numFmtId="37" fontId="7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fill"/>
      <protection/>
    </xf>
    <xf numFmtId="37" fontId="7" fillId="0" borderId="6" xfId="0" applyFont="1" applyBorder="1" applyAlignment="1">
      <alignment horizontal="center"/>
    </xf>
    <xf numFmtId="37" fontId="0" fillId="0" borderId="0" xfId="0" applyNumberFormat="1" applyAlignment="1" applyProtection="1">
      <alignment horizontal="right"/>
      <protection/>
    </xf>
    <xf numFmtId="37" fontId="13" fillId="0" borderId="1" xfId="0" applyNumberFormat="1" applyFont="1" applyBorder="1" applyAlignment="1" applyProtection="1">
      <alignment horizontal="center"/>
      <protection/>
    </xf>
    <xf numFmtId="37" fontId="13" fillId="0" borderId="3" xfId="0" applyNumberFormat="1" applyFont="1" applyBorder="1" applyAlignment="1" applyProtection="1">
      <alignment horizontal="center"/>
      <protection/>
    </xf>
    <xf numFmtId="37" fontId="13" fillId="0" borderId="6" xfId="0" applyNumberFormat="1" applyFont="1" applyBorder="1" applyAlignment="1" applyProtection="1">
      <alignment horizontal="center"/>
      <protection/>
    </xf>
    <xf numFmtId="37" fontId="13" fillId="0" borderId="8" xfId="0" applyFont="1" applyBorder="1" applyAlignment="1" applyProtection="1">
      <alignment horizontal="center"/>
      <protection/>
    </xf>
    <xf numFmtId="37" fontId="13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Graphs!$A$4:$A$12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VII</c:v>
                </c:pt>
                <c:pt idx="8">
                  <c:v>VIII</c:v>
                </c:pt>
              </c:strCache>
            </c:strRef>
          </c:cat>
          <c:val>
            <c:numRef>
              <c:f>Graphs!$B$4:$B$12</c:f>
              <c:numCache>
                <c:ptCount val="9"/>
                <c:pt idx="0">
                  <c:v>6.039758672081863</c:v>
                </c:pt>
                <c:pt idx="1">
                  <c:v>4.8508620502070805</c:v>
                </c:pt>
                <c:pt idx="2">
                  <c:v>4.220829262349712</c:v>
                </c:pt>
                <c:pt idx="3">
                  <c:v>3.822117131890828</c:v>
                </c:pt>
                <c:pt idx="4">
                  <c:v>3.9114011817195227</c:v>
                </c:pt>
                <c:pt idx="5">
                  <c:v>4.092988343341576</c:v>
                </c:pt>
                <c:pt idx="7">
                  <c:v>3.2931458457544895</c:v>
                </c:pt>
                <c:pt idx="8">
                  <c:v>4.425583782396715</c:v>
                </c:pt>
              </c:numCache>
            </c:numRef>
          </c:val>
          <c:shape val="box"/>
        </c:ser>
        <c:shape val="box"/>
        <c:axId val="44953643"/>
        <c:axId val="1929604"/>
      </c:bar3DChart>
      <c:catAx>
        <c:axId val="4495364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1929604"/>
        <c:crosses val="autoZero"/>
        <c:auto val="1"/>
        <c:lblOffset val="100"/>
        <c:noMultiLvlLbl val="0"/>
      </c:catAx>
      <c:valAx>
        <c:axId val="19296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44953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9525</xdr:rowOff>
    </xdr:from>
    <xdr:to>
      <xdr:col>3</xdr:col>
      <xdr:colOff>4772025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076325" y="1876425"/>
        <a:ext cx="47720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123825</xdr:colOff>
      <xdr:row>10</xdr:row>
      <xdr:rowOff>9525</xdr:rowOff>
    </xdr:from>
    <xdr:to>
      <xdr:col>3</xdr:col>
      <xdr:colOff>390525</xdr:colOff>
      <xdr:row>40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200150" y="2038350"/>
          <a:ext cx="266700" cy="496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3</xdr:col>
      <xdr:colOff>3190875</xdr:colOff>
      <xdr:row>38</xdr:row>
      <xdr:rowOff>142875</xdr:rowOff>
    </xdr:from>
    <xdr:to>
      <xdr:col>3</xdr:col>
      <xdr:colOff>3324225</xdr:colOff>
      <xdr:row>40</xdr:row>
      <xdr:rowOff>66675</xdr:rowOff>
    </xdr:to>
    <xdr:sp>
      <xdr:nvSpPr>
        <xdr:cNvPr id="3" name="Oval 3"/>
        <xdr:cNvSpPr>
          <a:spLocks/>
        </xdr:cNvSpPr>
      </xdr:nvSpPr>
      <xdr:spPr>
        <a:xfrm>
          <a:off x="4267200" y="6705600"/>
          <a:ext cx="13335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3</xdr:col>
      <xdr:colOff>581025</xdr:colOff>
      <xdr:row>41</xdr:row>
      <xdr:rowOff>66675</xdr:rowOff>
    </xdr:from>
    <xdr:to>
      <xdr:col>3</xdr:col>
      <xdr:colOff>2838450</xdr:colOff>
      <xdr:row>41</xdr:row>
      <xdr:rowOff>66675</xdr:rowOff>
    </xdr:to>
    <xdr:sp>
      <xdr:nvSpPr>
        <xdr:cNvPr id="4" name="Line 4"/>
        <xdr:cNvSpPr>
          <a:spLocks/>
        </xdr:cNvSpPr>
      </xdr:nvSpPr>
      <xdr:spPr>
        <a:xfrm>
          <a:off x="1657350" y="7115175"/>
          <a:ext cx="225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3</xdr:col>
      <xdr:colOff>3648075</xdr:colOff>
      <xdr:row>41</xdr:row>
      <xdr:rowOff>66675</xdr:rowOff>
    </xdr:from>
    <xdr:to>
      <xdr:col>3</xdr:col>
      <xdr:colOff>4210050</xdr:colOff>
      <xdr:row>41</xdr:row>
      <xdr:rowOff>66675</xdr:rowOff>
    </xdr:to>
    <xdr:sp>
      <xdr:nvSpPr>
        <xdr:cNvPr id="5" name="Line 5"/>
        <xdr:cNvSpPr>
          <a:spLocks/>
        </xdr:cNvSpPr>
      </xdr:nvSpPr>
      <xdr:spPr>
        <a:xfrm>
          <a:off x="4724400" y="711517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3</xdr:col>
      <xdr:colOff>1514475</xdr:colOff>
      <xdr:row>41</xdr:row>
      <xdr:rowOff>66675</xdr:rowOff>
    </xdr:from>
    <xdr:to>
      <xdr:col>3</xdr:col>
      <xdr:colOff>2009775</xdr:colOff>
      <xdr:row>43</xdr:row>
      <xdr:rowOff>9525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2590800" y="7115175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3</xdr:col>
      <xdr:colOff>3733800</xdr:colOff>
      <xdr:row>41</xdr:row>
      <xdr:rowOff>66675</xdr:rowOff>
    </xdr:from>
    <xdr:to>
      <xdr:col>3</xdr:col>
      <xdr:colOff>4143375</xdr:colOff>
      <xdr:row>42</xdr:row>
      <xdr:rowOff>114300</xdr:rowOff>
    </xdr:to>
    <xdr:sp fLocksText="0">
      <xdr:nvSpPr>
        <xdr:cNvPr id="7" name="Text 7"/>
        <xdr:cNvSpPr txBox="1">
          <a:spLocks noChangeArrowheads="1"/>
        </xdr:cNvSpPr>
      </xdr:nvSpPr>
      <xdr:spPr>
        <a:xfrm>
          <a:off x="4810125" y="7115175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E939"/>
  <sheetViews>
    <sheetView showGridLines="0" tabSelected="1" defaultGridColor="0" zoomScale="87" zoomScaleNormal="87" colorId="22" workbookViewId="0" topLeftCell="A1">
      <pane xSplit="5" ySplit="5" topLeftCell="K21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222" sqref="N222"/>
    </sheetView>
  </sheetViews>
  <sheetFormatPr defaultColWidth="10.7109375" defaultRowHeight="12.75"/>
  <cols>
    <col min="1" max="1" width="4.7109375" style="0" customWidth="1"/>
    <col min="2" max="2" width="6.7109375" style="0" customWidth="1"/>
    <col min="3" max="3" width="38.7109375" style="0" customWidth="1"/>
    <col min="4" max="4" width="14.00390625" style="0" customWidth="1"/>
    <col min="5" max="5" width="5.7109375" style="0" customWidth="1"/>
    <col min="6" max="10" width="15.7109375" style="0" customWidth="1"/>
    <col min="11" max="11" width="13.28125" style="0" customWidth="1"/>
    <col min="12" max="12" width="12.57421875" style="0" customWidth="1"/>
    <col min="13" max="13" width="12.28125" style="0" customWidth="1"/>
    <col min="14" max="15" width="12.00390625" style="0" customWidth="1"/>
    <col min="16" max="20" width="7.7109375" style="0" customWidth="1"/>
    <col min="22" max="22" width="14.7109375" style="0" customWidth="1"/>
    <col min="23" max="23" width="13.7109375" style="0" customWidth="1"/>
    <col min="25" max="25" width="9.7109375" style="0" customWidth="1"/>
    <col min="27" max="27" width="1.7109375" style="0" customWidth="1"/>
    <col min="29" max="36" width="6.7109375" style="0" customWidth="1"/>
    <col min="37" max="37" width="7.7109375" style="0" customWidth="1"/>
    <col min="38" max="38" width="9.7109375" style="0" customWidth="1"/>
    <col min="40" max="41" width="6.7109375" style="0" customWidth="1"/>
    <col min="42" max="43" width="8.7109375" style="0" customWidth="1"/>
    <col min="44" max="44" width="6.7109375" style="0" customWidth="1"/>
    <col min="45" max="45" width="7.7109375" style="0" customWidth="1"/>
    <col min="46" max="46" width="8.7109375" style="0" customWidth="1"/>
    <col min="47" max="47" width="11.7109375" style="0" customWidth="1"/>
    <col min="49" max="49" width="6.7109375" style="0" customWidth="1"/>
    <col min="50" max="50" width="4.7109375" style="0" customWidth="1"/>
    <col min="51" max="53" width="6.7109375" style="0" customWidth="1"/>
    <col min="55" max="59" width="7.7109375" style="0" customWidth="1"/>
    <col min="60" max="60" width="6.7109375" style="0" customWidth="1"/>
    <col min="61" max="61" width="7.7109375" style="0" customWidth="1"/>
    <col min="62" max="62" width="6.7109375" style="0" customWidth="1"/>
    <col min="63" max="63" width="8.7109375" style="0" customWidth="1"/>
    <col min="65" max="65" width="8.7109375" style="0" customWidth="1"/>
    <col min="66" max="68" width="7.7109375" style="0" customWidth="1"/>
    <col min="69" max="69" width="6.7109375" style="0" customWidth="1"/>
    <col min="70" max="71" width="7.7109375" style="0" customWidth="1"/>
    <col min="72" max="72" width="8.7109375" style="0" customWidth="1"/>
    <col min="73" max="73" width="6.7109375" style="0" customWidth="1"/>
    <col min="74" max="74" width="9.7109375" style="0" customWidth="1"/>
    <col min="75" max="75" width="8.7109375" style="0" customWidth="1"/>
    <col min="76" max="78" width="7.7109375" style="0" customWidth="1"/>
    <col min="79" max="79" width="6.7109375" style="0" customWidth="1"/>
    <col min="80" max="81" width="7.7109375" style="0" customWidth="1"/>
    <col min="82" max="82" width="8.7109375" style="0" customWidth="1"/>
    <col min="83" max="83" width="6.7109375" style="0" customWidth="1"/>
    <col min="84" max="84" width="9.7109375" style="0" customWidth="1"/>
    <col min="87" max="94" width="6.7109375" style="0" customWidth="1"/>
    <col min="95" max="95" width="13.7109375" style="0" customWidth="1"/>
    <col min="98" max="98" width="14.7109375" style="0" customWidth="1"/>
    <col min="99" max="99" width="11.7109375" style="0" customWidth="1"/>
    <col min="103" max="103" width="7.7109375" style="0" customWidth="1"/>
    <col min="104" max="104" width="11.7109375" style="0" customWidth="1"/>
    <col min="107" max="107" width="9.7109375" style="0" customWidth="1"/>
    <col min="108" max="108" width="13.7109375" style="0" customWidth="1"/>
    <col min="109" max="110" width="3.7109375" style="0" customWidth="1"/>
    <col min="112" max="112" width="3.7109375" style="0" customWidth="1"/>
    <col min="114" max="114" width="3.7109375" style="0" customWidth="1"/>
    <col min="116" max="116" width="3.7109375" style="0" customWidth="1"/>
    <col min="118" max="118" width="3.7109375" style="0" customWidth="1"/>
    <col min="126" max="126" width="5.7109375" style="0" customWidth="1"/>
    <col min="140" max="140" width="5.7109375" style="0" customWidth="1"/>
    <col min="141" max="141" width="62.7109375" style="0" customWidth="1"/>
    <col min="142" max="143" width="5.7109375" style="0" customWidth="1"/>
    <col min="144" max="144" width="62.7109375" style="0" customWidth="1"/>
    <col min="145" max="146" width="5.7109375" style="0" customWidth="1"/>
    <col min="147" max="147" width="62.7109375" style="0" customWidth="1"/>
    <col min="148" max="149" width="5.7109375" style="0" customWidth="1"/>
    <col min="150" max="150" width="62.7109375" style="0" customWidth="1"/>
    <col min="151" max="151" width="5.7109375" style="0" customWidth="1"/>
  </cols>
  <sheetData>
    <row r="1" spans="1:21" ht="15.75">
      <c r="A1" s="3" t="s">
        <v>111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2.75">
      <c r="A3" s="4"/>
      <c r="B3" s="4"/>
      <c r="C3" s="4"/>
      <c r="D3" s="4"/>
      <c r="E3" s="4"/>
      <c r="F3" s="5" t="s">
        <v>112</v>
      </c>
      <c r="G3" s="6"/>
      <c r="H3" s="6"/>
      <c r="I3" s="6"/>
      <c r="J3" s="7"/>
      <c r="K3" s="5" t="s">
        <v>112</v>
      </c>
      <c r="L3" s="6"/>
      <c r="M3" s="6"/>
      <c r="N3" s="6"/>
      <c r="O3" s="7"/>
      <c r="P3" s="5" t="s">
        <v>113</v>
      </c>
      <c r="Q3" s="6"/>
      <c r="R3" s="6"/>
      <c r="S3" s="6"/>
      <c r="T3" s="7"/>
      <c r="U3" s="2"/>
    </row>
    <row r="4" spans="1:21" ht="12.75">
      <c r="A4" s="1"/>
      <c r="B4" s="1" t="s">
        <v>114</v>
      </c>
      <c r="C4" s="1"/>
      <c r="D4" s="1"/>
      <c r="E4" s="1"/>
      <c r="F4" s="8" t="s">
        <v>115</v>
      </c>
      <c r="G4" s="9"/>
      <c r="H4" s="9"/>
      <c r="I4" s="9"/>
      <c r="J4" s="10"/>
      <c r="K4" s="8" t="s">
        <v>116</v>
      </c>
      <c r="L4" s="9"/>
      <c r="M4" s="9"/>
      <c r="N4" s="9"/>
      <c r="O4" s="10"/>
      <c r="P4" s="8" t="s">
        <v>115</v>
      </c>
      <c r="Q4" s="9"/>
      <c r="R4" s="9"/>
      <c r="S4" s="9"/>
      <c r="T4" s="10"/>
      <c r="U4" s="2"/>
    </row>
    <row r="5" spans="1:21" ht="12.75">
      <c r="A5" s="11" t="s">
        <v>117</v>
      </c>
      <c r="B5" s="11" t="s">
        <v>118</v>
      </c>
      <c r="C5" s="11" t="s">
        <v>119</v>
      </c>
      <c r="D5" s="161" t="s">
        <v>120</v>
      </c>
      <c r="E5" s="161" t="s">
        <v>121</v>
      </c>
      <c r="F5" s="162" t="s">
        <v>122</v>
      </c>
      <c r="G5" s="163" t="s">
        <v>123</v>
      </c>
      <c r="H5" s="163" t="s">
        <v>124</v>
      </c>
      <c r="I5" s="164" t="s">
        <v>125</v>
      </c>
      <c r="J5" s="164" t="s">
        <v>126</v>
      </c>
      <c r="K5" s="162" t="s">
        <v>122</v>
      </c>
      <c r="L5" s="163" t="s">
        <v>123</v>
      </c>
      <c r="M5" s="163" t="s">
        <v>124</v>
      </c>
      <c r="N5" s="164" t="s">
        <v>125</v>
      </c>
      <c r="O5" s="164" t="s">
        <v>126</v>
      </c>
      <c r="P5" s="162" t="s">
        <v>122</v>
      </c>
      <c r="Q5" s="163" t="s">
        <v>123</v>
      </c>
      <c r="R5" s="163" t="s">
        <v>124</v>
      </c>
      <c r="S5" s="164" t="s">
        <v>125</v>
      </c>
      <c r="T5" s="164" t="s">
        <v>126</v>
      </c>
      <c r="U5" s="2"/>
    </row>
    <row r="6" spans="1:21" ht="12.75">
      <c r="A6" s="1" t="s">
        <v>127</v>
      </c>
      <c r="B6" s="9" t="s">
        <v>128</v>
      </c>
      <c r="C6" s="12" t="s">
        <v>129</v>
      </c>
      <c r="D6" s="165" t="s">
        <v>130</v>
      </c>
      <c r="E6" s="14" t="s">
        <v>131</v>
      </c>
      <c r="F6" s="13">
        <v>165286</v>
      </c>
      <c r="G6" s="13">
        <v>154663</v>
      </c>
      <c r="H6" s="13">
        <v>60447</v>
      </c>
      <c r="I6" s="15">
        <v>180986</v>
      </c>
      <c r="J6" s="15">
        <f aca="true" t="shared" si="0" ref="J6:J69">SUM(F6:I6)</f>
        <v>561382</v>
      </c>
      <c r="K6" s="12"/>
      <c r="L6" s="1"/>
      <c r="M6" s="1"/>
      <c r="N6" s="16"/>
      <c r="O6" s="15">
        <f aca="true" t="shared" si="1" ref="O6:O69">SUM(K6:N6)</f>
        <v>0</v>
      </c>
      <c r="P6" s="13">
        <v>15019</v>
      </c>
      <c r="Q6" s="13">
        <v>14281</v>
      </c>
      <c r="R6" s="13">
        <v>13649</v>
      </c>
      <c r="S6" s="15">
        <v>15423</v>
      </c>
      <c r="T6" s="15">
        <f aca="true" t="shared" si="2" ref="T6:T69">SUM(P6:S6)</f>
        <v>58372</v>
      </c>
      <c r="U6" s="2"/>
    </row>
    <row r="7" spans="1:21" ht="12.75">
      <c r="A7" s="1" t="s">
        <v>127</v>
      </c>
      <c r="B7" s="9" t="s">
        <v>128</v>
      </c>
      <c r="C7" s="12" t="s">
        <v>132</v>
      </c>
      <c r="D7" s="165" t="s">
        <v>133</v>
      </c>
      <c r="E7" s="14" t="s">
        <v>131</v>
      </c>
      <c r="F7" s="13"/>
      <c r="G7" s="13">
        <v>184876</v>
      </c>
      <c r="H7" s="13">
        <f>46147+288</f>
        <v>46435</v>
      </c>
      <c r="I7" s="15">
        <f>199946+201</f>
        <v>200147</v>
      </c>
      <c r="J7" s="15">
        <f t="shared" si="0"/>
        <v>431458</v>
      </c>
      <c r="K7" s="12"/>
      <c r="L7" s="1"/>
      <c r="M7" s="1"/>
      <c r="N7" s="16"/>
      <c r="O7" s="15">
        <f t="shared" si="1"/>
        <v>0</v>
      </c>
      <c r="P7" s="13"/>
      <c r="Q7" s="13">
        <v>27012</v>
      </c>
      <c r="R7" s="13">
        <f>10565+4796+174+9</f>
        <v>15544</v>
      </c>
      <c r="S7" s="15">
        <f>23906+1941+156+111</f>
        <v>26114</v>
      </c>
      <c r="T7" s="15">
        <f t="shared" si="2"/>
        <v>68670</v>
      </c>
      <c r="U7" s="2"/>
    </row>
    <row r="8" spans="1:21" ht="12.75">
      <c r="A8" s="1" t="s">
        <v>127</v>
      </c>
      <c r="B8" s="9" t="s">
        <v>128</v>
      </c>
      <c r="C8" s="12" t="s">
        <v>134</v>
      </c>
      <c r="D8" s="165" t="s">
        <v>135</v>
      </c>
      <c r="E8" s="14" t="s">
        <v>136</v>
      </c>
      <c r="F8" s="13">
        <v>79983</v>
      </c>
      <c r="G8" s="13">
        <v>71140</v>
      </c>
      <c r="H8" s="13">
        <v>36085</v>
      </c>
      <c r="I8" s="15">
        <v>83962</v>
      </c>
      <c r="J8" s="15">
        <f t="shared" si="0"/>
        <v>271170</v>
      </c>
      <c r="K8" s="17"/>
      <c r="L8" s="1"/>
      <c r="M8" s="1"/>
      <c r="N8" s="16"/>
      <c r="O8" s="15">
        <f t="shared" si="1"/>
        <v>0</v>
      </c>
      <c r="P8" s="13">
        <v>15211</v>
      </c>
      <c r="Q8" s="13">
        <v>14357</v>
      </c>
      <c r="R8" s="13">
        <v>13316</v>
      </c>
      <c r="S8" s="15">
        <v>16289</v>
      </c>
      <c r="T8" s="15">
        <f t="shared" si="2"/>
        <v>59173</v>
      </c>
      <c r="U8" s="2"/>
    </row>
    <row r="9" spans="1:21" ht="12" customHeight="1">
      <c r="A9" s="1" t="s">
        <v>127</v>
      </c>
      <c r="B9" s="9" t="s">
        <v>128</v>
      </c>
      <c r="C9" s="12" t="s">
        <v>137</v>
      </c>
      <c r="D9" s="165" t="s">
        <v>138</v>
      </c>
      <c r="E9" s="14" t="s">
        <v>139</v>
      </c>
      <c r="F9" s="17"/>
      <c r="G9" s="13">
        <f>56152+168</f>
        <v>56320</v>
      </c>
      <c r="H9" s="13">
        <v>9762</v>
      </c>
      <c r="I9" s="15">
        <f>363+50093</f>
        <v>50456</v>
      </c>
      <c r="J9" s="15">
        <f t="shared" si="0"/>
        <v>116538</v>
      </c>
      <c r="K9" s="17"/>
      <c r="L9" s="1"/>
      <c r="M9" s="1"/>
      <c r="N9" s="16"/>
      <c r="O9" s="15">
        <f t="shared" si="1"/>
        <v>0</v>
      </c>
      <c r="P9" s="17"/>
      <c r="Q9" s="13">
        <f>450+8046</f>
        <v>8496</v>
      </c>
      <c r="R9" s="13">
        <v>6601</v>
      </c>
      <c r="S9" s="15">
        <f>7403+267</f>
        <v>7670</v>
      </c>
      <c r="T9" s="15">
        <f t="shared" si="2"/>
        <v>22767</v>
      </c>
      <c r="U9" s="2"/>
    </row>
    <row r="10" spans="1:21" ht="12.75">
      <c r="A10" s="1" t="s">
        <v>127</v>
      </c>
      <c r="B10" s="9" t="s">
        <v>128</v>
      </c>
      <c r="C10" s="12" t="s">
        <v>140</v>
      </c>
      <c r="D10" s="165" t="s">
        <v>141</v>
      </c>
      <c r="E10" s="14" t="s">
        <v>139</v>
      </c>
      <c r="F10" s="17"/>
      <c r="G10" s="13">
        <f>80366+2125+1859+1233+444</f>
        <v>86027</v>
      </c>
      <c r="H10" s="13">
        <v>27615</v>
      </c>
      <c r="I10" s="15">
        <f>83457+3067+1747+1389+408</f>
        <v>90068</v>
      </c>
      <c r="J10" s="15">
        <f t="shared" si="0"/>
        <v>203710</v>
      </c>
      <c r="K10" s="17"/>
      <c r="L10" s="1"/>
      <c r="M10" s="1"/>
      <c r="N10" s="16"/>
      <c r="O10" s="15">
        <f t="shared" si="1"/>
        <v>0</v>
      </c>
      <c r="P10" s="17"/>
      <c r="Q10" s="13">
        <f>5767+432+39+264</f>
        <v>6502</v>
      </c>
      <c r="R10" s="13">
        <v>6391</v>
      </c>
      <c r="S10" s="15">
        <f>363+57+276+5772</f>
        <v>6468</v>
      </c>
      <c r="T10" s="15">
        <f t="shared" si="2"/>
        <v>19361</v>
      </c>
      <c r="U10" s="2"/>
    </row>
    <row r="11" spans="1:21" ht="12.75">
      <c r="A11" s="1" t="s">
        <v>127</v>
      </c>
      <c r="B11" s="9" t="s">
        <v>128</v>
      </c>
      <c r="C11" s="12" t="s">
        <v>142</v>
      </c>
      <c r="D11" s="165" t="s">
        <v>143</v>
      </c>
      <c r="E11" s="14" t="s">
        <v>139</v>
      </c>
      <c r="F11" s="17"/>
      <c r="G11" s="13">
        <v>47946</v>
      </c>
      <c r="H11" s="13">
        <v>16903</v>
      </c>
      <c r="I11" s="15">
        <v>52386</v>
      </c>
      <c r="J11" s="15">
        <f t="shared" si="0"/>
        <v>117235</v>
      </c>
      <c r="K11" s="17"/>
      <c r="L11" s="1"/>
      <c r="M11" s="1"/>
      <c r="N11" s="16"/>
      <c r="O11" s="15">
        <f t="shared" si="1"/>
        <v>0</v>
      </c>
      <c r="P11" s="17"/>
      <c r="Q11" s="13">
        <v>7860</v>
      </c>
      <c r="R11" s="13">
        <v>6145</v>
      </c>
      <c r="S11" s="15">
        <v>8295</v>
      </c>
      <c r="T11" s="15">
        <f t="shared" si="2"/>
        <v>22300</v>
      </c>
      <c r="U11" s="2"/>
    </row>
    <row r="12" spans="1:21" ht="12.75">
      <c r="A12" s="1" t="s">
        <v>127</v>
      </c>
      <c r="B12" s="9" t="s">
        <v>128</v>
      </c>
      <c r="C12" s="12" t="s">
        <v>144</v>
      </c>
      <c r="D12" s="165" t="s">
        <v>145</v>
      </c>
      <c r="E12" s="14" t="s">
        <v>139</v>
      </c>
      <c r="F12" s="13">
        <v>72176</v>
      </c>
      <c r="G12" s="13">
        <v>65851</v>
      </c>
      <c r="H12" s="13">
        <v>26912</v>
      </c>
      <c r="I12" s="15">
        <v>74680</v>
      </c>
      <c r="J12" s="15">
        <f t="shared" si="0"/>
        <v>239619</v>
      </c>
      <c r="K12" s="17"/>
      <c r="L12" s="1"/>
      <c r="M12" s="1"/>
      <c r="N12" s="16"/>
      <c r="O12" s="15">
        <f t="shared" si="1"/>
        <v>0</v>
      </c>
      <c r="P12" s="13">
        <v>5444</v>
      </c>
      <c r="Q12" s="13">
        <v>5563</v>
      </c>
      <c r="R12" s="13">
        <v>5380</v>
      </c>
      <c r="S12" s="15">
        <v>5627</v>
      </c>
      <c r="T12" s="15">
        <f t="shared" si="2"/>
        <v>22014</v>
      </c>
      <c r="U12" s="2"/>
    </row>
    <row r="13" spans="1:21" ht="12.75">
      <c r="A13" s="1" t="s">
        <v>127</v>
      </c>
      <c r="B13" s="9" t="s">
        <v>128</v>
      </c>
      <c r="C13" s="12" t="s">
        <v>146</v>
      </c>
      <c r="D13" s="165" t="s">
        <v>147</v>
      </c>
      <c r="E13" s="14" t="s">
        <v>148</v>
      </c>
      <c r="F13" s="13">
        <f>39847+934+27</f>
        <v>40808</v>
      </c>
      <c r="G13" s="13">
        <f>37048+581</f>
        <v>37629</v>
      </c>
      <c r="H13" s="13">
        <f>19873+400</f>
        <v>20273</v>
      </c>
      <c r="I13" s="15">
        <f>43762+1725</f>
        <v>45487</v>
      </c>
      <c r="J13" s="15">
        <f t="shared" si="0"/>
        <v>144197</v>
      </c>
      <c r="K13" s="17"/>
      <c r="L13" s="1"/>
      <c r="M13" s="1"/>
      <c r="N13" s="16"/>
      <c r="O13" s="15">
        <f t="shared" si="1"/>
        <v>0</v>
      </c>
      <c r="P13" s="13">
        <f>4399+283+110</f>
        <v>4792</v>
      </c>
      <c r="Q13" s="13">
        <f>4317+276+93</f>
        <v>4686</v>
      </c>
      <c r="R13" s="13">
        <f>4630+167</f>
        <v>4797</v>
      </c>
      <c r="S13" s="15">
        <f>4751+480+97</f>
        <v>5328</v>
      </c>
      <c r="T13" s="15">
        <f t="shared" si="2"/>
        <v>19603</v>
      </c>
      <c r="U13" s="2"/>
    </row>
    <row r="14" spans="1:21" ht="12.75">
      <c r="A14" s="1" t="s">
        <v>127</v>
      </c>
      <c r="B14" s="9" t="s">
        <v>128</v>
      </c>
      <c r="C14" s="12" t="s">
        <v>149</v>
      </c>
      <c r="D14" s="165" t="s">
        <v>150</v>
      </c>
      <c r="E14" s="14" t="s">
        <v>148</v>
      </c>
      <c r="F14" s="13">
        <v>49493</v>
      </c>
      <c r="G14" s="13">
        <f>44175+1896</f>
        <v>46071</v>
      </c>
      <c r="H14" s="13">
        <f>16603+1021</f>
        <v>17624</v>
      </c>
      <c r="I14" s="15">
        <f>47377+1651</f>
        <v>49028</v>
      </c>
      <c r="J14" s="15">
        <f t="shared" si="0"/>
        <v>162216</v>
      </c>
      <c r="K14" s="17"/>
      <c r="L14" s="1"/>
      <c r="M14" s="1"/>
      <c r="N14" s="16"/>
      <c r="O14" s="15">
        <f t="shared" si="1"/>
        <v>0</v>
      </c>
      <c r="P14" s="13">
        <v>6071</v>
      </c>
      <c r="Q14" s="13">
        <f>1866+3333</f>
        <v>5199</v>
      </c>
      <c r="R14" s="13">
        <f>3673+2584</f>
        <v>6257</v>
      </c>
      <c r="S14" s="15">
        <f>3054+2002</f>
        <v>5056</v>
      </c>
      <c r="T14" s="15">
        <f t="shared" si="2"/>
        <v>22583</v>
      </c>
      <c r="U14" s="2"/>
    </row>
    <row r="15" spans="1:21" ht="12.75">
      <c r="A15" s="1" t="s">
        <v>127</v>
      </c>
      <c r="B15" s="9" t="s">
        <v>128</v>
      </c>
      <c r="C15" s="12" t="s">
        <v>151</v>
      </c>
      <c r="D15" s="165" t="s">
        <v>152</v>
      </c>
      <c r="E15" s="14" t="s">
        <v>148</v>
      </c>
      <c r="F15" s="13">
        <f>9988+4495</f>
        <v>14483</v>
      </c>
      <c r="G15" s="13">
        <f>9495+4177</f>
        <v>13672</v>
      </c>
      <c r="H15" s="13">
        <f>6318+3122</f>
        <v>9440</v>
      </c>
      <c r="I15" s="15">
        <f>12426+4079</f>
        <v>16505</v>
      </c>
      <c r="J15" s="15">
        <f t="shared" si="0"/>
        <v>54100</v>
      </c>
      <c r="K15" s="17"/>
      <c r="L15" s="1"/>
      <c r="M15" s="1"/>
      <c r="N15" s="16"/>
      <c r="O15" s="15">
        <f t="shared" si="1"/>
        <v>0</v>
      </c>
      <c r="P15" s="13">
        <f>846+1866</f>
        <v>2712</v>
      </c>
      <c r="Q15" s="13">
        <f>1731+624</f>
        <v>2355</v>
      </c>
      <c r="R15" s="13">
        <f>1351+671</f>
        <v>2022</v>
      </c>
      <c r="S15" s="15">
        <f>1485+1083</f>
        <v>2568</v>
      </c>
      <c r="T15" s="15">
        <f t="shared" si="2"/>
        <v>9657</v>
      </c>
      <c r="U15" s="2"/>
    </row>
    <row r="16" spans="1:21" ht="12.75">
      <c r="A16" s="1" t="s">
        <v>127</v>
      </c>
      <c r="B16" s="9" t="s">
        <v>128</v>
      </c>
      <c r="C16" s="12" t="s">
        <v>153</v>
      </c>
      <c r="D16" s="165" t="s">
        <v>154</v>
      </c>
      <c r="E16" s="14" t="s">
        <v>148</v>
      </c>
      <c r="F16" s="17"/>
      <c r="G16" s="13">
        <f>34542+6</f>
        <v>34548</v>
      </c>
      <c r="H16" s="13">
        <f>8627+93</f>
        <v>8720</v>
      </c>
      <c r="I16" s="15">
        <f>37502+69</f>
        <v>37571</v>
      </c>
      <c r="J16" s="15">
        <f t="shared" si="0"/>
        <v>80839</v>
      </c>
      <c r="K16" s="17"/>
      <c r="L16" s="1"/>
      <c r="M16" s="1"/>
      <c r="N16" s="16"/>
      <c r="O16" s="15">
        <f t="shared" si="1"/>
        <v>0</v>
      </c>
      <c r="P16" s="17"/>
      <c r="Q16" s="13">
        <f>162+2240</f>
        <v>2402</v>
      </c>
      <c r="R16" s="13">
        <f>9+3684</f>
        <v>3693</v>
      </c>
      <c r="S16" s="15">
        <f>2548+3</f>
        <v>2551</v>
      </c>
      <c r="T16" s="15">
        <f t="shared" si="2"/>
        <v>8646</v>
      </c>
      <c r="U16" s="2"/>
    </row>
    <row r="17" spans="1:21" ht="12.75">
      <c r="A17" s="1" t="s">
        <v>127</v>
      </c>
      <c r="B17" s="9" t="s">
        <v>128</v>
      </c>
      <c r="C17" s="12" t="s">
        <v>155</v>
      </c>
      <c r="D17" s="165" t="s">
        <v>156</v>
      </c>
      <c r="E17" s="14" t="s">
        <v>157</v>
      </c>
      <c r="F17" s="17"/>
      <c r="G17" s="13">
        <v>65762</v>
      </c>
      <c r="H17" s="13">
        <v>14829</v>
      </c>
      <c r="I17" s="15">
        <v>67402</v>
      </c>
      <c r="J17" s="15">
        <f t="shared" si="0"/>
        <v>147993</v>
      </c>
      <c r="K17" s="17"/>
      <c r="L17" s="1"/>
      <c r="M17" s="1"/>
      <c r="N17" s="16"/>
      <c r="O17" s="15">
        <f t="shared" si="1"/>
        <v>0</v>
      </c>
      <c r="P17" s="17"/>
      <c r="Q17" s="13">
        <f>2551+414</f>
        <v>2965</v>
      </c>
      <c r="R17" s="13">
        <f>750+3851</f>
        <v>4601</v>
      </c>
      <c r="S17" s="15">
        <f>2809+996</f>
        <v>3805</v>
      </c>
      <c r="T17" s="15">
        <f t="shared" si="2"/>
        <v>11371</v>
      </c>
      <c r="U17" s="2"/>
    </row>
    <row r="18" spans="1:21" ht="12.75">
      <c r="A18" s="1" t="s">
        <v>127</v>
      </c>
      <c r="B18" s="9" t="s">
        <v>128</v>
      </c>
      <c r="C18" s="12" t="s">
        <v>158</v>
      </c>
      <c r="D18" s="165" t="s">
        <v>159</v>
      </c>
      <c r="E18" s="14" t="s">
        <v>157</v>
      </c>
      <c r="F18" s="13">
        <v>13632</v>
      </c>
      <c r="G18" s="13">
        <f>10683+1976</f>
        <v>12659</v>
      </c>
      <c r="H18" s="13">
        <f>7226+1249</f>
        <v>8475</v>
      </c>
      <c r="I18" s="15">
        <v>13934</v>
      </c>
      <c r="J18" s="15">
        <f t="shared" si="0"/>
        <v>48700</v>
      </c>
      <c r="K18" s="17"/>
      <c r="L18" s="1"/>
      <c r="M18" s="1"/>
      <c r="N18" s="16"/>
      <c r="O18" s="15">
        <f t="shared" si="1"/>
        <v>0</v>
      </c>
      <c r="P18" s="13">
        <v>2960</v>
      </c>
      <c r="Q18" s="13">
        <f>2298+308</f>
        <v>2606</v>
      </c>
      <c r="R18" s="13">
        <f>2123+320</f>
        <v>2443</v>
      </c>
      <c r="S18" s="15">
        <v>2382</v>
      </c>
      <c r="T18" s="15">
        <f t="shared" si="2"/>
        <v>10391</v>
      </c>
      <c r="U18" s="2"/>
    </row>
    <row r="19" spans="1:21" ht="12.75">
      <c r="A19" s="1" t="s">
        <v>127</v>
      </c>
      <c r="B19" s="9" t="s">
        <v>128</v>
      </c>
      <c r="C19" s="12" t="s">
        <v>160</v>
      </c>
      <c r="D19" s="165" t="s">
        <v>161</v>
      </c>
      <c r="E19" s="14" t="s">
        <v>157</v>
      </c>
      <c r="F19" s="17"/>
      <c r="G19" s="13">
        <v>54531</v>
      </c>
      <c r="H19" s="13">
        <v>11558</v>
      </c>
      <c r="I19" s="15">
        <v>61959</v>
      </c>
      <c r="J19" s="15">
        <f t="shared" si="0"/>
        <v>128048</v>
      </c>
      <c r="K19" s="17"/>
      <c r="L19" s="1"/>
      <c r="M19" s="1"/>
      <c r="N19" s="16"/>
      <c r="O19" s="15">
        <f t="shared" si="1"/>
        <v>0</v>
      </c>
      <c r="P19" s="17"/>
      <c r="Q19" s="13">
        <v>2525</v>
      </c>
      <c r="R19" s="13">
        <v>2474</v>
      </c>
      <c r="S19" s="15">
        <v>2706</v>
      </c>
      <c r="T19" s="15">
        <f t="shared" si="2"/>
        <v>7705</v>
      </c>
      <c r="U19" s="2"/>
    </row>
    <row r="20" spans="1:21" ht="12.75">
      <c r="A20" s="1" t="s">
        <v>127</v>
      </c>
      <c r="B20" s="9" t="s">
        <v>128</v>
      </c>
      <c r="C20" s="12" t="s">
        <v>162</v>
      </c>
      <c r="D20" s="165" t="s">
        <v>163</v>
      </c>
      <c r="E20" s="14" t="s">
        <v>157</v>
      </c>
      <c r="F20" s="13">
        <v>17177</v>
      </c>
      <c r="G20" s="13">
        <v>15822</v>
      </c>
      <c r="H20" s="13">
        <v>5351</v>
      </c>
      <c r="I20" s="15">
        <v>18476</v>
      </c>
      <c r="J20" s="15">
        <f t="shared" si="0"/>
        <v>56826</v>
      </c>
      <c r="K20" s="17"/>
      <c r="L20" s="1"/>
      <c r="M20" s="1"/>
      <c r="N20" s="16"/>
      <c r="O20" s="15">
        <f t="shared" si="1"/>
        <v>0</v>
      </c>
      <c r="P20" s="13">
        <f>1161+203</f>
        <v>1364</v>
      </c>
      <c r="Q20" s="13">
        <f>1350+189</f>
        <v>1539</v>
      </c>
      <c r="R20" s="13">
        <v>1793</v>
      </c>
      <c r="S20" s="15">
        <f>971+144</f>
        <v>1115</v>
      </c>
      <c r="T20" s="15">
        <f t="shared" si="2"/>
        <v>5811</v>
      </c>
      <c r="U20" s="2"/>
    </row>
    <row r="21" spans="1:21" ht="12.75">
      <c r="A21" s="1" t="s">
        <v>127</v>
      </c>
      <c r="B21" s="9" t="s">
        <v>128</v>
      </c>
      <c r="C21" s="12" t="s">
        <v>164</v>
      </c>
      <c r="D21" s="165" t="s">
        <v>165</v>
      </c>
      <c r="E21" s="14" t="s">
        <v>166</v>
      </c>
      <c r="F21" s="13">
        <f>18637+3078</f>
        <v>21715</v>
      </c>
      <c r="G21" s="13">
        <f>18008+3325</f>
        <v>21333</v>
      </c>
      <c r="H21" s="13">
        <f>2853+12183</f>
        <v>15036</v>
      </c>
      <c r="I21" s="15">
        <f>19035+3610</f>
        <v>22645</v>
      </c>
      <c r="J21" s="15">
        <f t="shared" si="0"/>
        <v>80729</v>
      </c>
      <c r="K21" s="17"/>
      <c r="L21" s="1"/>
      <c r="M21" s="1"/>
      <c r="N21" s="16"/>
      <c r="O21" s="15">
        <f t="shared" si="1"/>
        <v>0</v>
      </c>
      <c r="P21" s="17"/>
      <c r="Q21" s="1"/>
      <c r="R21" s="1"/>
      <c r="S21" s="15"/>
      <c r="T21" s="15">
        <f t="shared" si="2"/>
        <v>0</v>
      </c>
      <c r="U21" s="2"/>
    </row>
    <row r="22" spans="1:21" ht="12.75">
      <c r="A22" s="1" t="s">
        <v>127</v>
      </c>
      <c r="B22" s="9" t="s">
        <v>167</v>
      </c>
      <c r="C22" s="12" t="s">
        <v>168</v>
      </c>
      <c r="D22" s="165" t="s">
        <v>169</v>
      </c>
      <c r="E22" s="14" t="s">
        <v>170</v>
      </c>
      <c r="F22" s="12">
        <v>19851</v>
      </c>
      <c r="G22" s="12">
        <v>18331</v>
      </c>
      <c r="H22" s="1">
        <v>12299</v>
      </c>
      <c r="I22" s="15">
        <v>24528</v>
      </c>
      <c r="J22" s="15">
        <f t="shared" si="0"/>
        <v>75009</v>
      </c>
      <c r="K22" s="12"/>
      <c r="L22" s="1"/>
      <c r="M22" s="1"/>
      <c r="N22" s="16"/>
      <c r="O22" s="15">
        <f t="shared" si="1"/>
        <v>0</v>
      </c>
      <c r="P22" s="17"/>
      <c r="Q22" s="1"/>
      <c r="R22" s="1"/>
      <c r="S22" s="16"/>
      <c r="T22" s="15">
        <f t="shared" si="2"/>
        <v>0</v>
      </c>
      <c r="U22" s="2"/>
    </row>
    <row r="23" spans="1:21" ht="12.75">
      <c r="A23" s="1" t="s">
        <v>127</v>
      </c>
      <c r="B23" s="9" t="s">
        <v>167</v>
      </c>
      <c r="C23" s="12" t="s">
        <v>171</v>
      </c>
      <c r="D23" s="165" t="s">
        <v>172</v>
      </c>
      <c r="E23" s="14" t="s">
        <v>170</v>
      </c>
      <c r="F23" s="12">
        <v>48862</v>
      </c>
      <c r="G23" s="12">
        <v>68385</v>
      </c>
      <c r="H23" s="1">
        <v>27405</v>
      </c>
      <c r="I23" s="15">
        <v>54518</v>
      </c>
      <c r="J23" s="15">
        <f t="shared" si="0"/>
        <v>199170</v>
      </c>
      <c r="K23" s="12"/>
      <c r="L23" s="1"/>
      <c r="M23" s="1"/>
      <c r="N23" s="16"/>
      <c r="O23" s="15">
        <f t="shared" si="1"/>
        <v>0</v>
      </c>
      <c r="P23" s="17"/>
      <c r="Q23" s="1"/>
      <c r="R23" s="1"/>
      <c r="S23" s="16"/>
      <c r="T23" s="15">
        <f t="shared" si="2"/>
        <v>0</v>
      </c>
      <c r="U23" s="2"/>
    </row>
    <row r="24" spans="1:21" ht="12.75">
      <c r="A24" s="1" t="s">
        <v>127</v>
      </c>
      <c r="B24" s="9" t="s">
        <v>167</v>
      </c>
      <c r="C24" s="12" t="s">
        <v>173</v>
      </c>
      <c r="D24" s="165" t="s">
        <v>174</v>
      </c>
      <c r="E24" s="14" t="s">
        <v>170</v>
      </c>
      <c r="F24" s="12">
        <v>49425</v>
      </c>
      <c r="G24" s="12">
        <v>46022</v>
      </c>
      <c r="H24" s="1">
        <v>30276</v>
      </c>
      <c r="I24" s="15">
        <v>47643</v>
      </c>
      <c r="J24" s="15">
        <f t="shared" si="0"/>
        <v>173366</v>
      </c>
      <c r="K24" s="12"/>
      <c r="L24" s="1"/>
      <c r="M24" s="1"/>
      <c r="N24" s="16"/>
      <c r="O24" s="15">
        <f t="shared" si="1"/>
        <v>0</v>
      </c>
      <c r="P24" s="17"/>
      <c r="Q24" s="1"/>
      <c r="R24" s="1"/>
      <c r="S24" s="16"/>
      <c r="T24" s="15">
        <f t="shared" si="2"/>
        <v>0</v>
      </c>
      <c r="U24" s="2"/>
    </row>
    <row r="25" spans="1:21" ht="12.75">
      <c r="A25" s="1" t="s">
        <v>127</v>
      </c>
      <c r="B25" s="9" t="s">
        <v>167</v>
      </c>
      <c r="C25" s="12" t="s">
        <v>175</v>
      </c>
      <c r="D25" s="165" t="s">
        <v>176</v>
      </c>
      <c r="E25" s="14" t="s">
        <v>170</v>
      </c>
      <c r="F25" s="12">
        <v>24046</v>
      </c>
      <c r="G25" s="12">
        <v>20981</v>
      </c>
      <c r="H25" s="1">
        <v>14412</v>
      </c>
      <c r="I25" s="15">
        <v>25054</v>
      </c>
      <c r="J25" s="15">
        <f t="shared" si="0"/>
        <v>84493</v>
      </c>
      <c r="K25" s="12"/>
      <c r="L25" s="1"/>
      <c r="M25" s="1"/>
      <c r="N25" s="16"/>
      <c r="O25" s="15">
        <f t="shared" si="1"/>
        <v>0</v>
      </c>
      <c r="P25" s="17"/>
      <c r="Q25" s="1"/>
      <c r="R25" s="1"/>
      <c r="S25" s="16"/>
      <c r="T25" s="15">
        <f t="shared" si="2"/>
        <v>0</v>
      </c>
      <c r="U25" s="2"/>
    </row>
    <row r="26" spans="1:21" ht="12.75">
      <c r="A26" s="1" t="s">
        <v>127</v>
      </c>
      <c r="B26" s="9" t="s">
        <v>167</v>
      </c>
      <c r="C26" s="12" t="s">
        <v>177</v>
      </c>
      <c r="D26" s="165" t="s">
        <v>178</v>
      </c>
      <c r="E26" s="14" t="s">
        <v>170</v>
      </c>
      <c r="F26" s="12">
        <v>24029</v>
      </c>
      <c r="G26" s="12">
        <v>22695</v>
      </c>
      <c r="H26" s="1">
        <v>14461</v>
      </c>
      <c r="I26" s="15">
        <v>24184</v>
      </c>
      <c r="J26" s="15">
        <f t="shared" si="0"/>
        <v>85369</v>
      </c>
      <c r="K26" s="12"/>
      <c r="L26" s="1"/>
      <c r="M26" s="1"/>
      <c r="N26" s="16"/>
      <c r="O26" s="15">
        <f t="shared" si="1"/>
        <v>0</v>
      </c>
      <c r="P26" s="17"/>
      <c r="Q26" s="1"/>
      <c r="R26" s="1"/>
      <c r="S26" s="16"/>
      <c r="T26" s="15">
        <f t="shared" si="2"/>
        <v>0</v>
      </c>
      <c r="U26" s="2"/>
    </row>
    <row r="27" spans="1:21" ht="12.75">
      <c r="A27" s="1" t="s">
        <v>127</v>
      </c>
      <c r="B27" s="9" t="s">
        <v>167</v>
      </c>
      <c r="C27" s="12" t="s">
        <v>179</v>
      </c>
      <c r="D27" s="165" t="s">
        <v>180</v>
      </c>
      <c r="E27" s="14" t="s">
        <v>170</v>
      </c>
      <c r="F27" s="12">
        <v>21472</v>
      </c>
      <c r="G27" s="12">
        <v>19911</v>
      </c>
      <c r="H27" s="1">
        <v>10719</v>
      </c>
      <c r="I27" s="15">
        <v>21876</v>
      </c>
      <c r="J27" s="15">
        <f t="shared" si="0"/>
        <v>73978</v>
      </c>
      <c r="K27" s="12"/>
      <c r="L27" s="1"/>
      <c r="M27" s="1"/>
      <c r="N27" s="16"/>
      <c r="O27" s="15">
        <f t="shared" si="1"/>
        <v>0</v>
      </c>
      <c r="P27" s="17"/>
      <c r="Q27" s="1"/>
      <c r="R27" s="1"/>
      <c r="S27" s="16"/>
      <c r="T27" s="15">
        <f t="shared" si="2"/>
        <v>0</v>
      </c>
      <c r="U27" s="2"/>
    </row>
    <row r="28" spans="1:21" ht="12.75">
      <c r="A28" s="1" t="s">
        <v>127</v>
      </c>
      <c r="B28" s="9" t="s">
        <v>167</v>
      </c>
      <c r="C28" s="12" t="s">
        <v>181</v>
      </c>
      <c r="D28" s="165" t="s">
        <v>182</v>
      </c>
      <c r="E28" s="14" t="s">
        <v>170</v>
      </c>
      <c r="F28" s="12">
        <v>65455</v>
      </c>
      <c r="G28" s="12">
        <v>59934</v>
      </c>
      <c r="H28" s="1">
        <v>35390</v>
      </c>
      <c r="I28" s="15">
        <v>65497</v>
      </c>
      <c r="J28" s="15">
        <f t="shared" si="0"/>
        <v>226276</v>
      </c>
      <c r="K28" s="12"/>
      <c r="L28" s="1"/>
      <c r="M28" s="1"/>
      <c r="N28" s="16"/>
      <c r="O28" s="15">
        <f t="shared" si="1"/>
        <v>0</v>
      </c>
      <c r="P28" s="17"/>
      <c r="Q28" s="1"/>
      <c r="R28" s="1"/>
      <c r="S28" s="16"/>
      <c r="T28" s="15">
        <f t="shared" si="2"/>
        <v>0</v>
      </c>
      <c r="U28" s="2"/>
    </row>
    <row r="29" spans="1:21" ht="12.75">
      <c r="A29" s="1" t="s">
        <v>127</v>
      </c>
      <c r="B29" s="9" t="s">
        <v>167</v>
      </c>
      <c r="C29" s="12" t="s">
        <v>183</v>
      </c>
      <c r="D29" s="165" t="s">
        <v>184</v>
      </c>
      <c r="E29" s="14" t="s">
        <v>170</v>
      </c>
      <c r="F29" s="12">
        <v>22437</v>
      </c>
      <c r="G29" s="12">
        <v>20205</v>
      </c>
      <c r="H29" s="1">
        <v>13018</v>
      </c>
      <c r="I29" s="15">
        <v>23595</v>
      </c>
      <c r="J29" s="15">
        <f t="shared" si="0"/>
        <v>79255</v>
      </c>
      <c r="K29" s="12"/>
      <c r="L29" s="1"/>
      <c r="M29" s="1"/>
      <c r="N29" s="16"/>
      <c r="O29" s="15">
        <f t="shared" si="1"/>
        <v>0</v>
      </c>
      <c r="P29" s="17"/>
      <c r="Q29" s="1"/>
      <c r="R29" s="1"/>
      <c r="S29" s="16"/>
      <c r="T29" s="15">
        <f t="shared" si="2"/>
        <v>0</v>
      </c>
      <c r="U29" s="2"/>
    </row>
    <row r="30" spans="1:21" ht="12.75">
      <c r="A30" s="1" t="s">
        <v>127</v>
      </c>
      <c r="B30" s="9" t="s">
        <v>167</v>
      </c>
      <c r="C30" s="12" t="s">
        <v>185</v>
      </c>
      <c r="D30" s="165" t="s">
        <v>186</v>
      </c>
      <c r="E30" s="14" t="s">
        <v>170</v>
      </c>
      <c r="F30" s="12">
        <v>38007</v>
      </c>
      <c r="G30" s="12">
        <v>34348</v>
      </c>
      <c r="H30" s="1">
        <v>22451</v>
      </c>
      <c r="I30" s="15">
        <v>38752</v>
      </c>
      <c r="J30" s="15">
        <f t="shared" si="0"/>
        <v>133558</v>
      </c>
      <c r="K30" s="12"/>
      <c r="L30" s="1"/>
      <c r="M30" s="1"/>
      <c r="N30" s="16"/>
      <c r="O30" s="15">
        <f t="shared" si="1"/>
        <v>0</v>
      </c>
      <c r="P30" s="17"/>
      <c r="Q30" s="1"/>
      <c r="R30" s="1"/>
      <c r="S30" s="16"/>
      <c r="T30" s="15">
        <f t="shared" si="2"/>
        <v>0</v>
      </c>
      <c r="U30" s="2"/>
    </row>
    <row r="31" spans="1:21" ht="12.75">
      <c r="A31" s="1" t="s">
        <v>127</v>
      </c>
      <c r="B31" s="9" t="s">
        <v>167</v>
      </c>
      <c r="C31" s="12" t="s">
        <v>187</v>
      </c>
      <c r="D31" s="165" t="s">
        <v>188</v>
      </c>
      <c r="E31" s="14" t="s">
        <v>170</v>
      </c>
      <c r="F31" s="12">
        <v>37214</v>
      </c>
      <c r="G31" s="12">
        <v>31936</v>
      </c>
      <c r="H31" s="1">
        <v>16764</v>
      </c>
      <c r="I31" s="15">
        <v>37124</v>
      </c>
      <c r="J31" s="15">
        <f t="shared" si="0"/>
        <v>123038</v>
      </c>
      <c r="K31" s="12"/>
      <c r="L31" s="1"/>
      <c r="M31" s="1"/>
      <c r="N31" s="16"/>
      <c r="O31" s="15">
        <f t="shared" si="1"/>
        <v>0</v>
      </c>
      <c r="P31" s="17"/>
      <c r="Q31" s="1"/>
      <c r="R31" s="1"/>
      <c r="S31" s="16"/>
      <c r="T31" s="15">
        <f t="shared" si="2"/>
        <v>0</v>
      </c>
      <c r="U31" s="2"/>
    </row>
    <row r="32" spans="1:21" ht="12.75">
      <c r="A32" s="1" t="s">
        <v>127</v>
      </c>
      <c r="B32" s="9" t="s">
        <v>167</v>
      </c>
      <c r="C32" s="12" t="s">
        <v>189</v>
      </c>
      <c r="D32" s="165" t="s">
        <v>190</v>
      </c>
      <c r="E32" s="14" t="s">
        <v>170</v>
      </c>
      <c r="F32" s="12">
        <v>23268</v>
      </c>
      <c r="G32" s="12">
        <v>19666</v>
      </c>
      <c r="H32" s="1">
        <v>13381</v>
      </c>
      <c r="I32" s="15">
        <v>18659</v>
      </c>
      <c r="J32" s="15">
        <f t="shared" si="0"/>
        <v>74974</v>
      </c>
      <c r="K32" s="12"/>
      <c r="L32" s="1"/>
      <c r="M32" s="1"/>
      <c r="N32" s="16"/>
      <c r="O32" s="15">
        <f t="shared" si="1"/>
        <v>0</v>
      </c>
      <c r="P32" s="17"/>
      <c r="Q32" s="1"/>
      <c r="R32" s="1"/>
      <c r="S32" s="16"/>
      <c r="T32" s="15">
        <f t="shared" si="2"/>
        <v>0</v>
      </c>
      <c r="U32" s="2"/>
    </row>
    <row r="33" spans="1:21" ht="12.75">
      <c r="A33" s="1" t="s">
        <v>127</v>
      </c>
      <c r="B33" s="9" t="s">
        <v>167</v>
      </c>
      <c r="C33" s="12" t="s">
        <v>191</v>
      </c>
      <c r="D33" s="165" t="s">
        <v>192</v>
      </c>
      <c r="E33" s="14" t="s">
        <v>170</v>
      </c>
      <c r="F33" s="12">
        <v>61308</v>
      </c>
      <c r="G33" s="12">
        <v>55339</v>
      </c>
      <c r="H33" s="1">
        <v>34125</v>
      </c>
      <c r="I33" s="15">
        <v>64253</v>
      </c>
      <c r="J33" s="15">
        <f t="shared" si="0"/>
        <v>215025</v>
      </c>
      <c r="K33" s="12"/>
      <c r="L33" s="1"/>
      <c r="M33" s="1"/>
      <c r="N33" s="16"/>
      <c r="O33" s="15">
        <f t="shared" si="1"/>
        <v>0</v>
      </c>
      <c r="P33" s="17"/>
      <c r="Q33" s="1"/>
      <c r="R33" s="1"/>
      <c r="S33" s="16"/>
      <c r="T33" s="15">
        <f t="shared" si="2"/>
        <v>0</v>
      </c>
      <c r="U33" s="2"/>
    </row>
    <row r="34" spans="1:21" ht="12.75">
      <c r="A34" s="1" t="s">
        <v>127</v>
      </c>
      <c r="B34" s="9" t="s">
        <v>167</v>
      </c>
      <c r="C34" s="12" t="s">
        <v>193</v>
      </c>
      <c r="D34" s="165" t="s">
        <v>194</v>
      </c>
      <c r="E34" s="14" t="s">
        <v>170</v>
      </c>
      <c r="F34" s="12">
        <v>72823</v>
      </c>
      <c r="G34" s="12">
        <v>67116</v>
      </c>
      <c r="H34" s="1">
        <v>35979</v>
      </c>
      <c r="I34" s="15">
        <v>76396</v>
      </c>
      <c r="J34" s="15">
        <f t="shared" si="0"/>
        <v>252314</v>
      </c>
      <c r="K34" s="12"/>
      <c r="L34" s="1"/>
      <c r="M34" s="1"/>
      <c r="N34" s="16"/>
      <c r="O34" s="15">
        <f t="shared" si="1"/>
        <v>0</v>
      </c>
      <c r="P34" s="17"/>
      <c r="Q34" s="1"/>
      <c r="R34" s="1"/>
      <c r="S34" s="16"/>
      <c r="T34" s="15">
        <f t="shared" si="2"/>
        <v>0</v>
      </c>
      <c r="U34" s="2"/>
    </row>
    <row r="35" spans="1:21" ht="12.75">
      <c r="A35" s="1" t="s">
        <v>127</v>
      </c>
      <c r="B35" s="9" t="s">
        <v>167</v>
      </c>
      <c r="C35" s="12" t="s">
        <v>195</v>
      </c>
      <c r="D35" s="165" t="s">
        <v>196</v>
      </c>
      <c r="E35" s="14" t="s">
        <v>170</v>
      </c>
      <c r="F35" s="12">
        <v>22342</v>
      </c>
      <c r="G35" s="12">
        <v>21639</v>
      </c>
      <c r="H35" s="1">
        <v>13400</v>
      </c>
      <c r="I35" s="15">
        <v>24622</v>
      </c>
      <c r="J35" s="15">
        <f t="shared" si="0"/>
        <v>82003</v>
      </c>
      <c r="K35" s="12"/>
      <c r="L35" s="1"/>
      <c r="M35" s="1"/>
      <c r="N35" s="16"/>
      <c r="O35" s="15">
        <f t="shared" si="1"/>
        <v>0</v>
      </c>
      <c r="P35" s="17"/>
      <c r="Q35" s="1"/>
      <c r="R35" s="1"/>
      <c r="S35" s="16"/>
      <c r="T35" s="15">
        <f t="shared" si="2"/>
        <v>0</v>
      </c>
      <c r="U35" s="2"/>
    </row>
    <row r="36" spans="1:21" ht="12.75">
      <c r="A36" s="1" t="s">
        <v>127</v>
      </c>
      <c r="B36" s="9" t="s">
        <v>167</v>
      </c>
      <c r="C36" s="12" t="s">
        <v>197</v>
      </c>
      <c r="D36" s="165" t="s">
        <v>198</v>
      </c>
      <c r="E36" s="14" t="s">
        <v>170</v>
      </c>
      <c r="F36" s="12">
        <v>13722</v>
      </c>
      <c r="G36" s="12">
        <v>12225</v>
      </c>
      <c r="H36" s="1">
        <v>7237</v>
      </c>
      <c r="I36" s="15">
        <v>14067</v>
      </c>
      <c r="J36" s="15">
        <f t="shared" si="0"/>
        <v>47251</v>
      </c>
      <c r="K36" s="12"/>
      <c r="L36" s="1"/>
      <c r="M36" s="1"/>
      <c r="N36" s="16"/>
      <c r="O36" s="15">
        <f t="shared" si="1"/>
        <v>0</v>
      </c>
      <c r="P36" s="17"/>
      <c r="Q36" s="1"/>
      <c r="R36" s="1"/>
      <c r="S36" s="16"/>
      <c r="T36" s="15">
        <f t="shared" si="2"/>
        <v>0</v>
      </c>
      <c r="U36" s="2"/>
    </row>
    <row r="37" spans="1:21" ht="12.75">
      <c r="A37" s="1" t="s">
        <v>127</v>
      </c>
      <c r="B37" s="9" t="s">
        <v>167</v>
      </c>
      <c r="C37" s="12" t="s">
        <v>199</v>
      </c>
      <c r="D37" s="165" t="s">
        <v>200</v>
      </c>
      <c r="E37" s="14" t="s">
        <v>170</v>
      </c>
      <c r="F37" s="12">
        <v>18380</v>
      </c>
      <c r="G37" s="12">
        <v>17938</v>
      </c>
      <c r="H37" s="1">
        <v>8901</v>
      </c>
      <c r="I37" s="15">
        <v>20145</v>
      </c>
      <c r="J37" s="15">
        <f t="shared" si="0"/>
        <v>65364</v>
      </c>
      <c r="K37" s="12"/>
      <c r="L37" s="1"/>
      <c r="M37" s="1"/>
      <c r="N37" s="16"/>
      <c r="O37" s="15">
        <f t="shared" si="1"/>
        <v>0</v>
      </c>
      <c r="P37" s="17"/>
      <c r="Q37" s="1"/>
      <c r="R37" s="1"/>
      <c r="S37" s="16"/>
      <c r="T37" s="15">
        <f t="shared" si="2"/>
        <v>0</v>
      </c>
      <c r="U37" s="2"/>
    </row>
    <row r="38" spans="1:21" ht="12.75">
      <c r="A38" s="1" t="s">
        <v>127</v>
      </c>
      <c r="B38" s="9" t="s">
        <v>167</v>
      </c>
      <c r="C38" s="12" t="s">
        <v>201</v>
      </c>
      <c r="D38" s="165" t="s">
        <v>202</v>
      </c>
      <c r="E38" s="14" t="s">
        <v>170</v>
      </c>
      <c r="F38" s="12">
        <v>43135</v>
      </c>
      <c r="G38" s="12">
        <v>39167</v>
      </c>
      <c r="H38" s="1">
        <v>25498</v>
      </c>
      <c r="I38" s="15">
        <v>42855</v>
      </c>
      <c r="J38" s="15">
        <f t="shared" si="0"/>
        <v>150655</v>
      </c>
      <c r="K38" s="12"/>
      <c r="L38" s="1"/>
      <c r="M38" s="1"/>
      <c r="N38" s="16"/>
      <c r="O38" s="15">
        <f t="shared" si="1"/>
        <v>0</v>
      </c>
      <c r="P38" s="17"/>
      <c r="Q38" s="1"/>
      <c r="R38" s="1"/>
      <c r="S38" s="16"/>
      <c r="T38" s="15">
        <f t="shared" si="2"/>
        <v>0</v>
      </c>
      <c r="U38" s="2"/>
    </row>
    <row r="39" spans="1:21" ht="12.75">
      <c r="A39" s="1" t="s">
        <v>127</v>
      </c>
      <c r="B39" s="9" t="s">
        <v>128</v>
      </c>
      <c r="C39" s="12" t="s">
        <v>203</v>
      </c>
      <c r="D39" s="165" t="s">
        <v>204</v>
      </c>
      <c r="E39" s="14" t="s">
        <v>170</v>
      </c>
      <c r="F39" s="12"/>
      <c r="G39" s="12">
        <v>85437</v>
      </c>
      <c r="H39" s="1">
        <v>46887</v>
      </c>
      <c r="I39" s="15">
        <v>80648</v>
      </c>
      <c r="J39" s="15">
        <f t="shared" si="0"/>
        <v>212972</v>
      </c>
      <c r="K39" s="12"/>
      <c r="L39" s="1"/>
      <c r="M39" s="1"/>
      <c r="N39" s="16"/>
      <c r="O39" s="15">
        <f t="shared" si="1"/>
        <v>0</v>
      </c>
      <c r="P39" s="17"/>
      <c r="Q39" s="1"/>
      <c r="R39" s="1"/>
      <c r="S39" s="16"/>
      <c r="T39" s="15">
        <f t="shared" si="2"/>
        <v>0</v>
      </c>
      <c r="U39" s="2"/>
    </row>
    <row r="40" spans="1:21" ht="12.75">
      <c r="A40" s="1" t="s">
        <v>127</v>
      </c>
      <c r="B40" s="9" t="s">
        <v>167</v>
      </c>
      <c r="C40" s="12" t="s">
        <v>205</v>
      </c>
      <c r="D40" s="165" t="s">
        <v>206</v>
      </c>
      <c r="E40" s="14" t="s">
        <v>170</v>
      </c>
      <c r="F40" s="12"/>
      <c r="G40" s="12"/>
      <c r="H40" s="1"/>
      <c r="I40" s="15"/>
      <c r="J40" s="15">
        <f t="shared" si="0"/>
        <v>0</v>
      </c>
      <c r="K40" s="12"/>
      <c r="L40" s="1"/>
      <c r="M40" s="1"/>
      <c r="N40" s="16"/>
      <c r="O40" s="15">
        <f t="shared" si="1"/>
        <v>0</v>
      </c>
      <c r="P40" s="17"/>
      <c r="Q40" s="1"/>
      <c r="R40" s="1"/>
      <c r="S40" s="16"/>
      <c r="T40" s="15">
        <f t="shared" si="2"/>
        <v>0</v>
      </c>
      <c r="U40" s="2"/>
    </row>
    <row r="41" spans="1:21" ht="12.75">
      <c r="A41" s="1" t="s">
        <v>127</v>
      </c>
      <c r="B41" s="9" t="s">
        <v>167</v>
      </c>
      <c r="C41" s="12" t="s">
        <v>207</v>
      </c>
      <c r="D41" s="165" t="s">
        <v>208</v>
      </c>
      <c r="E41" s="14" t="s">
        <v>170</v>
      </c>
      <c r="F41" s="12">
        <v>19344</v>
      </c>
      <c r="G41" s="12">
        <v>19307</v>
      </c>
      <c r="H41" s="1">
        <v>6118</v>
      </c>
      <c r="I41" s="15">
        <v>23361</v>
      </c>
      <c r="J41" s="15">
        <f t="shared" si="0"/>
        <v>68130</v>
      </c>
      <c r="K41" s="12"/>
      <c r="L41" s="1"/>
      <c r="M41" s="1"/>
      <c r="N41" s="16"/>
      <c r="O41" s="15">
        <f t="shared" si="1"/>
        <v>0</v>
      </c>
      <c r="P41" s="17"/>
      <c r="Q41" s="1"/>
      <c r="R41" s="1"/>
      <c r="S41" s="16"/>
      <c r="T41" s="15">
        <f t="shared" si="2"/>
        <v>0</v>
      </c>
      <c r="U41" s="2"/>
    </row>
    <row r="42" spans="1:21" ht="12.75">
      <c r="A42" s="1" t="s">
        <v>127</v>
      </c>
      <c r="B42" s="9" t="s">
        <v>167</v>
      </c>
      <c r="C42" s="12" t="s">
        <v>209</v>
      </c>
      <c r="D42" s="165" t="s">
        <v>210</v>
      </c>
      <c r="E42" s="14" t="s">
        <v>170</v>
      </c>
      <c r="F42" s="12">
        <v>55662</v>
      </c>
      <c r="G42" s="12">
        <v>47260</v>
      </c>
      <c r="H42" s="1">
        <v>30432</v>
      </c>
      <c r="I42" s="15">
        <v>53142</v>
      </c>
      <c r="J42" s="15">
        <f t="shared" si="0"/>
        <v>186496</v>
      </c>
      <c r="K42" s="12"/>
      <c r="L42" s="1"/>
      <c r="M42" s="1"/>
      <c r="N42" s="16"/>
      <c r="O42" s="15">
        <f t="shared" si="1"/>
        <v>0</v>
      </c>
      <c r="P42" s="17"/>
      <c r="Q42" s="1"/>
      <c r="R42" s="1"/>
      <c r="S42" s="16"/>
      <c r="T42" s="15">
        <f t="shared" si="2"/>
        <v>0</v>
      </c>
      <c r="U42" s="2"/>
    </row>
    <row r="43" spans="1:21" ht="12.75">
      <c r="A43" s="1" t="s">
        <v>127</v>
      </c>
      <c r="B43" s="9" t="s">
        <v>167</v>
      </c>
      <c r="C43" s="12" t="s">
        <v>211</v>
      </c>
      <c r="D43" s="165" t="s">
        <v>212</v>
      </c>
      <c r="E43" s="14" t="s">
        <v>170</v>
      </c>
      <c r="F43" s="12">
        <v>62491</v>
      </c>
      <c r="G43" s="12">
        <v>57718</v>
      </c>
      <c r="H43" s="1">
        <v>30745</v>
      </c>
      <c r="I43" s="15">
        <v>62097</v>
      </c>
      <c r="J43" s="15">
        <f t="shared" si="0"/>
        <v>213051</v>
      </c>
      <c r="K43" s="12"/>
      <c r="L43" s="1"/>
      <c r="M43" s="1"/>
      <c r="N43" s="16"/>
      <c r="O43" s="15">
        <f t="shared" si="1"/>
        <v>0</v>
      </c>
      <c r="P43" s="17"/>
      <c r="Q43" s="1"/>
      <c r="R43" s="1"/>
      <c r="S43" s="16"/>
      <c r="T43" s="15">
        <f t="shared" si="2"/>
        <v>0</v>
      </c>
      <c r="U43" s="2"/>
    </row>
    <row r="44" spans="1:21" ht="12.75">
      <c r="A44" s="1" t="s">
        <v>127</v>
      </c>
      <c r="B44" s="9" t="s">
        <v>167</v>
      </c>
      <c r="C44" s="12" t="s">
        <v>213</v>
      </c>
      <c r="D44" s="165" t="s">
        <v>214</v>
      </c>
      <c r="E44" s="14" t="s">
        <v>215</v>
      </c>
      <c r="F44" s="12">
        <v>3645</v>
      </c>
      <c r="G44" s="12">
        <v>3706</v>
      </c>
      <c r="H44" s="1">
        <v>3415</v>
      </c>
      <c r="I44" s="15">
        <v>4276</v>
      </c>
      <c r="J44" s="15">
        <f t="shared" si="0"/>
        <v>15042</v>
      </c>
      <c r="K44" s="12"/>
      <c r="L44" s="1"/>
      <c r="M44" s="1"/>
      <c r="N44" s="16"/>
      <c r="O44" s="15">
        <f t="shared" si="1"/>
        <v>0</v>
      </c>
      <c r="P44" s="17"/>
      <c r="Q44" s="1"/>
      <c r="R44" s="1"/>
      <c r="S44" s="16"/>
      <c r="T44" s="15">
        <f t="shared" si="2"/>
        <v>0</v>
      </c>
      <c r="U44" s="2"/>
    </row>
    <row r="45" spans="1:21" ht="12.75">
      <c r="A45" s="1" t="s">
        <v>127</v>
      </c>
      <c r="B45" s="9" t="s">
        <v>167</v>
      </c>
      <c r="C45" s="12" t="s">
        <v>216</v>
      </c>
      <c r="D45" s="165" t="s">
        <v>217</v>
      </c>
      <c r="E45" s="14" t="s">
        <v>215</v>
      </c>
      <c r="F45" s="12"/>
      <c r="G45" s="12"/>
      <c r="H45" s="1"/>
      <c r="I45" s="15"/>
      <c r="J45" s="15">
        <f t="shared" si="0"/>
        <v>0</v>
      </c>
      <c r="K45" s="12"/>
      <c r="L45" s="1"/>
      <c r="M45" s="1"/>
      <c r="N45" s="16"/>
      <c r="O45" s="15">
        <f t="shared" si="1"/>
        <v>0</v>
      </c>
      <c r="P45" s="17"/>
      <c r="Q45" s="1"/>
      <c r="R45" s="1"/>
      <c r="S45" s="16"/>
      <c r="T45" s="15">
        <f t="shared" si="2"/>
        <v>0</v>
      </c>
      <c r="U45" s="2"/>
    </row>
    <row r="46" spans="1:21" ht="12.75">
      <c r="A46" s="1" t="s">
        <v>127</v>
      </c>
      <c r="B46" s="9" t="s">
        <v>167</v>
      </c>
      <c r="C46" s="12" t="s">
        <v>218</v>
      </c>
      <c r="D46" s="165" t="s">
        <v>219</v>
      </c>
      <c r="E46" s="14" t="s">
        <v>215</v>
      </c>
      <c r="F46" s="12">
        <v>16340</v>
      </c>
      <c r="G46" s="12">
        <v>15919</v>
      </c>
      <c r="H46" s="1">
        <v>12789</v>
      </c>
      <c r="I46" s="15">
        <v>17599</v>
      </c>
      <c r="J46" s="15">
        <f t="shared" si="0"/>
        <v>62647</v>
      </c>
      <c r="K46" s="12"/>
      <c r="L46" s="1"/>
      <c r="M46" s="1"/>
      <c r="N46" s="16"/>
      <c r="O46" s="15">
        <f t="shared" si="1"/>
        <v>0</v>
      </c>
      <c r="P46" s="17"/>
      <c r="Q46" s="1"/>
      <c r="R46" s="1"/>
      <c r="S46" s="16"/>
      <c r="T46" s="15">
        <f t="shared" si="2"/>
        <v>0</v>
      </c>
      <c r="U46" s="2"/>
    </row>
    <row r="47" spans="1:21" ht="12.75">
      <c r="A47" s="1" t="s">
        <v>127</v>
      </c>
      <c r="B47" s="9" t="s">
        <v>167</v>
      </c>
      <c r="C47" s="12" t="s">
        <v>220</v>
      </c>
      <c r="D47" s="165" t="s">
        <v>221</v>
      </c>
      <c r="E47" s="14" t="s">
        <v>215</v>
      </c>
      <c r="F47" s="12">
        <v>7876</v>
      </c>
      <c r="G47" s="12">
        <v>7644</v>
      </c>
      <c r="H47" s="1">
        <v>6500</v>
      </c>
      <c r="I47" s="15">
        <v>8165</v>
      </c>
      <c r="J47" s="15">
        <f t="shared" si="0"/>
        <v>30185</v>
      </c>
      <c r="K47" s="12"/>
      <c r="L47" s="1"/>
      <c r="M47" s="1"/>
      <c r="N47" s="16"/>
      <c r="O47" s="15">
        <f t="shared" si="1"/>
        <v>0</v>
      </c>
      <c r="P47" s="17"/>
      <c r="Q47" s="1"/>
      <c r="R47" s="1"/>
      <c r="S47" s="16"/>
      <c r="T47" s="15">
        <f t="shared" si="2"/>
        <v>0</v>
      </c>
      <c r="U47" s="2"/>
    </row>
    <row r="48" spans="1:21" ht="12.75">
      <c r="A48" s="1" t="s">
        <v>127</v>
      </c>
      <c r="B48" s="9" t="s">
        <v>167</v>
      </c>
      <c r="C48" s="12" t="s">
        <v>222</v>
      </c>
      <c r="D48" s="165" t="s">
        <v>223</v>
      </c>
      <c r="E48" s="14" t="s">
        <v>215</v>
      </c>
      <c r="F48" s="12">
        <v>12472</v>
      </c>
      <c r="G48" s="12">
        <v>11869</v>
      </c>
      <c r="H48" s="1">
        <v>9493</v>
      </c>
      <c r="I48" s="15">
        <v>12470</v>
      </c>
      <c r="J48" s="15">
        <f t="shared" si="0"/>
        <v>46304</v>
      </c>
      <c r="K48" s="12"/>
      <c r="L48" s="1"/>
      <c r="M48" s="1"/>
      <c r="N48" s="16"/>
      <c r="O48" s="15">
        <f t="shared" si="1"/>
        <v>0</v>
      </c>
      <c r="P48" s="17"/>
      <c r="Q48" s="1"/>
      <c r="R48" s="1"/>
      <c r="S48" s="16"/>
      <c r="T48" s="15">
        <f t="shared" si="2"/>
        <v>0</v>
      </c>
      <c r="U48" s="2"/>
    </row>
    <row r="49" spans="1:21" ht="12.75">
      <c r="A49" s="1" t="s">
        <v>127</v>
      </c>
      <c r="B49" s="9" t="s">
        <v>167</v>
      </c>
      <c r="C49" s="12" t="s">
        <v>224</v>
      </c>
      <c r="D49" s="165" t="s">
        <v>225</v>
      </c>
      <c r="E49" s="14" t="s">
        <v>215</v>
      </c>
      <c r="F49" s="12">
        <v>7580</v>
      </c>
      <c r="G49" s="12">
        <v>7672</v>
      </c>
      <c r="H49" s="1">
        <v>5053</v>
      </c>
      <c r="I49" s="15">
        <v>7704</v>
      </c>
      <c r="J49" s="15">
        <f t="shared" si="0"/>
        <v>28009</v>
      </c>
      <c r="K49" s="12"/>
      <c r="L49" s="1"/>
      <c r="M49" s="1"/>
      <c r="N49" s="16"/>
      <c r="O49" s="15">
        <f t="shared" si="1"/>
        <v>0</v>
      </c>
      <c r="P49" s="17"/>
      <c r="Q49" s="1"/>
      <c r="R49" s="1"/>
      <c r="S49" s="16"/>
      <c r="T49" s="15">
        <f t="shared" si="2"/>
        <v>0</v>
      </c>
      <c r="U49" s="2"/>
    </row>
    <row r="50" spans="1:21" ht="12.75">
      <c r="A50" s="1" t="s">
        <v>127</v>
      </c>
      <c r="B50" s="9" t="s">
        <v>167</v>
      </c>
      <c r="C50" s="12" t="s">
        <v>226</v>
      </c>
      <c r="D50" s="165" t="s">
        <v>227</v>
      </c>
      <c r="E50" s="14" t="s">
        <v>215</v>
      </c>
      <c r="F50" s="12">
        <v>13103</v>
      </c>
      <c r="G50" s="12">
        <v>15019</v>
      </c>
      <c r="H50" s="1">
        <v>16263</v>
      </c>
      <c r="I50" s="15">
        <v>13286</v>
      </c>
      <c r="J50" s="15">
        <f t="shared" si="0"/>
        <v>57671</v>
      </c>
      <c r="K50" s="12"/>
      <c r="L50" s="1"/>
      <c r="M50" s="1"/>
      <c r="N50" s="16"/>
      <c r="O50" s="15">
        <f t="shared" si="1"/>
        <v>0</v>
      </c>
      <c r="P50" s="17"/>
      <c r="Q50" s="1"/>
      <c r="R50" s="1"/>
      <c r="S50" s="16"/>
      <c r="T50" s="15">
        <f t="shared" si="2"/>
        <v>0</v>
      </c>
      <c r="U50" s="2"/>
    </row>
    <row r="51" spans="1:21" ht="12.75">
      <c r="A51" s="1" t="s">
        <v>127</v>
      </c>
      <c r="B51" s="9" t="s">
        <v>167</v>
      </c>
      <c r="C51" s="12" t="s">
        <v>228</v>
      </c>
      <c r="D51" s="165" t="s">
        <v>229</v>
      </c>
      <c r="E51" s="14" t="s">
        <v>215</v>
      </c>
      <c r="F51" s="12">
        <v>8059</v>
      </c>
      <c r="G51" s="12">
        <v>7287</v>
      </c>
      <c r="H51" s="1">
        <v>6759</v>
      </c>
      <c r="I51" s="15">
        <v>8509</v>
      </c>
      <c r="J51" s="15">
        <f t="shared" si="0"/>
        <v>30614</v>
      </c>
      <c r="K51" s="12"/>
      <c r="L51" s="1"/>
      <c r="M51" s="1"/>
      <c r="N51" s="16"/>
      <c r="O51" s="15">
        <f t="shared" si="1"/>
        <v>0</v>
      </c>
      <c r="P51" s="17"/>
      <c r="Q51" s="1"/>
      <c r="R51" s="1"/>
      <c r="S51" s="16"/>
      <c r="T51" s="15">
        <f t="shared" si="2"/>
        <v>0</v>
      </c>
      <c r="U51" s="2"/>
    </row>
    <row r="52" spans="1:21" ht="12.75">
      <c r="A52" s="1" t="s">
        <v>127</v>
      </c>
      <c r="B52" s="9" t="s">
        <v>167</v>
      </c>
      <c r="C52" s="12" t="s">
        <v>230</v>
      </c>
      <c r="D52" s="165" t="s">
        <v>231</v>
      </c>
      <c r="E52" s="14" t="s">
        <v>215</v>
      </c>
      <c r="F52" s="17"/>
      <c r="G52" s="1"/>
      <c r="H52" s="1"/>
      <c r="I52" s="15"/>
      <c r="J52" s="15">
        <f t="shared" si="0"/>
        <v>0</v>
      </c>
      <c r="K52" s="12"/>
      <c r="L52" s="1"/>
      <c r="M52" s="1"/>
      <c r="N52" s="16"/>
      <c r="O52" s="15">
        <f t="shared" si="1"/>
        <v>0</v>
      </c>
      <c r="P52" s="17"/>
      <c r="Q52" s="1"/>
      <c r="R52" s="1"/>
      <c r="S52" s="16"/>
      <c r="T52" s="15">
        <f t="shared" si="2"/>
        <v>0</v>
      </c>
      <c r="U52" s="2"/>
    </row>
    <row r="53" spans="1:21" ht="12.75">
      <c r="A53" s="1" t="s">
        <v>127</v>
      </c>
      <c r="B53" s="9" t="s">
        <v>167</v>
      </c>
      <c r="C53" s="12" t="s">
        <v>232</v>
      </c>
      <c r="D53" s="165" t="s">
        <v>233</v>
      </c>
      <c r="E53" s="14" t="s">
        <v>215</v>
      </c>
      <c r="F53" s="12">
        <v>8485</v>
      </c>
      <c r="G53" s="12">
        <v>8384</v>
      </c>
      <c r="H53" s="1">
        <v>7109</v>
      </c>
      <c r="I53" s="15">
        <v>9984</v>
      </c>
      <c r="J53" s="15">
        <f t="shared" si="0"/>
        <v>33962</v>
      </c>
      <c r="K53" s="12"/>
      <c r="L53" s="1"/>
      <c r="M53" s="1"/>
      <c r="N53" s="16"/>
      <c r="O53" s="15">
        <f t="shared" si="1"/>
        <v>0</v>
      </c>
      <c r="P53" s="17"/>
      <c r="Q53" s="1"/>
      <c r="R53" s="1"/>
      <c r="S53" s="16"/>
      <c r="T53" s="15">
        <f t="shared" si="2"/>
        <v>0</v>
      </c>
      <c r="U53" s="2"/>
    </row>
    <row r="54" spans="1:21" ht="12.75">
      <c r="A54" s="1" t="s">
        <v>127</v>
      </c>
      <c r="B54" s="9" t="s">
        <v>167</v>
      </c>
      <c r="C54" s="12" t="s">
        <v>234</v>
      </c>
      <c r="D54" s="165" t="s">
        <v>235</v>
      </c>
      <c r="E54" s="14" t="s">
        <v>215</v>
      </c>
      <c r="F54" s="12">
        <v>8080</v>
      </c>
      <c r="G54" s="12">
        <v>7819</v>
      </c>
      <c r="H54" s="1">
        <v>7148</v>
      </c>
      <c r="I54" s="15">
        <v>8748</v>
      </c>
      <c r="J54" s="15">
        <f t="shared" si="0"/>
        <v>31795</v>
      </c>
      <c r="K54" s="12"/>
      <c r="L54" s="1"/>
      <c r="M54" s="1"/>
      <c r="N54" s="16"/>
      <c r="O54" s="15">
        <f t="shared" si="1"/>
        <v>0</v>
      </c>
      <c r="P54" s="17"/>
      <c r="Q54" s="1"/>
      <c r="R54" s="1"/>
      <c r="S54" s="16"/>
      <c r="T54" s="15">
        <f t="shared" si="2"/>
        <v>0</v>
      </c>
      <c r="U54" s="2"/>
    </row>
    <row r="55" spans="1:21" ht="12.75">
      <c r="A55" s="1" t="s">
        <v>127</v>
      </c>
      <c r="B55" s="9" t="s">
        <v>167</v>
      </c>
      <c r="C55" s="12" t="s">
        <v>236</v>
      </c>
      <c r="D55" s="165" t="s">
        <v>237</v>
      </c>
      <c r="E55" s="14" t="s">
        <v>215</v>
      </c>
      <c r="F55" s="12">
        <v>11900</v>
      </c>
      <c r="G55" s="12">
        <v>10518</v>
      </c>
      <c r="H55" s="1">
        <v>7953</v>
      </c>
      <c r="I55" s="15">
        <v>10100</v>
      </c>
      <c r="J55" s="15">
        <f t="shared" si="0"/>
        <v>40471</v>
      </c>
      <c r="K55" s="12"/>
      <c r="L55" s="1"/>
      <c r="M55" s="1"/>
      <c r="N55" s="16"/>
      <c r="O55" s="15">
        <f t="shared" si="1"/>
        <v>0</v>
      </c>
      <c r="P55" s="17"/>
      <c r="Q55" s="1"/>
      <c r="R55" s="1"/>
      <c r="S55" s="16"/>
      <c r="T55" s="15">
        <f t="shared" si="2"/>
        <v>0</v>
      </c>
      <c r="U55" s="2"/>
    </row>
    <row r="56" spans="1:21" ht="12.75">
      <c r="A56" s="1" t="s">
        <v>127</v>
      </c>
      <c r="B56" s="9" t="s">
        <v>167</v>
      </c>
      <c r="C56" s="12" t="s">
        <v>238</v>
      </c>
      <c r="D56" s="165" t="s">
        <v>172</v>
      </c>
      <c r="E56" s="14" t="s">
        <v>215</v>
      </c>
      <c r="F56" s="12"/>
      <c r="G56" s="12"/>
      <c r="H56" s="1"/>
      <c r="I56" s="15"/>
      <c r="J56" s="15">
        <f t="shared" si="0"/>
        <v>0</v>
      </c>
      <c r="K56" s="12"/>
      <c r="L56" s="1"/>
      <c r="M56" s="1"/>
      <c r="N56" s="16"/>
      <c r="O56" s="15">
        <f t="shared" si="1"/>
        <v>0</v>
      </c>
      <c r="P56" s="17"/>
      <c r="Q56" s="1"/>
      <c r="R56" s="1"/>
      <c r="S56" s="16"/>
      <c r="T56" s="15">
        <f t="shared" si="2"/>
        <v>0</v>
      </c>
      <c r="U56" s="2"/>
    </row>
    <row r="57" spans="1:27" ht="12.75">
      <c r="A57" s="1" t="s">
        <v>239</v>
      </c>
      <c r="B57" s="9" t="s">
        <v>128</v>
      </c>
      <c r="C57" s="12" t="s">
        <v>240</v>
      </c>
      <c r="D57" s="165" t="s">
        <v>241</v>
      </c>
      <c r="E57" s="14" t="s">
        <v>131</v>
      </c>
      <c r="F57" s="13"/>
      <c r="G57" s="13">
        <v>146271</v>
      </c>
      <c r="H57" s="13">
        <v>25352</v>
      </c>
      <c r="I57" s="18">
        <v>160173</v>
      </c>
      <c r="J57" s="15">
        <f t="shared" si="0"/>
        <v>331796</v>
      </c>
      <c r="K57" s="19"/>
      <c r="L57" s="19"/>
      <c r="M57" s="19"/>
      <c r="N57" s="15"/>
      <c r="O57" s="15">
        <f t="shared" si="1"/>
        <v>0</v>
      </c>
      <c r="P57" s="19"/>
      <c r="Q57" s="13">
        <v>23034</v>
      </c>
      <c r="R57" s="13">
        <v>7666</v>
      </c>
      <c r="S57" s="15">
        <v>23206</v>
      </c>
      <c r="T57" s="15">
        <f t="shared" si="2"/>
        <v>53906</v>
      </c>
      <c r="U57" s="2"/>
      <c r="V57" s="2"/>
      <c r="W57" s="2"/>
      <c r="X57" s="2"/>
      <c r="Y57" s="2"/>
      <c r="Z57" s="2"/>
      <c r="AA57" s="2"/>
    </row>
    <row r="58" spans="1:27" ht="12.75">
      <c r="A58" s="1" t="s">
        <v>239</v>
      </c>
      <c r="B58" s="9" t="s">
        <v>128</v>
      </c>
      <c r="C58" s="12" t="s">
        <v>242</v>
      </c>
      <c r="D58" s="165" t="s">
        <v>243</v>
      </c>
      <c r="E58" s="14" t="s">
        <v>139</v>
      </c>
      <c r="F58" s="13"/>
      <c r="G58" s="13">
        <v>102848</v>
      </c>
      <c r="H58" s="13">
        <v>22384</v>
      </c>
      <c r="I58" s="18">
        <v>113264</v>
      </c>
      <c r="J58" s="15">
        <f t="shared" si="0"/>
        <v>238496</v>
      </c>
      <c r="K58" s="19"/>
      <c r="L58" s="19"/>
      <c r="M58" s="19"/>
      <c r="N58" s="15"/>
      <c r="O58" s="15">
        <f t="shared" si="1"/>
        <v>0</v>
      </c>
      <c r="P58" s="19"/>
      <c r="Q58" s="13">
        <v>5421</v>
      </c>
      <c r="R58" s="13">
        <v>4437</v>
      </c>
      <c r="S58" s="15">
        <v>5890</v>
      </c>
      <c r="T58" s="15">
        <f t="shared" si="2"/>
        <v>15748</v>
      </c>
      <c r="U58" s="2"/>
      <c r="V58" s="2"/>
      <c r="W58" s="2"/>
      <c r="X58" s="2"/>
      <c r="Y58" s="2"/>
      <c r="Z58" s="2"/>
      <c r="AA58" s="2"/>
    </row>
    <row r="59" spans="1:27" ht="12.75">
      <c r="A59" s="1" t="s">
        <v>239</v>
      </c>
      <c r="B59" s="9" t="s">
        <v>128</v>
      </c>
      <c r="C59" s="12" t="s">
        <v>244</v>
      </c>
      <c r="D59" s="165" t="s">
        <v>245</v>
      </c>
      <c r="E59" s="14" t="s">
        <v>139</v>
      </c>
      <c r="F59" s="13"/>
      <c r="G59" s="13">
        <v>89208</v>
      </c>
      <c r="H59" s="13">
        <v>20111</v>
      </c>
      <c r="I59" s="18">
        <v>91134</v>
      </c>
      <c r="J59" s="15">
        <f t="shared" si="0"/>
        <v>200453</v>
      </c>
      <c r="K59" s="19"/>
      <c r="L59" s="19"/>
      <c r="M59" s="19"/>
      <c r="N59" s="15"/>
      <c r="O59" s="15">
        <f t="shared" si="1"/>
        <v>0</v>
      </c>
      <c r="P59" s="19"/>
      <c r="Q59" s="13">
        <v>14524</v>
      </c>
      <c r="R59" s="13">
        <v>5452</v>
      </c>
      <c r="S59" s="15">
        <v>14926</v>
      </c>
      <c r="T59" s="15">
        <f t="shared" si="2"/>
        <v>34902</v>
      </c>
      <c r="U59" s="2"/>
      <c r="V59" s="2"/>
      <c r="W59" s="2"/>
      <c r="X59" s="2"/>
      <c r="Y59" s="2"/>
      <c r="Z59" s="2"/>
      <c r="AA59" s="2"/>
    </row>
    <row r="60" spans="1:27" ht="12.75">
      <c r="A60" s="1" t="s">
        <v>239</v>
      </c>
      <c r="B60" s="9" t="s">
        <v>128</v>
      </c>
      <c r="C60" s="12" t="s">
        <v>246</v>
      </c>
      <c r="D60" s="165" t="s">
        <v>247</v>
      </c>
      <c r="E60" s="14" t="s">
        <v>139</v>
      </c>
      <c r="F60" s="13"/>
      <c r="G60" s="13">
        <v>99802</v>
      </c>
      <c r="H60" s="13">
        <v>18855</v>
      </c>
      <c r="I60" s="18">
        <v>107233</v>
      </c>
      <c r="J60" s="15">
        <f t="shared" si="0"/>
        <v>225890</v>
      </c>
      <c r="K60" s="19"/>
      <c r="L60" s="19"/>
      <c r="M60" s="19"/>
      <c r="N60" s="15"/>
      <c r="O60" s="15">
        <f t="shared" si="1"/>
        <v>0</v>
      </c>
      <c r="P60" s="19"/>
      <c r="Q60" s="13">
        <v>5649</v>
      </c>
      <c r="R60" s="13">
        <v>6376</v>
      </c>
      <c r="S60" s="15">
        <v>6476</v>
      </c>
      <c r="T60" s="15">
        <f t="shared" si="2"/>
        <v>18501</v>
      </c>
      <c r="U60" s="2"/>
      <c r="V60" s="2"/>
      <c r="W60" s="2"/>
      <c r="X60" s="2"/>
      <c r="Y60" s="2"/>
      <c r="Z60" s="2"/>
      <c r="AA60" s="2"/>
    </row>
    <row r="61" spans="1:27" ht="12.75">
      <c r="A61" s="1" t="s">
        <v>239</v>
      </c>
      <c r="B61" s="9" t="s">
        <v>128</v>
      </c>
      <c r="C61" s="12" t="s">
        <v>248</v>
      </c>
      <c r="D61" s="165" t="s">
        <v>249</v>
      </c>
      <c r="E61" s="14" t="s">
        <v>157</v>
      </c>
      <c r="F61" s="13"/>
      <c r="G61" s="13">
        <v>51853</v>
      </c>
      <c r="H61" s="13">
        <v>9872</v>
      </c>
      <c r="I61" s="18">
        <v>55735</v>
      </c>
      <c r="J61" s="15">
        <f t="shared" si="0"/>
        <v>117460</v>
      </c>
      <c r="K61" s="19"/>
      <c r="L61" s="19"/>
      <c r="M61" s="19"/>
      <c r="N61" s="15"/>
      <c r="O61" s="15">
        <f t="shared" si="1"/>
        <v>0</v>
      </c>
      <c r="P61" s="19"/>
      <c r="Q61" s="13">
        <v>692</v>
      </c>
      <c r="R61" s="13">
        <v>1031</v>
      </c>
      <c r="S61" s="15">
        <v>511</v>
      </c>
      <c r="T61" s="15">
        <f t="shared" si="2"/>
        <v>2234</v>
      </c>
      <c r="U61" s="2"/>
      <c r="V61" s="2"/>
      <c r="W61" s="2"/>
      <c r="X61" s="2"/>
      <c r="Y61" s="2"/>
      <c r="Z61" s="2"/>
      <c r="AA61" s="2"/>
    </row>
    <row r="62" spans="1:27" ht="12.75">
      <c r="A62" s="1" t="s">
        <v>239</v>
      </c>
      <c r="B62" s="9" t="s">
        <v>128</v>
      </c>
      <c r="C62" s="12" t="s">
        <v>250</v>
      </c>
      <c r="D62" s="165" t="s">
        <v>251</v>
      </c>
      <c r="E62" s="14" t="s">
        <v>157</v>
      </c>
      <c r="F62" s="13"/>
      <c r="G62" s="13">
        <v>44098</v>
      </c>
      <c r="H62" s="13">
        <v>7671</v>
      </c>
      <c r="I62" s="18">
        <v>45638</v>
      </c>
      <c r="J62" s="15">
        <f t="shared" si="0"/>
        <v>97407</v>
      </c>
      <c r="K62" s="19"/>
      <c r="L62" s="19"/>
      <c r="M62" s="19"/>
      <c r="N62" s="15"/>
      <c r="O62" s="15">
        <f t="shared" si="1"/>
        <v>0</v>
      </c>
      <c r="P62" s="19"/>
      <c r="Q62" s="13">
        <v>1609</v>
      </c>
      <c r="R62" s="13">
        <v>1800</v>
      </c>
      <c r="S62" s="15">
        <v>1568</v>
      </c>
      <c r="T62" s="15">
        <f t="shared" si="2"/>
        <v>4977</v>
      </c>
      <c r="U62" s="2"/>
      <c r="V62" s="2"/>
      <c r="W62" s="2"/>
      <c r="X62" s="2"/>
      <c r="Y62" s="2"/>
      <c r="Z62" s="2"/>
      <c r="AA62" s="2"/>
    </row>
    <row r="63" spans="1:27" ht="12.75">
      <c r="A63" s="1" t="s">
        <v>239</v>
      </c>
      <c r="B63" s="9" t="s">
        <v>128</v>
      </c>
      <c r="C63" s="12" t="s">
        <v>252</v>
      </c>
      <c r="D63" s="165" t="s">
        <v>253</v>
      </c>
      <c r="E63" s="14" t="s">
        <v>166</v>
      </c>
      <c r="F63" s="13"/>
      <c r="G63" s="13">
        <v>30310</v>
      </c>
      <c r="H63" s="13">
        <v>5791</v>
      </c>
      <c r="I63" s="18">
        <v>34174</v>
      </c>
      <c r="J63" s="15">
        <f t="shared" si="0"/>
        <v>70275</v>
      </c>
      <c r="K63" s="19"/>
      <c r="L63" s="19"/>
      <c r="M63" s="19"/>
      <c r="N63" s="15"/>
      <c r="O63" s="15">
        <f t="shared" si="1"/>
        <v>0</v>
      </c>
      <c r="P63" s="19"/>
      <c r="Q63" s="13">
        <v>807</v>
      </c>
      <c r="R63" s="13">
        <v>937</v>
      </c>
      <c r="S63" s="15">
        <v>870</v>
      </c>
      <c r="T63" s="15">
        <f t="shared" si="2"/>
        <v>2614</v>
      </c>
      <c r="U63" s="2"/>
      <c r="V63" s="2"/>
      <c r="W63" s="2"/>
      <c r="X63" s="2"/>
      <c r="Y63" s="2"/>
      <c r="Z63" s="2"/>
      <c r="AA63" s="2"/>
    </row>
    <row r="64" spans="1:27" ht="12.75">
      <c r="A64" s="1" t="s">
        <v>239</v>
      </c>
      <c r="B64" s="9" t="s">
        <v>128</v>
      </c>
      <c r="C64" s="12" t="s">
        <v>254</v>
      </c>
      <c r="D64" s="165" t="s">
        <v>255</v>
      </c>
      <c r="E64" s="14" t="s">
        <v>166</v>
      </c>
      <c r="F64" s="13"/>
      <c r="G64" s="13">
        <v>28850</v>
      </c>
      <c r="H64" s="13">
        <v>5599</v>
      </c>
      <c r="I64" s="18">
        <v>30221</v>
      </c>
      <c r="J64" s="15">
        <f t="shared" si="0"/>
        <v>64670</v>
      </c>
      <c r="K64" s="19"/>
      <c r="L64" s="19"/>
      <c r="M64" s="19"/>
      <c r="N64" s="15"/>
      <c r="O64" s="15">
        <f t="shared" si="1"/>
        <v>0</v>
      </c>
      <c r="P64" s="19"/>
      <c r="Q64" s="13">
        <v>432</v>
      </c>
      <c r="R64" s="13">
        <v>543</v>
      </c>
      <c r="S64" s="15">
        <v>414</v>
      </c>
      <c r="T64" s="15">
        <f t="shared" si="2"/>
        <v>1389</v>
      </c>
      <c r="U64" s="2"/>
      <c r="V64" s="2"/>
      <c r="W64" s="2"/>
      <c r="X64" s="2"/>
      <c r="Y64" s="2"/>
      <c r="Z64" s="2"/>
      <c r="AA64" s="2"/>
    </row>
    <row r="65" spans="1:27" ht="12.75">
      <c r="A65" s="1" t="s">
        <v>239</v>
      </c>
      <c r="B65" s="9" t="s">
        <v>128</v>
      </c>
      <c r="C65" s="12" t="s">
        <v>256</v>
      </c>
      <c r="D65" s="165" t="s">
        <v>257</v>
      </c>
      <c r="E65" s="14" t="s">
        <v>166</v>
      </c>
      <c r="F65" s="13"/>
      <c r="G65" s="13">
        <v>42572</v>
      </c>
      <c r="H65" s="13">
        <v>6543</v>
      </c>
      <c r="I65" s="18">
        <v>41306</v>
      </c>
      <c r="J65" s="15">
        <f t="shared" si="0"/>
        <v>90421</v>
      </c>
      <c r="K65" s="19"/>
      <c r="L65" s="19"/>
      <c r="M65" s="19"/>
      <c r="N65" s="15"/>
      <c r="O65" s="15">
        <f t="shared" si="1"/>
        <v>0</v>
      </c>
      <c r="P65" s="19"/>
      <c r="Q65" s="13">
        <v>498</v>
      </c>
      <c r="R65" s="13">
        <v>240</v>
      </c>
      <c r="S65" s="15">
        <v>402</v>
      </c>
      <c r="T65" s="15">
        <f t="shared" si="2"/>
        <v>1140</v>
      </c>
      <c r="U65" s="2"/>
      <c r="V65" s="2"/>
      <c r="W65" s="2"/>
      <c r="X65" s="2"/>
      <c r="Y65" s="2"/>
      <c r="Z65" s="2"/>
      <c r="AA65" s="2"/>
    </row>
    <row r="66" spans="1:27" ht="12.75">
      <c r="A66" s="1" t="s">
        <v>239</v>
      </c>
      <c r="B66" s="9" t="s">
        <v>128</v>
      </c>
      <c r="C66" s="12" t="s">
        <v>258</v>
      </c>
      <c r="D66" s="165" t="s">
        <v>259</v>
      </c>
      <c r="E66" s="14" t="s">
        <v>170</v>
      </c>
      <c r="F66" s="13"/>
      <c r="G66" s="13">
        <v>4766</v>
      </c>
      <c r="H66" s="13">
        <v>819</v>
      </c>
      <c r="I66" s="18">
        <v>5419</v>
      </c>
      <c r="J66" s="15">
        <f t="shared" si="0"/>
        <v>11004</v>
      </c>
      <c r="K66" s="19"/>
      <c r="L66" s="19"/>
      <c r="M66" s="19"/>
      <c r="N66" s="15"/>
      <c r="O66" s="15">
        <f t="shared" si="1"/>
        <v>0</v>
      </c>
      <c r="P66" s="19"/>
      <c r="Q66" s="19"/>
      <c r="R66" s="19"/>
      <c r="S66" s="15"/>
      <c r="T66" s="15">
        <f t="shared" si="2"/>
        <v>0</v>
      </c>
      <c r="U66" s="2"/>
      <c r="V66" s="2"/>
      <c r="W66" s="2"/>
      <c r="X66" s="2"/>
      <c r="Y66" s="2"/>
      <c r="Z66" s="2"/>
      <c r="AA66" s="2"/>
    </row>
    <row r="67" spans="1:27" ht="12.75">
      <c r="A67" s="1" t="s">
        <v>239</v>
      </c>
      <c r="B67" s="9" t="s">
        <v>128</v>
      </c>
      <c r="C67" s="12" t="s">
        <v>260</v>
      </c>
      <c r="D67" s="165" t="s">
        <v>261</v>
      </c>
      <c r="E67" s="14" t="s">
        <v>170</v>
      </c>
      <c r="F67" s="13"/>
      <c r="G67" s="13">
        <v>26171</v>
      </c>
      <c r="H67" s="13">
        <v>2171</v>
      </c>
      <c r="I67" s="18">
        <v>24351</v>
      </c>
      <c r="J67" s="15">
        <f t="shared" si="0"/>
        <v>52693</v>
      </c>
      <c r="K67" s="19"/>
      <c r="L67" s="19"/>
      <c r="M67" s="19"/>
      <c r="N67" s="15"/>
      <c r="O67" s="15">
        <f t="shared" si="1"/>
        <v>0</v>
      </c>
      <c r="P67" s="19"/>
      <c r="Q67" s="19"/>
      <c r="R67" s="19"/>
      <c r="S67" s="15"/>
      <c r="T67" s="15">
        <f t="shared" si="2"/>
        <v>0</v>
      </c>
      <c r="U67" s="2"/>
      <c r="V67" s="2"/>
      <c r="W67" s="2"/>
      <c r="X67" s="2"/>
      <c r="Y67" s="2"/>
      <c r="Z67" s="2"/>
      <c r="AA67" s="2"/>
    </row>
    <row r="68" spans="1:27" ht="12.75">
      <c r="A68" s="1" t="s">
        <v>239</v>
      </c>
      <c r="B68" s="9" t="s">
        <v>128</v>
      </c>
      <c r="C68" s="12" t="s">
        <v>262</v>
      </c>
      <c r="D68" s="165" t="s">
        <v>261</v>
      </c>
      <c r="E68" s="14" t="s">
        <v>170</v>
      </c>
      <c r="F68" s="13"/>
      <c r="G68" s="13">
        <v>4549</v>
      </c>
      <c r="H68" s="13">
        <v>469</v>
      </c>
      <c r="I68" s="18">
        <v>4870</v>
      </c>
      <c r="J68" s="15">
        <f t="shared" si="0"/>
        <v>9888</v>
      </c>
      <c r="K68" s="19"/>
      <c r="L68" s="19"/>
      <c r="M68" s="19"/>
      <c r="N68" s="15"/>
      <c r="O68" s="15">
        <f t="shared" si="1"/>
        <v>0</v>
      </c>
      <c r="P68" s="19"/>
      <c r="Q68" s="19"/>
      <c r="R68" s="19"/>
      <c r="S68" s="15"/>
      <c r="T68" s="15">
        <f t="shared" si="2"/>
        <v>0</v>
      </c>
      <c r="U68" s="2"/>
      <c r="V68" s="2"/>
      <c r="W68" s="2"/>
      <c r="X68" s="2"/>
      <c r="Y68" s="2"/>
      <c r="Z68" s="2"/>
      <c r="AA68" s="2"/>
    </row>
    <row r="69" spans="1:27" ht="12.75">
      <c r="A69" s="1" t="s">
        <v>239</v>
      </c>
      <c r="B69" s="9" t="s">
        <v>128</v>
      </c>
      <c r="C69" s="12" t="s">
        <v>263</v>
      </c>
      <c r="D69" s="165" t="s">
        <v>264</v>
      </c>
      <c r="E69" s="14" t="s">
        <v>170</v>
      </c>
      <c r="F69" s="13"/>
      <c r="G69" s="13">
        <v>6256</v>
      </c>
      <c r="H69" s="13">
        <v>1199</v>
      </c>
      <c r="I69" s="18">
        <v>9846</v>
      </c>
      <c r="J69" s="15">
        <f t="shared" si="0"/>
        <v>17301</v>
      </c>
      <c r="K69" s="19"/>
      <c r="L69" s="19"/>
      <c r="M69" s="19"/>
      <c r="N69" s="15"/>
      <c r="O69" s="15">
        <f t="shared" si="1"/>
        <v>0</v>
      </c>
      <c r="P69" s="19"/>
      <c r="Q69" s="19"/>
      <c r="R69" s="19"/>
      <c r="S69" s="15"/>
      <c r="T69" s="15">
        <f t="shared" si="2"/>
        <v>0</v>
      </c>
      <c r="U69" s="2"/>
      <c r="V69" s="2"/>
      <c r="W69" s="2"/>
      <c r="X69" s="2"/>
      <c r="Y69" s="2"/>
      <c r="Z69" s="2"/>
      <c r="AA69" s="2"/>
    </row>
    <row r="70" spans="1:27" ht="12.75">
      <c r="A70" s="1" t="s">
        <v>239</v>
      </c>
      <c r="B70" s="9" t="s">
        <v>128</v>
      </c>
      <c r="C70" s="12" t="s">
        <v>265</v>
      </c>
      <c r="D70" s="165" t="s">
        <v>266</v>
      </c>
      <c r="E70" s="14" t="s">
        <v>170</v>
      </c>
      <c r="F70" s="13"/>
      <c r="G70" s="13">
        <v>4622</v>
      </c>
      <c r="H70" s="13">
        <v>1410</v>
      </c>
      <c r="I70" s="18">
        <v>5894</v>
      </c>
      <c r="J70" s="15">
        <f aca="true" t="shared" si="3" ref="J70:J133">SUM(F70:I70)</f>
        <v>11926</v>
      </c>
      <c r="K70" s="19"/>
      <c r="L70" s="19"/>
      <c r="M70" s="19"/>
      <c r="N70" s="15"/>
      <c r="O70" s="15">
        <f aca="true" t="shared" si="4" ref="O70:O133">SUM(K70:N70)</f>
        <v>0</v>
      </c>
      <c r="P70" s="19"/>
      <c r="Q70" s="19"/>
      <c r="R70" s="19"/>
      <c r="S70" s="15"/>
      <c r="T70" s="15">
        <f aca="true" t="shared" si="5" ref="T70:T133">SUM(P70:S70)</f>
        <v>0</v>
      </c>
      <c r="U70" s="2"/>
      <c r="V70" s="2"/>
      <c r="W70" s="2"/>
      <c r="X70" s="2"/>
      <c r="Y70" s="2"/>
      <c r="Z70" s="2"/>
      <c r="AA70" s="2"/>
    </row>
    <row r="71" spans="1:27" ht="12.75">
      <c r="A71" s="1" t="s">
        <v>239</v>
      </c>
      <c r="B71" s="9" t="s">
        <v>128</v>
      </c>
      <c r="C71" s="12" t="s">
        <v>267</v>
      </c>
      <c r="D71" s="165" t="s">
        <v>268</v>
      </c>
      <c r="E71" s="14" t="s">
        <v>170</v>
      </c>
      <c r="F71" s="13"/>
      <c r="G71" s="13">
        <v>11946</v>
      </c>
      <c r="H71" s="13">
        <v>2123</v>
      </c>
      <c r="I71" s="18">
        <v>12030</v>
      </c>
      <c r="J71" s="15">
        <f t="shared" si="3"/>
        <v>26099</v>
      </c>
      <c r="K71" s="19"/>
      <c r="L71" s="19"/>
      <c r="M71" s="19"/>
      <c r="N71" s="15"/>
      <c r="O71" s="15">
        <f t="shared" si="4"/>
        <v>0</v>
      </c>
      <c r="P71" s="19"/>
      <c r="Q71" s="19"/>
      <c r="R71" s="19"/>
      <c r="S71" s="15"/>
      <c r="T71" s="15">
        <f t="shared" si="5"/>
        <v>0</v>
      </c>
      <c r="U71" s="2"/>
      <c r="V71" s="2"/>
      <c r="W71" s="2"/>
      <c r="X71" s="2"/>
      <c r="Y71" s="2"/>
      <c r="Z71" s="2"/>
      <c r="AA71" s="2"/>
    </row>
    <row r="72" spans="1:27" ht="12.75">
      <c r="A72" s="1" t="s">
        <v>239</v>
      </c>
      <c r="B72" s="9" t="s">
        <v>128</v>
      </c>
      <c r="C72" s="12" t="s">
        <v>269</v>
      </c>
      <c r="D72" s="165" t="s">
        <v>270</v>
      </c>
      <c r="E72" s="14" t="s">
        <v>170</v>
      </c>
      <c r="F72" s="13"/>
      <c r="G72" s="13">
        <v>16205</v>
      </c>
      <c r="H72" s="13">
        <v>3828</v>
      </c>
      <c r="I72" s="18">
        <v>17206</v>
      </c>
      <c r="J72" s="15">
        <f t="shared" si="3"/>
        <v>37239</v>
      </c>
      <c r="K72" s="19"/>
      <c r="L72" s="19"/>
      <c r="M72" s="19"/>
      <c r="N72" s="15"/>
      <c r="O72" s="15">
        <f t="shared" si="4"/>
        <v>0</v>
      </c>
      <c r="P72" s="19"/>
      <c r="Q72" s="19"/>
      <c r="R72" s="19"/>
      <c r="S72" s="15"/>
      <c r="T72" s="15">
        <f t="shared" si="5"/>
        <v>0</v>
      </c>
      <c r="U72" s="2"/>
      <c r="V72" s="2"/>
      <c r="W72" s="2"/>
      <c r="X72" s="2"/>
      <c r="Y72" s="2"/>
      <c r="Z72" s="2"/>
      <c r="AA72" s="2"/>
    </row>
    <row r="73" spans="1:27" ht="12.75">
      <c r="A73" s="1" t="s">
        <v>239</v>
      </c>
      <c r="B73" s="9" t="s">
        <v>128</v>
      </c>
      <c r="C73" s="12" t="s">
        <v>271</v>
      </c>
      <c r="D73" s="165" t="s">
        <v>272</v>
      </c>
      <c r="E73" s="14" t="s">
        <v>170</v>
      </c>
      <c r="F73" s="13"/>
      <c r="G73" s="13">
        <v>2484</v>
      </c>
      <c r="H73" s="13">
        <v>486</v>
      </c>
      <c r="I73" s="18">
        <v>3112</v>
      </c>
      <c r="J73" s="15">
        <f t="shared" si="3"/>
        <v>6082</v>
      </c>
      <c r="K73" s="19"/>
      <c r="L73" s="19"/>
      <c r="M73" s="19"/>
      <c r="N73" s="15"/>
      <c r="O73" s="15">
        <f t="shared" si="4"/>
        <v>0</v>
      </c>
      <c r="P73" s="19"/>
      <c r="Q73" s="19"/>
      <c r="R73" s="19"/>
      <c r="S73" s="15"/>
      <c r="T73" s="15">
        <f t="shared" si="5"/>
        <v>0</v>
      </c>
      <c r="U73" s="2"/>
      <c r="V73" s="2"/>
      <c r="W73" s="2"/>
      <c r="X73" s="2"/>
      <c r="Y73" s="2"/>
      <c r="Z73" s="2"/>
      <c r="AA73" s="2"/>
    </row>
    <row r="74" spans="1:27" ht="12.75">
      <c r="A74" s="1" t="s">
        <v>239</v>
      </c>
      <c r="B74" s="9" t="s">
        <v>128</v>
      </c>
      <c r="C74" s="12" t="s">
        <v>273</v>
      </c>
      <c r="D74" s="165" t="s">
        <v>274</v>
      </c>
      <c r="E74" s="14" t="s">
        <v>170</v>
      </c>
      <c r="F74" s="13"/>
      <c r="G74" s="13">
        <v>4213</v>
      </c>
      <c r="H74" s="13">
        <v>1558</v>
      </c>
      <c r="I74" s="18">
        <v>6066</v>
      </c>
      <c r="J74" s="15">
        <f t="shared" si="3"/>
        <v>11837</v>
      </c>
      <c r="K74" s="19"/>
      <c r="L74" s="19"/>
      <c r="M74" s="19"/>
      <c r="N74" s="15"/>
      <c r="O74" s="15">
        <f t="shared" si="4"/>
        <v>0</v>
      </c>
      <c r="P74" s="19"/>
      <c r="Q74" s="19"/>
      <c r="R74" s="19"/>
      <c r="S74" s="15"/>
      <c r="T74" s="15">
        <f t="shared" si="5"/>
        <v>0</v>
      </c>
      <c r="U74" s="2"/>
      <c r="V74" s="2"/>
      <c r="W74" s="2"/>
      <c r="X74" s="2"/>
      <c r="Y74" s="2"/>
      <c r="Z74" s="2"/>
      <c r="AA74" s="2"/>
    </row>
    <row r="75" spans="1:27" ht="12.75">
      <c r="A75" s="1" t="s">
        <v>239</v>
      </c>
      <c r="B75" s="9" t="s">
        <v>128</v>
      </c>
      <c r="C75" s="12" t="s">
        <v>275</v>
      </c>
      <c r="D75" s="165" t="s">
        <v>276</v>
      </c>
      <c r="E75" s="14" t="s">
        <v>170</v>
      </c>
      <c r="F75" s="13"/>
      <c r="G75" s="13">
        <v>14413</v>
      </c>
      <c r="H75" s="13">
        <v>2961</v>
      </c>
      <c r="I75" s="18">
        <v>15716</v>
      </c>
      <c r="J75" s="15">
        <f t="shared" si="3"/>
        <v>33090</v>
      </c>
      <c r="K75" s="19"/>
      <c r="L75" s="19"/>
      <c r="M75" s="19"/>
      <c r="N75" s="15"/>
      <c r="O75" s="15">
        <f t="shared" si="4"/>
        <v>0</v>
      </c>
      <c r="P75" s="19"/>
      <c r="Q75" s="19"/>
      <c r="R75" s="19"/>
      <c r="S75" s="15"/>
      <c r="T75" s="15">
        <f t="shared" si="5"/>
        <v>0</v>
      </c>
      <c r="U75" s="2"/>
      <c r="V75" s="2"/>
      <c r="W75" s="2"/>
      <c r="X75" s="2"/>
      <c r="Y75" s="2"/>
      <c r="Z75" s="2"/>
      <c r="AA75" s="2"/>
    </row>
    <row r="76" spans="1:27" ht="12.75">
      <c r="A76" s="1" t="s">
        <v>239</v>
      </c>
      <c r="B76" s="9" t="s">
        <v>128</v>
      </c>
      <c r="C76" s="12" t="s">
        <v>277</v>
      </c>
      <c r="D76" s="165" t="s">
        <v>278</v>
      </c>
      <c r="E76" s="14" t="s">
        <v>170</v>
      </c>
      <c r="F76" s="13"/>
      <c r="G76" s="13">
        <v>15360</v>
      </c>
      <c r="H76" s="13">
        <v>2194</v>
      </c>
      <c r="I76" s="18">
        <v>16296</v>
      </c>
      <c r="J76" s="15">
        <f t="shared" si="3"/>
        <v>33850</v>
      </c>
      <c r="K76" s="19"/>
      <c r="L76" s="19"/>
      <c r="M76" s="19"/>
      <c r="N76" s="15"/>
      <c r="O76" s="15">
        <f t="shared" si="4"/>
        <v>0</v>
      </c>
      <c r="P76" s="19"/>
      <c r="Q76" s="19"/>
      <c r="R76" s="19"/>
      <c r="S76" s="15"/>
      <c r="T76" s="15">
        <f t="shared" si="5"/>
        <v>0</v>
      </c>
      <c r="U76" s="2"/>
      <c r="V76" s="2"/>
      <c r="W76" s="2"/>
      <c r="X76" s="2"/>
      <c r="Y76" s="2"/>
      <c r="Z76" s="2"/>
      <c r="AA76" s="2"/>
    </row>
    <row r="77" spans="1:27" ht="12.75">
      <c r="A77" s="1" t="s">
        <v>239</v>
      </c>
      <c r="B77" s="9" t="s">
        <v>128</v>
      </c>
      <c r="C77" s="12" t="s">
        <v>279</v>
      </c>
      <c r="D77" s="165" t="s">
        <v>280</v>
      </c>
      <c r="E77" s="14" t="s">
        <v>170</v>
      </c>
      <c r="F77" s="13"/>
      <c r="G77" s="13">
        <v>13964</v>
      </c>
      <c r="H77" s="13">
        <v>2302</v>
      </c>
      <c r="I77" s="18">
        <v>15902</v>
      </c>
      <c r="J77" s="15">
        <f t="shared" si="3"/>
        <v>32168</v>
      </c>
      <c r="K77" s="19"/>
      <c r="L77" s="19"/>
      <c r="M77" s="19"/>
      <c r="N77" s="15"/>
      <c r="O77" s="15">
        <f t="shared" si="4"/>
        <v>0</v>
      </c>
      <c r="P77" s="19"/>
      <c r="Q77" s="19"/>
      <c r="R77" s="19"/>
      <c r="S77" s="15"/>
      <c r="T77" s="15">
        <f t="shared" si="5"/>
        <v>0</v>
      </c>
      <c r="U77" s="2"/>
      <c r="V77" s="2"/>
      <c r="W77" s="2"/>
      <c r="X77" s="2"/>
      <c r="Y77" s="2"/>
      <c r="Z77" s="2"/>
      <c r="AA77" s="2"/>
    </row>
    <row r="78" spans="1:27" ht="12.75">
      <c r="A78" s="1" t="s">
        <v>239</v>
      </c>
      <c r="B78" s="9" t="s">
        <v>128</v>
      </c>
      <c r="C78" s="12" t="s">
        <v>281</v>
      </c>
      <c r="D78" s="165" t="s">
        <v>282</v>
      </c>
      <c r="E78" s="14" t="s">
        <v>170</v>
      </c>
      <c r="F78" s="13"/>
      <c r="G78" s="13">
        <v>4591</v>
      </c>
      <c r="H78" s="13">
        <v>1169</v>
      </c>
      <c r="I78" s="18">
        <v>5404</v>
      </c>
      <c r="J78" s="15">
        <f t="shared" si="3"/>
        <v>11164</v>
      </c>
      <c r="K78" s="19"/>
      <c r="L78" s="19"/>
      <c r="M78" s="19"/>
      <c r="N78" s="15"/>
      <c r="O78" s="15">
        <f t="shared" si="4"/>
        <v>0</v>
      </c>
      <c r="P78" s="19"/>
      <c r="Q78" s="19"/>
      <c r="R78" s="19"/>
      <c r="S78" s="15"/>
      <c r="T78" s="15">
        <f t="shared" si="5"/>
        <v>0</v>
      </c>
      <c r="U78" s="2"/>
      <c r="V78" s="2"/>
      <c r="W78" s="2"/>
      <c r="X78" s="2"/>
      <c r="Y78" s="2"/>
      <c r="Z78" s="2"/>
      <c r="AA78" s="2"/>
    </row>
    <row r="79" spans="1:27" ht="12.75">
      <c r="A79" s="1" t="s">
        <v>239</v>
      </c>
      <c r="B79" s="9" t="s">
        <v>128</v>
      </c>
      <c r="C79" s="12" t="s">
        <v>283</v>
      </c>
      <c r="D79" s="165" t="s">
        <v>284</v>
      </c>
      <c r="E79" s="14" t="s">
        <v>170</v>
      </c>
      <c r="F79" s="13"/>
      <c r="G79" s="13">
        <v>3135</v>
      </c>
      <c r="H79" s="13">
        <v>726</v>
      </c>
      <c r="I79" s="18">
        <v>3563</v>
      </c>
      <c r="J79" s="15">
        <f t="shared" si="3"/>
        <v>7424</v>
      </c>
      <c r="K79" s="19"/>
      <c r="L79" s="19"/>
      <c r="M79" s="19"/>
      <c r="N79" s="15"/>
      <c r="O79" s="15">
        <f t="shared" si="4"/>
        <v>0</v>
      </c>
      <c r="P79" s="19"/>
      <c r="Q79" s="19"/>
      <c r="R79" s="19"/>
      <c r="S79" s="15"/>
      <c r="T79" s="15">
        <f t="shared" si="5"/>
        <v>0</v>
      </c>
      <c r="U79" s="2"/>
      <c r="V79" s="2"/>
      <c r="W79" s="2"/>
      <c r="X79" s="2"/>
      <c r="Y79" s="2"/>
      <c r="Z79" s="2"/>
      <c r="AA79" s="2"/>
    </row>
    <row r="80" spans="1:27" ht="12.75">
      <c r="A80" s="1" t="s">
        <v>239</v>
      </c>
      <c r="B80" s="9" t="s">
        <v>128</v>
      </c>
      <c r="C80" s="12" t="s">
        <v>285</v>
      </c>
      <c r="D80" s="165" t="s">
        <v>286</v>
      </c>
      <c r="E80" s="14" t="s">
        <v>170</v>
      </c>
      <c r="F80" s="13"/>
      <c r="G80" s="13">
        <v>6444</v>
      </c>
      <c r="H80" s="13">
        <v>634</v>
      </c>
      <c r="I80" s="18">
        <v>7084</v>
      </c>
      <c r="J80" s="15">
        <f t="shared" si="3"/>
        <v>14162</v>
      </c>
      <c r="K80" s="19"/>
      <c r="L80" s="19"/>
      <c r="M80" s="19"/>
      <c r="N80" s="15"/>
      <c r="O80" s="15">
        <f t="shared" si="4"/>
        <v>0</v>
      </c>
      <c r="P80" s="19"/>
      <c r="Q80" s="19"/>
      <c r="R80" s="19"/>
      <c r="S80" s="15"/>
      <c r="T80" s="15">
        <f t="shared" si="5"/>
        <v>0</v>
      </c>
      <c r="U80" s="2"/>
      <c r="V80" s="2"/>
      <c r="W80" s="2"/>
      <c r="X80" s="2"/>
      <c r="Y80" s="2"/>
      <c r="Z80" s="2"/>
      <c r="AA80" s="2"/>
    </row>
    <row r="81" spans="1:27" ht="12.75">
      <c r="A81" s="1" t="s">
        <v>239</v>
      </c>
      <c r="B81" s="9" t="s">
        <v>128</v>
      </c>
      <c r="C81" s="12" t="s">
        <v>287</v>
      </c>
      <c r="D81" s="165" t="s">
        <v>288</v>
      </c>
      <c r="E81" s="14" t="s">
        <v>170</v>
      </c>
      <c r="F81" s="13"/>
      <c r="G81" s="13">
        <v>16108</v>
      </c>
      <c r="H81" s="13">
        <v>2019</v>
      </c>
      <c r="I81" s="18">
        <v>12892</v>
      </c>
      <c r="J81" s="15">
        <f t="shared" si="3"/>
        <v>31019</v>
      </c>
      <c r="K81" s="19"/>
      <c r="L81" s="19"/>
      <c r="M81" s="19"/>
      <c r="N81" s="15"/>
      <c r="O81" s="15">
        <f t="shared" si="4"/>
        <v>0</v>
      </c>
      <c r="P81" s="19"/>
      <c r="Q81" s="19"/>
      <c r="R81" s="19"/>
      <c r="S81" s="15"/>
      <c r="T81" s="15">
        <f t="shared" si="5"/>
        <v>0</v>
      </c>
      <c r="U81" s="2"/>
      <c r="V81" s="2"/>
      <c r="W81" s="2"/>
      <c r="X81" s="2"/>
      <c r="Y81" s="2"/>
      <c r="Z81" s="2"/>
      <c r="AA81" s="2"/>
    </row>
    <row r="82" spans="1:27" ht="12.75">
      <c r="A82" s="1" t="s">
        <v>239</v>
      </c>
      <c r="B82" s="9" t="s">
        <v>128</v>
      </c>
      <c r="C82" s="12" t="s">
        <v>289</v>
      </c>
      <c r="D82" s="165" t="s">
        <v>290</v>
      </c>
      <c r="E82" s="14" t="s">
        <v>170</v>
      </c>
      <c r="F82" s="13"/>
      <c r="G82" s="13">
        <v>7809</v>
      </c>
      <c r="H82" s="13">
        <v>2453</v>
      </c>
      <c r="I82" s="18">
        <v>9079</v>
      </c>
      <c r="J82" s="15">
        <f t="shared" si="3"/>
        <v>19341</v>
      </c>
      <c r="K82" s="19"/>
      <c r="L82" s="19"/>
      <c r="M82" s="19"/>
      <c r="N82" s="15"/>
      <c r="O82" s="15">
        <f t="shared" si="4"/>
        <v>0</v>
      </c>
      <c r="P82" s="19"/>
      <c r="Q82" s="19"/>
      <c r="R82" s="19"/>
      <c r="S82" s="15"/>
      <c r="T82" s="15">
        <f t="shared" si="5"/>
        <v>0</v>
      </c>
      <c r="U82" s="2"/>
      <c r="V82" s="2"/>
      <c r="W82" s="2"/>
      <c r="X82" s="2"/>
      <c r="Y82" s="2"/>
      <c r="Z82" s="2"/>
      <c r="AA82" s="2"/>
    </row>
    <row r="83" spans="1:27" ht="12.75">
      <c r="A83" s="1" t="s">
        <v>239</v>
      </c>
      <c r="B83" s="9" t="s">
        <v>128</v>
      </c>
      <c r="C83" s="12" t="s">
        <v>291</v>
      </c>
      <c r="D83" s="165" t="s">
        <v>292</v>
      </c>
      <c r="E83" s="14" t="s">
        <v>170</v>
      </c>
      <c r="F83" s="13"/>
      <c r="G83" s="13">
        <v>10498</v>
      </c>
      <c r="H83" s="13">
        <v>2074</v>
      </c>
      <c r="I83" s="18">
        <v>12846</v>
      </c>
      <c r="J83" s="15">
        <f t="shared" si="3"/>
        <v>25418</v>
      </c>
      <c r="K83" s="19"/>
      <c r="L83" s="19"/>
      <c r="M83" s="19"/>
      <c r="N83" s="15"/>
      <c r="O83" s="15">
        <f t="shared" si="4"/>
        <v>0</v>
      </c>
      <c r="P83" s="19"/>
      <c r="Q83" s="19"/>
      <c r="R83" s="19"/>
      <c r="S83" s="15"/>
      <c r="T83" s="15">
        <f t="shared" si="5"/>
        <v>0</v>
      </c>
      <c r="U83" s="2"/>
      <c r="V83" s="2"/>
      <c r="W83" s="2"/>
      <c r="X83" s="2"/>
      <c r="Y83" s="2"/>
      <c r="Z83" s="2"/>
      <c r="AA83" s="2"/>
    </row>
    <row r="84" spans="1:27" ht="12.75">
      <c r="A84" s="1" t="s">
        <v>239</v>
      </c>
      <c r="B84" s="9" t="s">
        <v>128</v>
      </c>
      <c r="C84" s="12" t="s">
        <v>293</v>
      </c>
      <c r="D84" s="165" t="s">
        <v>294</v>
      </c>
      <c r="E84" s="14" t="s">
        <v>170</v>
      </c>
      <c r="F84" s="13"/>
      <c r="G84" s="13">
        <v>7180</v>
      </c>
      <c r="H84" s="13">
        <v>1903</v>
      </c>
      <c r="I84" s="18">
        <v>9567</v>
      </c>
      <c r="J84" s="15">
        <f t="shared" si="3"/>
        <v>18650</v>
      </c>
      <c r="K84" s="19"/>
      <c r="L84" s="19"/>
      <c r="M84" s="19"/>
      <c r="N84" s="15"/>
      <c r="O84" s="15">
        <f t="shared" si="4"/>
        <v>0</v>
      </c>
      <c r="P84" s="19"/>
      <c r="Q84" s="19"/>
      <c r="R84" s="19"/>
      <c r="S84" s="15"/>
      <c r="T84" s="15">
        <f t="shared" si="5"/>
        <v>0</v>
      </c>
      <c r="U84" s="2"/>
      <c r="V84" s="2"/>
      <c r="W84" s="2"/>
      <c r="X84" s="2"/>
      <c r="Y84" s="2"/>
      <c r="Z84" s="2"/>
      <c r="AA84" s="2"/>
    </row>
    <row r="85" spans="1:27" ht="12.75">
      <c r="A85" s="1" t="s">
        <v>239</v>
      </c>
      <c r="B85" s="9" t="s">
        <v>128</v>
      </c>
      <c r="C85" s="12" t="s">
        <v>295</v>
      </c>
      <c r="D85" s="165" t="s">
        <v>296</v>
      </c>
      <c r="E85" s="14" t="s">
        <v>170</v>
      </c>
      <c r="F85" s="13"/>
      <c r="G85" s="13">
        <v>4865</v>
      </c>
      <c r="H85" s="13">
        <v>904</v>
      </c>
      <c r="I85" s="18">
        <v>5075</v>
      </c>
      <c r="J85" s="15">
        <f t="shared" si="3"/>
        <v>10844</v>
      </c>
      <c r="K85" s="19"/>
      <c r="L85" s="19"/>
      <c r="M85" s="19"/>
      <c r="N85" s="15"/>
      <c r="O85" s="15">
        <f t="shared" si="4"/>
        <v>0</v>
      </c>
      <c r="P85" s="19"/>
      <c r="Q85" s="19"/>
      <c r="R85" s="19"/>
      <c r="S85" s="15"/>
      <c r="T85" s="15">
        <f t="shared" si="5"/>
        <v>0</v>
      </c>
      <c r="U85" s="2"/>
      <c r="V85" s="2"/>
      <c r="W85" s="2"/>
      <c r="X85" s="2"/>
      <c r="Y85" s="2"/>
      <c r="Z85" s="2"/>
      <c r="AA85" s="2"/>
    </row>
    <row r="86" spans="1:27" ht="12.75">
      <c r="A86" s="1" t="s">
        <v>239</v>
      </c>
      <c r="B86" s="9" t="s">
        <v>128</v>
      </c>
      <c r="C86" s="12" t="s">
        <v>297</v>
      </c>
      <c r="D86" s="165" t="s">
        <v>298</v>
      </c>
      <c r="E86" s="14" t="s">
        <v>170</v>
      </c>
      <c r="F86" s="13"/>
      <c r="G86" s="13">
        <v>10211</v>
      </c>
      <c r="H86" s="13">
        <v>3394</v>
      </c>
      <c r="I86" s="18">
        <v>10005</v>
      </c>
      <c r="J86" s="15">
        <f t="shared" si="3"/>
        <v>23610</v>
      </c>
      <c r="K86" s="19"/>
      <c r="L86" s="19"/>
      <c r="M86" s="19"/>
      <c r="N86" s="15"/>
      <c r="O86" s="15">
        <f t="shared" si="4"/>
        <v>0</v>
      </c>
      <c r="P86" s="19"/>
      <c r="Q86" s="19"/>
      <c r="R86" s="19"/>
      <c r="S86" s="15"/>
      <c r="T86" s="15">
        <f t="shared" si="5"/>
        <v>0</v>
      </c>
      <c r="U86" s="2"/>
      <c r="V86" s="2"/>
      <c r="W86" s="2"/>
      <c r="X86" s="2"/>
      <c r="Y86" s="2"/>
      <c r="Z86" s="2"/>
      <c r="AA86" s="2"/>
    </row>
    <row r="87" spans="1:27" ht="12.75">
      <c r="A87" s="1" t="s">
        <v>239</v>
      </c>
      <c r="B87" s="9" t="s">
        <v>128</v>
      </c>
      <c r="C87" s="12" t="s">
        <v>299</v>
      </c>
      <c r="D87" s="165" t="s">
        <v>300</v>
      </c>
      <c r="E87" s="14" t="s">
        <v>170</v>
      </c>
      <c r="F87" s="13"/>
      <c r="G87" s="13">
        <v>7126</v>
      </c>
      <c r="H87" s="13">
        <v>1558</v>
      </c>
      <c r="I87" s="18">
        <v>8041</v>
      </c>
      <c r="J87" s="15">
        <f t="shared" si="3"/>
        <v>16725</v>
      </c>
      <c r="K87" s="19"/>
      <c r="L87" s="19"/>
      <c r="M87" s="19"/>
      <c r="N87" s="15"/>
      <c r="O87" s="15">
        <f t="shared" si="4"/>
        <v>0</v>
      </c>
      <c r="P87" s="19"/>
      <c r="Q87" s="19"/>
      <c r="R87" s="19"/>
      <c r="S87" s="15"/>
      <c r="T87" s="15">
        <f t="shared" si="5"/>
        <v>0</v>
      </c>
      <c r="U87" s="2"/>
      <c r="V87" s="2"/>
      <c r="W87" s="2"/>
      <c r="X87" s="2"/>
      <c r="Y87" s="2"/>
      <c r="Z87" s="2"/>
      <c r="AA87" s="2"/>
    </row>
    <row r="88" spans="1:27" ht="12.75">
      <c r="A88" s="1" t="s">
        <v>239</v>
      </c>
      <c r="B88" s="9" t="s">
        <v>128</v>
      </c>
      <c r="C88" s="12" t="s">
        <v>301</v>
      </c>
      <c r="D88" s="165" t="s">
        <v>302</v>
      </c>
      <c r="E88" s="14" t="s">
        <v>170</v>
      </c>
      <c r="F88" s="13"/>
      <c r="G88" s="13">
        <v>42933</v>
      </c>
      <c r="H88" s="13">
        <v>12664</v>
      </c>
      <c r="I88" s="18">
        <v>44673</v>
      </c>
      <c r="J88" s="15">
        <f t="shared" si="3"/>
        <v>100270</v>
      </c>
      <c r="K88" s="19"/>
      <c r="L88" s="19"/>
      <c r="M88" s="19"/>
      <c r="N88" s="15"/>
      <c r="O88" s="15">
        <f t="shared" si="4"/>
        <v>0</v>
      </c>
      <c r="P88" s="19"/>
      <c r="Q88" s="19"/>
      <c r="R88" s="19"/>
      <c r="S88" s="15"/>
      <c r="T88" s="15">
        <f t="shared" si="5"/>
        <v>0</v>
      </c>
      <c r="U88" s="2"/>
      <c r="V88" s="2"/>
      <c r="W88" s="2"/>
      <c r="X88" s="2"/>
      <c r="Y88" s="2"/>
      <c r="Z88" s="2"/>
      <c r="AA88" s="2"/>
    </row>
    <row r="89" spans="1:27" ht="12.75">
      <c r="A89" s="1" t="s">
        <v>239</v>
      </c>
      <c r="B89" s="9" t="s">
        <v>128</v>
      </c>
      <c r="C89" s="12" t="s">
        <v>303</v>
      </c>
      <c r="D89" s="165" t="s">
        <v>304</v>
      </c>
      <c r="E89" s="14" t="s">
        <v>305</v>
      </c>
      <c r="F89" s="13" t="s">
        <v>306</v>
      </c>
      <c r="G89" s="13">
        <v>6416</v>
      </c>
      <c r="H89" s="13">
        <v>1617</v>
      </c>
      <c r="I89" s="18">
        <v>6114</v>
      </c>
      <c r="J89" s="15">
        <f t="shared" si="3"/>
        <v>14147</v>
      </c>
      <c r="K89" s="19"/>
      <c r="L89" s="19"/>
      <c r="M89" s="19"/>
      <c r="N89" s="15"/>
      <c r="O89" s="15">
        <f t="shared" si="4"/>
        <v>0</v>
      </c>
      <c r="P89" s="19"/>
      <c r="Q89" s="13">
        <v>18548</v>
      </c>
      <c r="R89" s="13">
        <v>468</v>
      </c>
      <c r="S89" s="15">
        <v>18918</v>
      </c>
      <c r="T89" s="15">
        <f t="shared" si="5"/>
        <v>37934</v>
      </c>
      <c r="U89" s="2"/>
      <c r="V89" s="2"/>
      <c r="W89" s="2"/>
      <c r="X89" s="2"/>
      <c r="Y89" s="2"/>
      <c r="Z89" s="2"/>
      <c r="AA89" s="2"/>
    </row>
    <row r="90" spans="1:21" ht="12" customHeight="1">
      <c r="A90" s="1" t="s">
        <v>307</v>
      </c>
      <c r="B90" s="9" t="s">
        <v>128</v>
      </c>
      <c r="C90" s="12" t="s">
        <v>308</v>
      </c>
      <c r="D90" s="165" t="s">
        <v>309</v>
      </c>
      <c r="E90" s="14" t="s">
        <v>131</v>
      </c>
      <c r="F90" s="13" t="s">
        <v>306</v>
      </c>
      <c r="G90" s="13">
        <v>270864</v>
      </c>
      <c r="H90" s="13">
        <v>92446</v>
      </c>
      <c r="I90" s="15">
        <v>292493</v>
      </c>
      <c r="J90" s="15">
        <f t="shared" si="3"/>
        <v>655803</v>
      </c>
      <c r="K90" s="1"/>
      <c r="L90" s="1"/>
      <c r="M90" s="1"/>
      <c r="N90" s="18"/>
      <c r="O90" s="15">
        <f t="shared" si="4"/>
        <v>0</v>
      </c>
      <c r="P90" s="1"/>
      <c r="Q90" s="12">
        <v>47662</v>
      </c>
      <c r="R90" s="12">
        <v>23520</v>
      </c>
      <c r="S90" s="15">
        <v>50085</v>
      </c>
      <c r="T90" s="15">
        <f t="shared" si="5"/>
        <v>121267</v>
      </c>
      <c r="U90" s="2"/>
    </row>
    <row r="91" spans="1:21" ht="12" customHeight="1">
      <c r="A91" s="1" t="s">
        <v>307</v>
      </c>
      <c r="B91" s="9" t="s">
        <v>128</v>
      </c>
      <c r="C91" s="12" t="s">
        <v>310</v>
      </c>
      <c r="D91" s="165" t="s">
        <v>311</v>
      </c>
      <c r="E91" s="14" t="s">
        <v>131</v>
      </c>
      <c r="F91" s="1"/>
      <c r="G91" s="13">
        <v>318092</v>
      </c>
      <c r="H91" s="13">
        <v>112425</v>
      </c>
      <c r="I91" s="15">
        <v>346174</v>
      </c>
      <c r="J91" s="15">
        <f t="shared" si="3"/>
        <v>776691</v>
      </c>
      <c r="K91" s="1"/>
      <c r="L91" s="1"/>
      <c r="M91" s="1"/>
      <c r="N91" s="18"/>
      <c r="O91" s="15">
        <f t="shared" si="4"/>
        <v>0</v>
      </c>
      <c r="P91" s="1"/>
      <c r="Q91" s="12">
        <v>61643</v>
      </c>
      <c r="R91" s="12">
        <v>21829</v>
      </c>
      <c r="S91" s="15">
        <v>61407</v>
      </c>
      <c r="T91" s="15">
        <f t="shared" si="5"/>
        <v>144879</v>
      </c>
      <c r="U91" s="2"/>
    </row>
    <row r="92" spans="1:21" ht="12" customHeight="1">
      <c r="A92" s="1" t="s">
        <v>307</v>
      </c>
      <c r="B92" s="9" t="s">
        <v>128</v>
      </c>
      <c r="C92" s="12" t="s">
        <v>312</v>
      </c>
      <c r="D92" s="165" t="s">
        <v>313</v>
      </c>
      <c r="E92" s="14" t="s">
        <v>131</v>
      </c>
      <c r="F92" s="1"/>
      <c r="G92" s="13">
        <v>254596</v>
      </c>
      <c r="H92" s="13">
        <v>93802</v>
      </c>
      <c r="I92" s="15">
        <v>270358</v>
      </c>
      <c r="J92" s="15">
        <f t="shared" si="3"/>
        <v>618756</v>
      </c>
      <c r="K92" s="1"/>
      <c r="L92" s="1"/>
      <c r="M92" s="1"/>
      <c r="N92" s="18"/>
      <c r="O92" s="15">
        <f t="shared" si="4"/>
        <v>0</v>
      </c>
      <c r="P92" s="1"/>
      <c r="Q92" s="12">
        <v>44915</v>
      </c>
      <c r="R92" s="12">
        <v>23562</v>
      </c>
      <c r="S92" s="15">
        <v>43928</v>
      </c>
      <c r="T92" s="15">
        <f t="shared" si="5"/>
        <v>112405</v>
      </c>
      <c r="U92" s="2"/>
    </row>
    <row r="93" spans="1:21" ht="12" customHeight="1">
      <c r="A93" s="1" t="s">
        <v>307</v>
      </c>
      <c r="B93" s="9" t="s">
        <v>128</v>
      </c>
      <c r="C93" s="12" t="s">
        <v>314</v>
      </c>
      <c r="D93" s="165" t="s">
        <v>315</v>
      </c>
      <c r="E93" s="14" t="s">
        <v>136</v>
      </c>
      <c r="F93" s="13" t="s">
        <v>306</v>
      </c>
      <c r="G93" s="13">
        <v>127904</v>
      </c>
      <c r="H93" s="13">
        <v>57937</v>
      </c>
      <c r="I93" s="15">
        <v>136851</v>
      </c>
      <c r="J93" s="15">
        <f t="shared" si="3"/>
        <v>322692</v>
      </c>
      <c r="K93" s="1"/>
      <c r="L93" s="1"/>
      <c r="M93" s="1"/>
      <c r="N93" s="18"/>
      <c r="O93" s="15">
        <f t="shared" si="4"/>
        <v>0</v>
      </c>
      <c r="P93" s="1"/>
      <c r="Q93" s="12">
        <v>15817</v>
      </c>
      <c r="R93" s="12">
        <v>9097</v>
      </c>
      <c r="S93" s="15">
        <v>16873</v>
      </c>
      <c r="T93" s="15">
        <f t="shared" si="5"/>
        <v>41787</v>
      </c>
      <c r="U93" s="2"/>
    </row>
    <row r="94" spans="1:21" ht="12" customHeight="1">
      <c r="A94" s="1" t="s">
        <v>307</v>
      </c>
      <c r="B94" s="9" t="s">
        <v>128</v>
      </c>
      <c r="C94" s="12" t="s">
        <v>316</v>
      </c>
      <c r="D94" s="165" t="s">
        <v>317</v>
      </c>
      <c r="E94" s="14" t="s">
        <v>136</v>
      </c>
      <c r="F94" s="1"/>
      <c r="G94" s="13">
        <v>223592</v>
      </c>
      <c r="H94" s="13">
        <v>77827</v>
      </c>
      <c r="I94" s="15">
        <v>240591</v>
      </c>
      <c r="J94" s="15">
        <f t="shared" si="3"/>
        <v>542010</v>
      </c>
      <c r="K94" s="1"/>
      <c r="L94" s="1"/>
      <c r="M94" s="1"/>
      <c r="N94" s="18"/>
      <c r="O94" s="15">
        <f t="shared" si="4"/>
        <v>0</v>
      </c>
      <c r="P94" s="1"/>
      <c r="Q94" s="12">
        <v>24403</v>
      </c>
      <c r="R94" s="12">
        <v>15620</v>
      </c>
      <c r="S94" s="15">
        <v>25006</v>
      </c>
      <c r="T94" s="15">
        <f t="shared" si="5"/>
        <v>65029</v>
      </c>
      <c r="U94" s="2"/>
    </row>
    <row r="95" spans="1:21" ht="12" customHeight="1">
      <c r="A95" s="1" t="s">
        <v>307</v>
      </c>
      <c r="B95" s="9" t="s">
        <v>128</v>
      </c>
      <c r="C95" s="12" t="s">
        <v>318</v>
      </c>
      <c r="D95" s="165" t="s">
        <v>319</v>
      </c>
      <c r="E95" s="14" t="s">
        <v>139</v>
      </c>
      <c r="F95" s="1"/>
      <c r="G95" s="13">
        <v>200653</v>
      </c>
      <c r="H95" s="13">
        <v>110142</v>
      </c>
      <c r="I95" s="15">
        <v>221398</v>
      </c>
      <c r="J95" s="15">
        <f t="shared" si="3"/>
        <v>532193</v>
      </c>
      <c r="K95" s="1"/>
      <c r="L95" s="1"/>
      <c r="M95" s="1"/>
      <c r="N95" s="18"/>
      <c r="O95" s="15">
        <f t="shared" si="4"/>
        <v>0</v>
      </c>
      <c r="P95" s="1"/>
      <c r="Q95" s="12">
        <v>27985</v>
      </c>
      <c r="R95" s="12">
        <v>19816</v>
      </c>
      <c r="S95" s="15">
        <v>30310</v>
      </c>
      <c r="T95" s="15">
        <f t="shared" si="5"/>
        <v>78111</v>
      </c>
      <c r="U95" s="2"/>
    </row>
    <row r="96" spans="1:21" ht="12" customHeight="1">
      <c r="A96" s="1" t="s">
        <v>307</v>
      </c>
      <c r="B96" s="9" t="s">
        <v>128</v>
      </c>
      <c r="C96" s="12" t="s">
        <v>320</v>
      </c>
      <c r="D96" s="165" t="s">
        <v>321</v>
      </c>
      <c r="E96" s="14" t="s">
        <v>139</v>
      </c>
      <c r="F96" s="1"/>
      <c r="G96" s="13">
        <v>61338</v>
      </c>
      <c r="H96" s="13">
        <v>24491</v>
      </c>
      <c r="I96" s="15">
        <v>67460</v>
      </c>
      <c r="J96" s="15">
        <f t="shared" si="3"/>
        <v>153289</v>
      </c>
      <c r="K96" s="1"/>
      <c r="L96" s="1"/>
      <c r="M96" s="1"/>
      <c r="N96" s="18"/>
      <c r="O96" s="15">
        <f t="shared" si="4"/>
        <v>0</v>
      </c>
      <c r="P96" s="1"/>
      <c r="Q96" s="12">
        <v>7431</v>
      </c>
      <c r="R96" s="12">
        <v>5396</v>
      </c>
      <c r="S96" s="15">
        <v>7466</v>
      </c>
      <c r="T96" s="15">
        <f t="shared" si="5"/>
        <v>20293</v>
      </c>
      <c r="U96" s="2"/>
    </row>
    <row r="97" spans="1:21" ht="12" customHeight="1">
      <c r="A97" s="1" t="s">
        <v>307</v>
      </c>
      <c r="B97" s="9" t="s">
        <v>128</v>
      </c>
      <c r="C97" s="12" t="s">
        <v>322</v>
      </c>
      <c r="D97" s="165" t="s">
        <v>323</v>
      </c>
      <c r="E97" s="14" t="s">
        <v>148</v>
      </c>
      <c r="F97" s="1"/>
      <c r="G97" s="13">
        <v>113101</v>
      </c>
      <c r="H97" s="13">
        <v>27366</v>
      </c>
      <c r="I97" s="15">
        <v>119332</v>
      </c>
      <c r="J97" s="15">
        <f t="shared" si="3"/>
        <v>259799</v>
      </c>
      <c r="K97" s="1"/>
      <c r="L97" s="1"/>
      <c r="M97" s="1"/>
      <c r="N97" s="18"/>
      <c r="O97" s="15">
        <f t="shared" si="4"/>
        <v>0</v>
      </c>
      <c r="P97" s="1"/>
      <c r="Q97" s="12">
        <v>5933</v>
      </c>
      <c r="R97" s="12">
        <v>2454</v>
      </c>
      <c r="S97" s="15">
        <v>6661</v>
      </c>
      <c r="T97" s="15">
        <f t="shared" si="5"/>
        <v>15048</v>
      </c>
      <c r="U97" s="2"/>
    </row>
    <row r="98" spans="1:20" ht="12" customHeight="1">
      <c r="A98" s="1" t="s">
        <v>307</v>
      </c>
      <c r="B98" s="9" t="s">
        <v>128</v>
      </c>
      <c r="C98" s="12" t="s">
        <v>324</v>
      </c>
      <c r="D98" s="165" t="s">
        <v>325</v>
      </c>
      <c r="E98" s="14" t="s">
        <v>148</v>
      </c>
      <c r="F98" s="1"/>
      <c r="G98" s="13">
        <v>74873</v>
      </c>
      <c r="H98" s="13">
        <v>35655</v>
      </c>
      <c r="I98" s="15">
        <v>85990</v>
      </c>
      <c r="J98" s="15">
        <f t="shared" si="3"/>
        <v>196518</v>
      </c>
      <c r="K98" s="1"/>
      <c r="L98" s="1"/>
      <c r="M98" s="1"/>
      <c r="N98" s="18"/>
      <c r="O98" s="15">
        <f t="shared" si="4"/>
        <v>0</v>
      </c>
      <c r="P98" s="1"/>
      <c r="Q98" s="12">
        <v>8550</v>
      </c>
      <c r="R98" s="12">
        <v>7179</v>
      </c>
      <c r="S98" s="15">
        <v>8196</v>
      </c>
      <c r="T98" s="15">
        <f t="shared" si="5"/>
        <v>23925</v>
      </c>
    </row>
    <row r="99" spans="1:20" ht="12" customHeight="1">
      <c r="A99" s="1" t="s">
        <v>307</v>
      </c>
      <c r="B99" s="9" t="s">
        <v>128</v>
      </c>
      <c r="C99" s="12" t="s">
        <v>326</v>
      </c>
      <c r="D99" s="165" t="s">
        <v>327</v>
      </c>
      <c r="E99" s="20" t="s">
        <v>170</v>
      </c>
      <c r="F99" s="13" t="s">
        <v>306</v>
      </c>
      <c r="G99" s="13">
        <v>91196</v>
      </c>
      <c r="H99" s="13">
        <v>35761</v>
      </c>
      <c r="I99" s="18">
        <v>93978</v>
      </c>
      <c r="J99" s="15">
        <f t="shared" si="3"/>
        <v>220935</v>
      </c>
      <c r="K99" s="19"/>
      <c r="L99" s="13">
        <v>701561</v>
      </c>
      <c r="M99" s="13">
        <v>323161</v>
      </c>
      <c r="N99" s="18">
        <v>895032</v>
      </c>
      <c r="O99" s="15">
        <f t="shared" si="4"/>
        <v>1919754</v>
      </c>
      <c r="P99" s="19"/>
      <c r="Q99" s="19"/>
      <c r="R99" s="19"/>
      <c r="S99" s="15"/>
      <c r="T99" s="15">
        <f t="shared" si="5"/>
        <v>0</v>
      </c>
    </row>
    <row r="100" spans="1:20" ht="12" customHeight="1">
      <c r="A100" s="1" t="s">
        <v>307</v>
      </c>
      <c r="B100" s="9" t="s">
        <v>128</v>
      </c>
      <c r="C100" s="12" t="s">
        <v>328</v>
      </c>
      <c r="D100" s="165" t="s">
        <v>329</v>
      </c>
      <c r="E100" s="20" t="s">
        <v>170</v>
      </c>
      <c r="F100" s="13" t="s">
        <v>306</v>
      </c>
      <c r="G100" s="13">
        <v>176035</v>
      </c>
      <c r="H100" s="13">
        <v>85164</v>
      </c>
      <c r="I100" s="18">
        <v>179221</v>
      </c>
      <c r="J100" s="15">
        <f t="shared" si="3"/>
        <v>440420</v>
      </c>
      <c r="K100" s="19"/>
      <c r="L100" s="13">
        <v>517329</v>
      </c>
      <c r="M100" s="13">
        <v>264518</v>
      </c>
      <c r="N100" s="18">
        <v>582830</v>
      </c>
      <c r="O100" s="15">
        <f t="shared" si="4"/>
        <v>1364677</v>
      </c>
      <c r="P100" s="19"/>
      <c r="Q100" s="19"/>
      <c r="R100" s="19"/>
      <c r="S100" s="15"/>
      <c r="T100" s="15">
        <f t="shared" si="5"/>
        <v>0</v>
      </c>
    </row>
    <row r="101" spans="1:20" ht="12" customHeight="1">
      <c r="A101" s="1" t="s">
        <v>307</v>
      </c>
      <c r="B101" s="9" t="s">
        <v>128</v>
      </c>
      <c r="C101" s="12" t="s">
        <v>330</v>
      </c>
      <c r="D101" s="165" t="s">
        <v>331</v>
      </c>
      <c r="E101" s="20" t="s">
        <v>170</v>
      </c>
      <c r="F101" s="13"/>
      <c r="G101" s="13">
        <v>43297</v>
      </c>
      <c r="H101" s="13">
        <v>15011</v>
      </c>
      <c r="I101" s="18">
        <v>45959</v>
      </c>
      <c r="J101" s="15">
        <f t="shared" si="3"/>
        <v>104267</v>
      </c>
      <c r="K101" s="19"/>
      <c r="L101" s="13">
        <v>443497</v>
      </c>
      <c r="M101" s="13">
        <v>231726</v>
      </c>
      <c r="N101" s="18">
        <v>417469</v>
      </c>
      <c r="O101" s="15">
        <f t="shared" si="4"/>
        <v>1092692</v>
      </c>
      <c r="P101" s="19"/>
      <c r="Q101" s="19"/>
      <c r="R101" s="19"/>
      <c r="S101" s="15"/>
      <c r="T101" s="15">
        <f t="shared" si="5"/>
        <v>0</v>
      </c>
    </row>
    <row r="102" spans="1:20" ht="12" customHeight="1">
      <c r="A102" s="1" t="s">
        <v>307</v>
      </c>
      <c r="B102" s="9" t="s">
        <v>128</v>
      </c>
      <c r="C102" s="12" t="s">
        <v>332</v>
      </c>
      <c r="D102" s="165" t="s">
        <v>333</v>
      </c>
      <c r="E102" s="20" t="s">
        <v>170</v>
      </c>
      <c r="F102" s="13"/>
      <c r="G102" s="13">
        <v>14940</v>
      </c>
      <c r="H102" s="13">
        <v>3572</v>
      </c>
      <c r="I102" s="18">
        <v>14981</v>
      </c>
      <c r="J102" s="15">
        <f t="shared" si="3"/>
        <v>33493</v>
      </c>
      <c r="K102" s="19"/>
      <c r="L102" s="13">
        <v>155769</v>
      </c>
      <c r="M102" s="13">
        <v>85143</v>
      </c>
      <c r="N102" s="18">
        <v>175262</v>
      </c>
      <c r="O102" s="15">
        <f t="shared" si="4"/>
        <v>416174</v>
      </c>
      <c r="P102" s="19"/>
      <c r="Q102" s="19"/>
      <c r="R102" s="19"/>
      <c r="S102" s="15"/>
      <c r="T102" s="15">
        <f t="shared" si="5"/>
        <v>0</v>
      </c>
    </row>
    <row r="103" spans="1:20" ht="12" customHeight="1">
      <c r="A103" s="1" t="s">
        <v>307</v>
      </c>
      <c r="B103" s="9" t="s">
        <v>128</v>
      </c>
      <c r="C103" s="12" t="s">
        <v>334</v>
      </c>
      <c r="D103" s="165" t="s">
        <v>335</v>
      </c>
      <c r="E103" s="20" t="s">
        <v>170</v>
      </c>
      <c r="F103" s="13"/>
      <c r="G103" s="13">
        <v>87972</v>
      </c>
      <c r="H103" s="13">
        <v>32419</v>
      </c>
      <c r="I103" s="18">
        <v>85572</v>
      </c>
      <c r="J103" s="15">
        <f t="shared" si="3"/>
        <v>205963</v>
      </c>
      <c r="K103" s="19"/>
      <c r="L103" s="13">
        <v>2084382</v>
      </c>
      <c r="M103" s="13">
        <v>982927</v>
      </c>
      <c r="N103" s="18">
        <v>2145504</v>
      </c>
      <c r="O103" s="15">
        <f t="shared" si="4"/>
        <v>5212813</v>
      </c>
      <c r="P103" s="19"/>
      <c r="Q103" s="19"/>
      <c r="R103" s="19"/>
      <c r="S103" s="15"/>
      <c r="T103" s="15">
        <f t="shared" si="5"/>
        <v>0</v>
      </c>
    </row>
    <row r="104" spans="1:20" ht="12" customHeight="1">
      <c r="A104" s="1" t="s">
        <v>307</v>
      </c>
      <c r="B104" s="9" t="s">
        <v>128</v>
      </c>
      <c r="C104" s="12" t="s">
        <v>336</v>
      </c>
      <c r="D104" s="165" t="s">
        <v>337</v>
      </c>
      <c r="E104" s="20" t="s">
        <v>170</v>
      </c>
      <c r="F104" s="13"/>
      <c r="G104" s="13">
        <v>65077</v>
      </c>
      <c r="H104" s="13">
        <v>26729</v>
      </c>
      <c r="I104" s="18">
        <v>72340</v>
      </c>
      <c r="J104" s="15">
        <f t="shared" si="3"/>
        <v>164146</v>
      </c>
      <c r="K104" s="19"/>
      <c r="L104" s="13">
        <v>142530</v>
      </c>
      <c r="M104" s="13">
        <v>80749</v>
      </c>
      <c r="N104" s="18">
        <v>184587</v>
      </c>
      <c r="O104" s="15">
        <f t="shared" si="4"/>
        <v>407866</v>
      </c>
      <c r="P104" s="19"/>
      <c r="Q104" s="19"/>
      <c r="R104" s="19"/>
      <c r="S104" s="15"/>
      <c r="T104" s="15">
        <f t="shared" si="5"/>
        <v>0</v>
      </c>
    </row>
    <row r="105" spans="1:20" ht="12" customHeight="1">
      <c r="A105" s="1" t="s">
        <v>307</v>
      </c>
      <c r="B105" s="9" t="s">
        <v>128</v>
      </c>
      <c r="C105" s="12" t="s">
        <v>338</v>
      </c>
      <c r="D105" s="165" t="s">
        <v>339</v>
      </c>
      <c r="E105" s="20" t="s">
        <v>170</v>
      </c>
      <c r="F105" s="12" t="s">
        <v>306</v>
      </c>
      <c r="G105" s="13">
        <v>139047</v>
      </c>
      <c r="H105" s="13">
        <v>72983</v>
      </c>
      <c r="I105" s="18">
        <v>142546</v>
      </c>
      <c r="J105" s="15">
        <f t="shared" si="3"/>
        <v>354576</v>
      </c>
      <c r="K105" s="19"/>
      <c r="L105" s="13">
        <v>3475366</v>
      </c>
      <c r="M105" s="13">
        <v>1893328</v>
      </c>
      <c r="N105" s="18">
        <v>3508487</v>
      </c>
      <c r="O105" s="15">
        <f t="shared" si="4"/>
        <v>8877181</v>
      </c>
      <c r="P105" s="19"/>
      <c r="Q105" s="19"/>
      <c r="R105" s="19"/>
      <c r="S105" s="15"/>
      <c r="T105" s="15">
        <f t="shared" si="5"/>
        <v>0</v>
      </c>
    </row>
    <row r="106" spans="1:20" ht="12" customHeight="1">
      <c r="A106" s="1" t="s">
        <v>307</v>
      </c>
      <c r="B106" s="9" t="s">
        <v>128</v>
      </c>
      <c r="C106" s="12" t="s">
        <v>340</v>
      </c>
      <c r="D106" s="165" t="s">
        <v>341</v>
      </c>
      <c r="E106" s="20" t="s">
        <v>170</v>
      </c>
      <c r="F106" s="13" t="s">
        <v>306</v>
      </c>
      <c r="G106" s="13">
        <v>13046</v>
      </c>
      <c r="H106" s="13">
        <v>4948</v>
      </c>
      <c r="I106" s="18">
        <v>11560</v>
      </c>
      <c r="J106" s="15">
        <f t="shared" si="3"/>
        <v>29554</v>
      </c>
      <c r="K106" s="19"/>
      <c r="L106" s="13">
        <v>39551</v>
      </c>
      <c r="M106" s="13">
        <v>26923</v>
      </c>
      <c r="N106" s="18">
        <v>23056</v>
      </c>
      <c r="O106" s="15">
        <f t="shared" si="4"/>
        <v>89530</v>
      </c>
      <c r="P106" s="19"/>
      <c r="Q106" s="13"/>
      <c r="R106" s="13"/>
      <c r="S106" s="15"/>
      <c r="T106" s="15">
        <f t="shared" si="5"/>
        <v>0</v>
      </c>
    </row>
    <row r="107" spans="1:20" ht="12" customHeight="1">
      <c r="A107" s="1" t="s">
        <v>307</v>
      </c>
      <c r="B107" s="9" t="s">
        <v>128</v>
      </c>
      <c r="C107" s="12" t="s">
        <v>342</v>
      </c>
      <c r="D107" s="165" t="s">
        <v>343</v>
      </c>
      <c r="E107" s="20" t="s">
        <v>170</v>
      </c>
      <c r="F107" s="13"/>
      <c r="G107" s="13">
        <v>42868</v>
      </c>
      <c r="H107" s="13">
        <v>12684</v>
      </c>
      <c r="I107" s="18">
        <v>46940</v>
      </c>
      <c r="J107" s="15">
        <f t="shared" si="3"/>
        <v>102492</v>
      </c>
      <c r="K107" s="19"/>
      <c r="L107" s="13">
        <v>270822</v>
      </c>
      <c r="M107" s="13">
        <v>156909</v>
      </c>
      <c r="N107" s="18">
        <v>263987</v>
      </c>
      <c r="O107" s="15">
        <f t="shared" si="4"/>
        <v>691718</v>
      </c>
      <c r="P107" s="19"/>
      <c r="Q107" s="19"/>
      <c r="R107" s="19"/>
      <c r="S107" s="15"/>
      <c r="T107" s="15">
        <f t="shared" si="5"/>
        <v>0</v>
      </c>
    </row>
    <row r="108" spans="1:20" ht="12" customHeight="1">
      <c r="A108" s="1" t="s">
        <v>307</v>
      </c>
      <c r="B108" s="9" t="s">
        <v>128</v>
      </c>
      <c r="C108" s="12" t="s">
        <v>344</v>
      </c>
      <c r="D108" s="165" t="s">
        <v>345</v>
      </c>
      <c r="E108" s="20" t="s">
        <v>170</v>
      </c>
      <c r="F108" s="13"/>
      <c r="G108" s="13">
        <v>139414</v>
      </c>
      <c r="H108" s="13">
        <v>58192</v>
      </c>
      <c r="I108" s="18">
        <v>137110</v>
      </c>
      <c r="J108" s="15">
        <f t="shared" si="3"/>
        <v>334716</v>
      </c>
      <c r="K108" s="19"/>
      <c r="L108" s="13">
        <v>595833</v>
      </c>
      <c r="M108" s="13">
        <v>323882</v>
      </c>
      <c r="N108" s="18">
        <v>565055</v>
      </c>
      <c r="O108" s="15">
        <f t="shared" si="4"/>
        <v>1484770</v>
      </c>
      <c r="P108" s="19"/>
      <c r="Q108" s="19"/>
      <c r="R108" s="19"/>
      <c r="S108" s="15"/>
      <c r="T108" s="15">
        <f t="shared" si="5"/>
        <v>0</v>
      </c>
    </row>
    <row r="109" spans="1:20" ht="12" customHeight="1">
      <c r="A109" s="1" t="s">
        <v>307</v>
      </c>
      <c r="B109" s="9" t="s">
        <v>128</v>
      </c>
      <c r="C109" s="12" t="s">
        <v>346</v>
      </c>
      <c r="D109" s="165" t="s">
        <v>347</v>
      </c>
      <c r="E109" s="20" t="s">
        <v>170</v>
      </c>
      <c r="F109" s="13"/>
      <c r="G109" s="13">
        <v>67791</v>
      </c>
      <c r="H109" s="13">
        <v>30284</v>
      </c>
      <c r="I109" s="18">
        <v>70130</v>
      </c>
      <c r="J109" s="15">
        <f t="shared" si="3"/>
        <v>168205</v>
      </c>
      <c r="K109" s="19"/>
      <c r="L109" s="13">
        <v>1244839</v>
      </c>
      <c r="M109" s="13">
        <v>948561</v>
      </c>
      <c r="N109" s="18">
        <v>1477060</v>
      </c>
      <c r="O109" s="15">
        <f t="shared" si="4"/>
        <v>3670460</v>
      </c>
      <c r="P109" s="19"/>
      <c r="Q109" s="19"/>
      <c r="R109" s="19"/>
      <c r="S109" s="15"/>
      <c r="T109" s="15">
        <f t="shared" si="5"/>
        <v>0</v>
      </c>
    </row>
    <row r="110" spans="1:20" ht="12" customHeight="1">
      <c r="A110" s="1" t="s">
        <v>307</v>
      </c>
      <c r="B110" s="9" t="s">
        <v>128</v>
      </c>
      <c r="C110" s="12" t="s">
        <v>348</v>
      </c>
      <c r="D110" s="165" t="s">
        <v>349</v>
      </c>
      <c r="E110" s="20" t="s">
        <v>170</v>
      </c>
      <c r="F110" s="13"/>
      <c r="G110" s="13">
        <v>20059</v>
      </c>
      <c r="H110" s="13">
        <v>6377</v>
      </c>
      <c r="I110" s="18">
        <v>18714</v>
      </c>
      <c r="J110" s="15">
        <f t="shared" si="3"/>
        <v>45150</v>
      </c>
      <c r="K110" s="19"/>
      <c r="L110" s="13">
        <v>290350</v>
      </c>
      <c r="M110" s="13">
        <v>205463</v>
      </c>
      <c r="N110" s="18">
        <v>307314</v>
      </c>
      <c r="O110" s="15">
        <f t="shared" si="4"/>
        <v>803127</v>
      </c>
      <c r="P110" s="19"/>
      <c r="Q110" s="19"/>
      <c r="R110" s="19"/>
      <c r="S110" s="15"/>
      <c r="T110" s="15">
        <f t="shared" si="5"/>
        <v>0</v>
      </c>
    </row>
    <row r="111" spans="1:20" ht="12" customHeight="1">
      <c r="A111" s="1" t="s">
        <v>307</v>
      </c>
      <c r="B111" s="9" t="s">
        <v>128</v>
      </c>
      <c r="C111" s="12" t="s">
        <v>350</v>
      </c>
      <c r="D111" s="165" t="s">
        <v>351</v>
      </c>
      <c r="E111" s="20" t="s">
        <v>170</v>
      </c>
      <c r="F111" s="13"/>
      <c r="G111" s="13">
        <v>17923</v>
      </c>
      <c r="H111" s="13">
        <v>7045</v>
      </c>
      <c r="I111" s="18">
        <v>16404</v>
      </c>
      <c r="J111" s="15">
        <f t="shared" si="3"/>
        <v>41372</v>
      </c>
      <c r="K111" s="19"/>
      <c r="L111" s="13">
        <v>48499</v>
      </c>
      <c r="M111" s="13">
        <v>28694</v>
      </c>
      <c r="N111" s="18">
        <v>72487</v>
      </c>
      <c r="O111" s="15">
        <f t="shared" si="4"/>
        <v>149680</v>
      </c>
      <c r="P111" s="19"/>
      <c r="Q111" s="19"/>
      <c r="R111" s="19"/>
      <c r="S111" s="15"/>
      <c r="T111" s="15">
        <f t="shared" si="5"/>
        <v>0</v>
      </c>
    </row>
    <row r="112" spans="1:20" ht="12" customHeight="1">
      <c r="A112" s="1" t="s">
        <v>307</v>
      </c>
      <c r="B112" s="9" t="s">
        <v>128</v>
      </c>
      <c r="C112" s="12" t="s">
        <v>352</v>
      </c>
      <c r="D112" s="165" t="s">
        <v>353</v>
      </c>
      <c r="E112" s="20" t="s">
        <v>170</v>
      </c>
      <c r="F112" s="13"/>
      <c r="G112" s="13">
        <v>60560</v>
      </c>
      <c r="H112" s="13">
        <v>20967</v>
      </c>
      <c r="I112" s="18">
        <v>62850</v>
      </c>
      <c r="J112" s="15">
        <f t="shared" si="3"/>
        <v>144377</v>
      </c>
      <c r="K112" s="19"/>
      <c r="L112" s="13">
        <v>119122</v>
      </c>
      <c r="M112" s="13">
        <v>42572</v>
      </c>
      <c r="N112" s="18">
        <v>151857</v>
      </c>
      <c r="O112" s="15">
        <f t="shared" si="4"/>
        <v>313551</v>
      </c>
      <c r="P112" s="19"/>
      <c r="Q112" s="19"/>
      <c r="R112" s="19"/>
      <c r="S112" s="15"/>
      <c r="T112" s="15">
        <f t="shared" si="5"/>
        <v>0</v>
      </c>
    </row>
    <row r="113" spans="1:20" ht="12" customHeight="1">
      <c r="A113" s="1" t="s">
        <v>307</v>
      </c>
      <c r="B113" s="9" t="s">
        <v>128</v>
      </c>
      <c r="C113" s="12" t="s">
        <v>354</v>
      </c>
      <c r="D113" s="165" t="s">
        <v>355</v>
      </c>
      <c r="E113" s="20" t="s">
        <v>170</v>
      </c>
      <c r="F113" s="13"/>
      <c r="G113" s="13">
        <v>391086</v>
      </c>
      <c r="H113" s="13">
        <v>220986</v>
      </c>
      <c r="I113" s="18">
        <v>376518</v>
      </c>
      <c r="J113" s="15">
        <f t="shared" si="3"/>
        <v>988590</v>
      </c>
      <c r="K113" s="19"/>
      <c r="L113" s="13">
        <v>2324516</v>
      </c>
      <c r="M113" s="13">
        <v>1381433</v>
      </c>
      <c r="N113" s="18">
        <v>2350357</v>
      </c>
      <c r="O113" s="15">
        <f t="shared" si="4"/>
        <v>6056306</v>
      </c>
      <c r="P113" s="19"/>
      <c r="Q113" s="19"/>
      <c r="R113" s="19"/>
      <c r="S113" s="15"/>
      <c r="T113" s="15">
        <f t="shared" si="5"/>
        <v>0</v>
      </c>
    </row>
    <row r="114" spans="1:20" ht="12" customHeight="1">
      <c r="A114" s="1" t="s">
        <v>307</v>
      </c>
      <c r="B114" s="9" t="s">
        <v>128</v>
      </c>
      <c r="C114" s="12" t="s">
        <v>356</v>
      </c>
      <c r="D114" s="165" t="s">
        <v>357</v>
      </c>
      <c r="E114" s="20" t="s">
        <v>170</v>
      </c>
      <c r="F114" s="13"/>
      <c r="G114" s="13">
        <v>7560</v>
      </c>
      <c r="H114" s="13">
        <v>2197</v>
      </c>
      <c r="I114" s="18">
        <v>7917</v>
      </c>
      <c r="J114" s="15">
        <f t="shared" si="3"/>
        <v>17674</v>
      </c>
      <c r="K114" s="19"/>
      <c r="L114" s="13">
        <v>158905</v>
      </c>
      <c r="M114" s="13">
        <v>59322</v>
      </c>
      <c r="N114" s="18">
        <v>198122</v>
      </c>
      <c r="O114" s="15">
        <f t="shared" si="4"/>
        <v>416349</v>
      </c>
      <c r="P114" s="19"/>
      <c r="Q114" s="13"/>
      <c r="R114" s="13"/>
      <c r="S114" s="15"/>
      <c r="T114" s="15">
        <f t="shared" si="5"/>
        <v>0</v>
      </c>
    </row>
    <row r="115" spans="1:20" ht="12" customHeight="1">
      <c r="A115" s="1" t="s">
        <v>307</v>
      </c>
      <c r="B115" s="9" t="s">
        <v>128</v>
      </c>
      <c r="C115" s="12" t="s">
        <v>358</v>
      </c>
      <c r="D115" s="165" t="s">
        <v>359</v>
      </c>
      <c r="E115" s="20" t="s">
        <v>170</v>
      </c>
      <c r="F115" s="13"/>
      <c r="G115" s="13">
        <v>46811</v>
      </c>
      <c r="H115" s="13">
        <v>21739</v>
      </c>
      <c r="I115" s="18">
        <v>48344</v>
      </c>
      <c r="J115" s="15">
        <f t="shared" si="3"/>
        <v>116894</v>
      </c>
      <c r="K115" s="19"/>
      <c r="L115" s="13">
        <v>205153</v>
      </c>
      <c r="M115" s="13">
        <v>113830</v>
      </c>
      <c r="N115" s="18">
        <v>224215</v>
      </c>
      <c r="O115" s="15">
        <f t="shared" si="4"/>
        <v>543198</v>
      </c>
      <c r="P115" s="19"/>
      <c r="Q115" s="19"/>
      <c r="R115" s="19"/>
      <c r="S115" s="15"/>
      <c r="T115" s="15">
        <f t="shared" si="5"/>
        <v>0</v>
      </c>
    </row>
    <row r="116" spans="1:20" ht="12" customHeight="1">
      <c r="A116" s="1" t="s">
        <v>307</v>
      </c>
      <c r="B116" s="9" t="s">
        <v>128</v>
      </c>
      <c r="C116" s="12" t="s">
        <v>360</v>
      </c>
      <c r="D116" s="165" t="s">
        <v>361</v>
      </c>
      <c r="E116" s="20" t="s">
        <v>170</v>
      </c>
      <c r="F116" s="13"/>
      <c r="G116" s="13">
        <v>115953</v>
      </c>
      <c r="H116" s="13">
        <v>46991</v>
      </c>
      <c r="I116" s="18">
        <v>120679</v>
      </c>
      <c r="J116" s="15">
        <f t="shared" si="3"/>
        <v>283623</v>
      </c>
      <c r="K116" s="19"/>
      <c r="L116" s="13">
        <v>527685</v>
      </c>
      <c r="M116" s="13">
        <v>220195</v>
      </c>
      <c r="N116" s="18">
        <v>568659</v>
      </c>
      <c r="O116" s="15">
        <f t="shared" si="4"/>
        <v>1316539</v>
      </c>
      <c r="P116" s="19"/>
      <c r="Q116" s="19"/>
      <c r="R116" s="19"/>
      <c r="S116" s="15"/>
      <c r="T116" s="15">
        <f t="shared" si="5"/>
        <v>0</v>
      </c>
    </row>
    <row r="117" spans="1:20" ht="12" customHeight="1">
      <c r="A117" s="1" t="s">
        <v>307</v>
      </c>
      <c r="B117" s="9" t="s">
        <v>128</v>
      </c>
      <c r="C117" s="12" t="s">
        <v>362</v>
      </c>
      <c r="D117" s="165" t="s">
        <v>363</v>
      </c>
      <c r="E117" s="20" t="s">
        <v>170</v>
      </c>
      <c r="F117" s="13"/>
      <c r="G117" s="13">
        <v>38929</v>
      </c>
      <c r="H117" s="13">
        <v>13030</v>
      </c>
      <c r="I117" s="18">
        <v>38868</v>
      </c>
      <c r="J117" s="15">
        <f t="shared" si="3"/>
        <v>90827</v>
      </c>
      <c r="K117" s="19"/>
      <c r="L117" s="13">
        <v>227698</v>
      </c>
      <c r="M117" s="13">
        <v>91319</v>
      </c>
      <c r="N117" s="18">
        <v>246929</v>
      </c>
      <c r="O117" s="15">
        <f t="shared" si="4"/>
        <v>565946</v>
      </c>
      <c r="P117" s="19"/>
      <c r="Q117" s="19"/>
      <c r="R117" s="19"/>
      <c r="S117" s="15"/>
      <c r="T117" s="15">
        <f t="shared" si="5"/>
        <v>0</v>
      </c>
    </row>
    <row r="118" spans="1:20" ht="12" customHeight="1">
      <c r="A118" s="1" t="s">
        <v>307</v>
      </c>
      <c r="B118" s="9" t="s">
        <v>128</v>
      </c>
      <c r="C118" s="12" t="s">
        <v>364</v>
      </c>
      <c r="D118" s="165" t="s">
        <v>365</v>
      </c>
      <c r="E118" s="20" t="s">
        <v>170</v>
      </c>
      <c r="F118" s="13"/>
      <c r="G118" s="13">
        <v>86589</v>
      </c>
      <c r="H118" s="13">
        <v>32477</v>
      </c>
      <c r="I118" s="18">
        <v>86890</v>
      </c>
      <c r="J118" s="15">
        <f t="shared" si="3"/>
        <v>205956</v>
      </c>
      <c r="K118" s="19"/>
      <c r="L118" s="13">
        <v>807433</v>
      </c>
      <c r="M118" s="13">
        <v>339569</v>
      </c>
      <c r="N118" s="18">
        <v>812595</v>
      </c>
      <c r="O118" s="15">
        <f t="shared" si="4"/>
        <v>1959597</v>
      </c>
      <c r="P118" s="19"/>
      <c r="Q118" s="19"/>
      <c r="R118" s="19"/>
      <c r="S118" s="15"/>
      <c r="T118" s="15">
        <f t="shared" si="5"/>
        <v>0</v>
      </c>
    </row>
    <row r="119" spans="1:20" ht="12" customHeight="1">
      <c r="A119" s="1" t="s">
        <v>307</v>
      </c>
      <c r="B119" s="9" t="s">
        <v>128</v>
      </c>
      <c r="C119" s="12" t="s">
        <v>366</v>
      </c>
      <c r="D119" s="165" t="s">
        <v>367</v>
      </c>
      <c r="E119" s="20" t="s">
        <v>170</v>
      </c>
      <c r="F119" s="13"/>
      <c r="G119" s="13">
        <v>40606</v>
      </c>
      <c r="H119" s="13">
        <v>15974</v>
      </c>
      <c r="I119" s="18">
        <v>41818</v>
      </c>
      <c r="J119" s="15">
        <f t="shared" si="3"/>
        <v>98398</v>
      </c>
      <c r="K119" s="19"/>
      <c r="L119" s="13">
        <v>202918</v>
      </c>
      <c r="M119" s="13">
        <v>83361</v>
      </c>
      <c r="N119" s="18">
        <v>205408</v>
      </c>
      <c r="O119" s="15">
        <f t="shared" si="4"/>
        <v>491687</v>
      </c>
      <c r="P119" s="19"/>
      <c r="Q119" s="19"/>
      <c r="R119" s="19"/>
      <c r="S119" s="15"/>
      <c r="T119" s="15">
        <f t="shared" si="5"/>
        <v>0</v>
      </c>
    </row>
    <row r="120" spans="1:20" ht="12" customHeight="1">
      <c r="A120" s="1" t="s">
        <v>307</v>
      </c>
      <c r="B120" s="9" t="s">
        <v>128</v>
      </c>
      <c r="C120" s="12" t="s">
        <v>368</v>
      </c>
      <c r="D120" s="165" t="s">
        <v>369</v>
      </c>
      <c r="E120" s="20" t="s">
        <v>170</v>
      </c>
      <c r="F120" s="13"/>
      <c r="G120" s="13">
        <v>103595</v>
      </c>
      <c r="H120" s="13">
        <v>47374</v>
      </c>
      <c r="I120" s="18">
        <v>101603</v>
      </c>
      <c r="J120" s="15">
        <f t="shared" si="3"/>
        <v>252572</v>
      </c>
      <c r="K120" s="19"/>
      <c r="L120" s="13">
        <v>460522</v>
      </c>
      <c r="M120" s="13">
        <v>209892</v>
      </c>
      <c r="N120" s="18">
        <v>566030</v>
      </c>
      <c r="O120" s="15">
        <f t="shared" si="4"/>
        <v>1236444</v>
      </c>
      <c r="P120" s="19"/>
      <c r="Q120" s="19"/>
      <c r="R120" s="19"/>
      <c r="S120" s="15"/>
      <c r="T120" s="15">
        <f t="shared" si="5"/>
        <v>0</v>
      </c>
    </row>
    <row r="121" spans="1:20" ht="12" customHeight="1">
      <c r="A121" s="1" t="s">
        <v>307</v>
      </c>
      <c r="B121" s="9" t="s">
        <v>128</v>
      </c>
      <c r="C121" s="12" t="s">
        <v>370</v>
      </c>
      <c r="D121" s="165" t="s">
        <v>371</v>
      </c>
      <c r="E121" s="20" t="s">
        <v>170</v>
      </c>
      <c r="F121" s="13"/>
      <c r="G121" s="13">
        <v>50283</v>
      </c>
      <c r="H121" s="13">
        <v>25280</v>
      </c>
      <c r="I121" s="18">
        <v>50626</v>
      </c>
      <c r="J121" s="15">
        <f t="shared" si="3"/>
        <v>126189</v>
      </c>
      <c r="K121" s="19"/>
      <c r="L121" s="13">
        <v>1235649</v>
      </c>
      <c r="M121" s="13">
        <v>872791</v>
      </c>
      <c r="N121" s="18">
        <v>1223232</v>
      </c>
      <c r="O121" s="15">
        <f t="shared" si="4"/>
        <v>3331672</v>
      </c>
      <c r="P121" s="19"/>
      <c r="Q121" s="19"/>
      <c r="R121" s="19"/>
      <c r="S121" s="15"/>
      <c r="T121" s="15">
        <f t="shared" si="5"/>
        <v>0</v>
      </c>
    </row>
    <row r="122" spans="1:20" ht="12" customHeight="1">
      <c r="A122" s="1" t="s">
        <v>307</v>
      </c>
      <c r="B122" s="9" t="s">
        <v>128</v>
      </c>
      <c r="C122" s="12" t="s">
        <v>372</v>
      </c>
      <c r="D122" s="165" t="s">
        <v>373</v>
      </c>
      <c r="E122" s="20" t="s">
        <v>170</v>
      </c>
      <c r="F122" s="13"/>
      <c r="G122" s="13">
        <v>13821</v>
      </c>
      <c r="H122" s="13">
        <v>4749</v>
      </c>
      <c r="I122" s="18">
        <v>12657</v>
      </c>
      <c r="J122" s="15">
        <f t="shared" si="3"/>
        <v>31227</v>
      </c>
      <c r="K122" s="19"/>
      <c r="L122" s="13">
        <v>640896</v>
      </c>
      <c r="M122" s="13">
        <v>315972</v>
      </c>
      <c r="N122" s="18">
        <v>634332</v>
      </c>
      <c r="O122" s="15">
        <f t="shared" si="4"/>
        <v>1591200</v>
      </c>
      <c r="P122" s="19"/>
      <c r="Q122" s="19"/>
      <c r="R122" s="19"/>
      <c r="S122" s="15"/>
      <c r="T122" s="15">
        <f t="shared" si="5"/>
        <v>0</v>
      </c>
    </row>
    <row r="123" spans="1:20" ht="12" customHeight="1">
      <c r="A123" s="1" t="s">
        <v>307</v>
      </c>
      <c r="B123" s="9" t="s">
        <v>128</v>
      </c>
      <c r="C123" s="12" t="s">
        <v>374</v>
      </c>
      <c r="D123" s="165" t="s">
        <v>375</v>
      </c>
      <c r="E123" s="20" t="s">
        <v>170</v>
      </c>
      <c r="F123" s="13"/>
      <c r="G123" s="13">
        <v>27845</v>
      </c>
      <c r="H123" s="13">
        <v>9198</v>
      </c>
      <c r="I123" s="18">
        <v>28107</v>
      </c>
      <c r="J123" s="15">
        <f t="shared" si="3"/>
        <v>65150</v>
      </c>
      <c r="K123" s="19"/>
      <c r="L123" s="13">
        <v>152710</v>
      </c>
      <c r="M123" s="13">
        <v>75175</v>
      </c>
      <c r="N123" s="18">
        <v>159611</v>
      </c>
      <c r="O123" s="15">
        <f t="shared" si="4"/>
        <v>387496</v>
      </c>
      <c r="P123" s="19"/>
      <c r="Q123" s="19"/>
      <c r="R123" s="19"/>
      <c r="S123" s="15"/>
      <c r="T123" s="15">
        <f t="shared" si="5"/>
        <v>0</v>
      </c>
    </row>
    <row r="124" spans="1:20" ht="12" customHeight="1">
      <c r="A124" s="1" t="s">
        <v>307</v>
      </c>
      <c r="B124" s="9" t="s">
        <v>128</v>
      </c>
      <c r="C124" s="12" t="s">
        <v>376</v>
      </c>
      <c r="D124" s="165" t="s">
        <v>377</v>
      </c>
      <c r="E124" s="20" t="s">
        <v>170</v>
      </c>
      <c r="F124" s="13"/>
      <c r="G124" s="13">
        <v>144503</v>
      </c>
      <c r="H124" s="13">
        <v>57971</v>
      </c>
      <c r="I124" s="18">
        <v>147166</v>
      </c>
      <c r="J124" s="15">
        <f t="shared" si="3"/>
        <v>349640</v>
      </c>
      <c r="K124" s="19"/>
      <c r="L124" s="13">
        <v>393361</v>
      </c>
      <c r="M124" s="13">
        <v>192434</v>
      </c>
      <c r="N124" s="18">
        <v>469559</v>
      </c>
      <c r="O124" s="15">
        <f t="shared" si="4"/>
        <v>1055354</v>
      </c>
      <c r="P124" s="19"/>
      <c r="Q124" s="19"/>
      <c r="R124" s="19"/>
      <c r="S124" s="15"/>
      <c r="T124" s="15">
        <f t="shared" si="5"/>
        <v>0</v>
      </c>
    </row>
    <row r="125" spans="1:20" ht="12" customHeight="1">
      <c r="A125" s="1" t="s">
        <v>307</v>
      </c>
      <c r="B125" s="9" t="s">
        <v>128</v>
      </c>
      <c r="C125" s="12" t="s">
        <v>378</v>
      </c>
      <c r="D125" s="165" t="s">
        <v>379</v>
      </c>
      <c r="E125" s="20" t="s">
        <v>170</v>
      </c>
      <c r="F125" s="13"/>
      <c r="G125" s="13">
        <v>78808</v>
      </c>
      <c r="H125" s="13">
        <v>28993</v>
      </c>
      <c r="I125" s="18">
        <v>81328</v>
      </c>
      <c r="J125" s="15">
        <f t="shared" si="3"/>
        <v>189129</v>
      </c>
      <c r="K125" s="19"/>
      <c r="L125" s="13">
        <v>107479</v>
      </c>
      <c r="M125" s="13">
        <v>31246</v>
      </c>
      <c r="N125" s="18">
        <v>181383</v>
      </c>
      <c r="O125" s="15">
        <f t="shared" si="4"/>
        <v>320108</v>
      </c>
      <c r="P125" s="19"/>
      <c r="Q125" s="19"/>
      <c r="R125" s="19"/>
      <c r="S125" s="15"/>
      <c r="T125" s="15">
        <f t="shared" si="5"/>
        <v>0</v>
      </c>
    </row>
    <row r="126" spans="1:20" ht="12" customHeight="1">
      <c r="A126" s="1" t="s">
        <v>307</v>
      </c>
      <c r="B126" s="9" t="s">
        <v>128</v>
      </c>
      <c r="C126" s="12" t="s">
        <v>380</v>
      </c>
      <c r="D126" s="165" t="s">
        <v>381</v>
      </c>
      <c r="E126" s="20" t="s">
        <v>170</v>
      </c>
      <c r="F126" s="13"/>
      <c r="G126" s="13">
        <v>159409</v>
      </c>
      <c r="H126" s="13">
        <v>81614</v>
      </c>
      <c r="I126" s="18">
        <v>171184</v>
      </c>
      <c r="J126" s="15">
        <f t="shared" si="3"/>
        <v>412207</v>
      </c>
      <c r="K126" s="19"/>
      <c r="L126" s="13">
        <v>490763</v>
      </c>
      <c r="M126" s="13">
        <v>228776</v>
      </c>
      <c r="N126" s="18">
        <v>540345</v>
      </c>
      <c r="O126" s="15">
        <f t="shared" si="4"/>
        <v>1259884</v>
      </c>
      <c r="P126" s="19"/>
      <c r="Q126" s="19"/>
      <c r="R126" s="19"/>
      <c r="S126" s="15"/>
      <c r="T126" s="15">
        <f t="shared" si="5"/>
        <v>0</v>
      </c>
    </row>
    <row r="127" spans="1:20" ht="12.75">
      <c r="A127" s="1" t="s">
        <v>382</v>
      </c>
      <c r="B127" s="9" t="s">
        <v>167</v>
      </c>
      <c r="C127" s="12" t="s">
        <v>383</v>
      </c>
      <c r="D127" s="165" t="s">
        <v>384</v>
      </c>
      <c r="E127" s="14" t="s">
        <v>131</v>
      </c>
      <c r="F127" s="13">
        <f>176589+146970</f>
        <v>323559</v>
      </c>
      <c r="G127" s="13">
        <f>160447+145827</f>
        <v>306274</v>
      </c>
      <c r="H127" s="13">
        <v>89326</v>
      </c>
      <c r="I127" s="18">
        <v>345988</v>
      </c>
      <c r="J127" s="15">
        <f t="shared" si="3"/>
        <v>1065147</v>
      </c>
      <c r="K127" s="17"/>
      <c r="L127" s="1"/>
      <c r="M127" s="1"/>
      <c r="N127" s="16"/>
      <c r="O127" s="15">
        <f t="shared" si="4"/>
        <v>0</v>
      </c>
      <c r="P127" s="13">
        <f>22866+43594</f>
        <v>66460</v>
      </c>
      <c r="Q127" s="13">
        <f>20745+43780</f>
        <v>64525</v>
      </c>
      <c r="R127" s="13">
        <f>14545+20120</f>
        <v>34665</v>
      </c>
      <c r="S127" s="18">
        <v>70517</v>
      </c>
      <c r="T127" s="15">
        <f t="shared" si="5"/>
        <v>236167</v>
      </c>
    </row>
    <row r="128" spans="1:20" ht="12.75">
      <c r="A128" s="1" t="s">
        <v>382</v>
      </c>
      <c r="B128" s="9" t="s">
        <v>167</v>
      </c>
      <c r="C128" s="12" t="s">
        <v>385</v>
      </c>
      <c r="D128" s="165" t="s">
        <v>386</v>
      </c>
      <c r="E128" s="14" t="s">
        <v>136</v>
      </c>
      <c r="F128" s="13">
        <f>61163+67468</f>
        <v>128631</v>
      </c>
      <c r="G128" s="13">
        <f>58730+69918</f>
        <v>128648</v>
      </c>
      <c r="H128" s="13">
        <v>49925</v>
      </c>
      <c r="I128" s="18">
        <v>149320</v>
      </c>
      <c r="J128" s="15">
        <f t="shared" si="3"/>
        <v>456524</v>
      </c>
      <c r="K128" s="17"/>
      <c r="L128" s="1"/>
      <c r="M128" s="1"/>
      <c r="N128" s="16"/>
      <c r="O128" s="15">
        <f t="shared" si="4"/>
        <v>0</v>
      </c>
      <c r="P128" s="13">
        <f>18096+26269</f>
        <v>44365</v>
      </c>
      <c r="Q128" s="13">
        <f>15417+27046</f>
        <v>42463</v>
      </c>
      <c r="R128" s="13">
        <f>7710+20888</f>
        <v>28598</v>
      </c>
      <c r="S128" s="18">
        <v>45462</v>
      </c>
      <c r="T128" s="15">
        <f t="shared" si="5"/>
        <v>160888</v>
      </c>
    </row>
    <row r="129" spans="1:84" ht="12.75">
      <c r="A129" s="1" t="s">
        <v>382</v>
      </c>
      <c r="B129" s="9" t="s">
        <v>167</v>
      </c>
      <c r="C129" s="12" t="s">
        <v>387</v>
      </c>
      <c r="D129" s="165" t="s">
        <v>388</v>
      </c>
      <c r="E129" s="14" t="s">
        <v>136</v>
      </c>
      <c r="F129" s="13">
        <f>104276+85612</f>
        <v>189888</v>
      </c>
      <c r="G129" s="13">
        <f>94456+87065</f>
        <v>181521</v>
      </c>
      <c r="H129" s="13">
        <f>44867+51806</f>
        <v>96673</v>
      </c>
      <c r="I129" s="18">
        <v>197230</v>
      </c>
      <c r="J129" s="15">
        <f t="shared" si="3"/>
        <v>665312</v>
      </c>
      <c r="K129" s="17"/>
      <c r="L129" s="1"/>
      <c r="M129" s="1"/>
      <c r="N129" s="16"/>
      <c r="O129" s="15">
        <f t="shared" si="4"/>
        <v>0</v>
      </c>
      <c r="P129" s="13">
        <f>33135+25889</f>
        <v>59024</v>
      </c>
      <c r="Q129" s="13">
        <f>31554+25296</f>
        <v>56850</v>
      </c>
      <c r="R129" s="13">
        <f>28711+15564</f>
        <v>44275</v>
      </c>
      <c r="S129" s="18">
        <v>62872</v>
      </c>
      <c r="T129" s="15">
        <f t="shared" si="5"/>
        <v>223021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2"/>
    </row>
    <row r="130" spans="1:84" ht="12.75">
      <c r="A130" s="1" t="s">
        <v>382</v>
      </c>
      <c r="B130" s="9" t="s">
        <v>167</v>
      </c>
      <c r="C130" s="12" t="s">
        <v>389</v>
      </c>
      <c r="D130" s="165" t="s">
        <v>390</v>
      </c>
      <c r="E130" s="14" t="s">
        <v>139</v>
      </c>
      <c r="F130" s="13">
        <f>116414+56006</f>
        <v>172420</v>
      </c>
      <c r="G130" s="13">
        <f>103229+57111</f>
        <v>160340</v>
      </c>
      <c r="H130" s="13">
        <f>25516+24225</f>
        <v>49741</v>
      </c>
      <c r="I130" s="18">
        <v>184528</v>
      </c>
      <c r="J130" s="15">
        <f t="shared" si="3"/>
        <v>567029</v>
      </c>
      <c r="K130" s="17"/>
      <c r="L130" s="1"/>
      <c r="M130" s="1"/>
      <c r="N130" s="16"/>
      <c r="O130" s="15">
        <f t="shared" si="4"/>
        <v>0</v>
      </c>
      <c r="P130" s="13">
        <v>10823</v>
      </c>
      <c r="Q130" s="13">
        <f>10413+30+7485</f>
        <v>17928</v>
      </c>
      <c r="R130" s="13">
        <f>95+9700</f>
        <v>9795</v>
      </c>
      <c r="S130" s="18">
        <v>11774</v>
      </c>
      <c r="T130" s="15">
        <f t="shared" si="5"/>
        <v>50320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2"/>
    </row>
    <row r="131" spans="1:84" ht="12.75">
      <c r="A131" s="1" t="s">
        <v>382</v>
      </c>
      <c r="B131" s="9" t="s">
        <v>167</v>
      </c>
      <c r="C131" s="12" t="s">
        <v>391</v>
      </c>
      <c r="D131" s="165" t="s">
        <v>392</v>
      </c>
      <c r="E131" s="14" t="s">
        <v>148</v>
      </c>
      <c r="F131" s="13">
        <f>33760+25398</f>
        <v>59158</v>
      </c>
      <c r="G131" s="13">
        <f>29697+26098</f>
        <v>55795</v>
      </c>
      <c r="H131" s="13">
        <f>11365+7911</f>
        <v>19276</v>
      </c>
      <c r="I131" s="18">
        <v>61402</v>
      </c>
      <c r="J131" s="15">
        <f t="shared" si="3"/>
        <v>195631</v>
      </c>
      <c r="K131" s="17"/>
      <c r="L131" s="1"/>
      <c r="M131" s="1"/>
      <c r="N131" s="16"/>
      <c r="O131" s="15">
        <f t="shared" si="4"/>
        <v>0</v>
      </c>
      <c r="P131" s="13">
        <v>7675</v>
      </c>
      <c r="Q131" s="13">
        <v>7485</v>
      </c>
      <c r="R131" s="13">
        <v>7670</v>
      </c>
      <c r="S131" s="18">
        <v>8448</v>
      </c>
      <c r="T131" s="15">
        <f t="shared" si="5"/>
        <v>31278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2"/>
    </row>
    <row r="132" spans="1:20" ht="12.75">
      <c r="A132" s="1" t="s">
        <v>382</v>
      </c>
      <c r="B132" s="9" t="s">
        <v>167</v>
      </c>
      <c r="C132" s="12" t="s">
        <v>393</v>
      </c>
      <c r="D132" s="165" t="s">
        <v>394</v>
      </c>
      <c r="E132" s="14" t="s">
        <v>148</v>
      </c>
      <c r="F132" s="13">
        <f>37800+69256</f>
        <v>107056</v>
      </c>
      <c r="G132" s="13">
        <f>62420+37830</f>
        <v>100250</v>
      </c>
      <c r="H132" s="13">
        <f>21249+18121</f>
        <v>39370</v>
      </c>
      <c r="I132" s="18">
        <v>114689</v>
      </c>
      <c r="J132" s="15">
        <f t="shared" si="3"/>
        <v>361365</v>
      </c>
      <c r="K132" s="17"/>
      <c r="L132" s="1"/>
      <c r="M132" s="1"/>
      <c r="N132" s="16"/>
      <c r="O132" s="15">
        <f t="shared" si="4"/>
        <v>0</v>
      </c>
      <c r="P132" s="13">
        <v>9906</v>
      </c>
      <c r="Q132" s="13">
        <v>9992</v>
      </c>
      <c r="R132" s="13">
        <v>10450</v>
      </c>
      <c r="S132" s="18">
        <v>10565</v>
      </c>
      <c r="T132" s="15">
        <f t="shared" si="5"/>
        <v>40913</v>
      </c>
    </row>
    <row r="133" spans="1:84" ht="12.75">
      <c r="A133" s="1" t="s">
        <v>382</v>
      </c>
      <c r="B133" s="9" t="s">
        <v>167</v>
      </c>
      <c r="C133" s="12" t="s">
        <v>395</v>
      </c>
      <c r="D133" s="165" t="s">
        <v>396</v>
      </c>
      <c r="E133" s="14" t="s">
        <v>148</v>
      </c>
      <c r="F133" s="13">
        <f>51825+26753</f>
        <v>78578</v>
      </c>
      <c r="G133" s="13">
        <f>46156+26844</f>
        <v>73000</v>
      </c>
      <c r="H133" s="13">
        <f>11782+12811</f>
        <v>24593</v>
      </c>
      <c r="I133" s="18">
        <v>87001</v>
      </c>
      <c r="J133" s="15">
        <f t="shared" si="3"/>
        <v>263172</v>
      </c>
      <c r="K133" s="17"/>
      <c r="L133" s="1"/>
      <c r="M133" s="1"/>
      <c r="N133" s="16"/>
      <c r="O133" s="15">
        <f t="shared" si="4"/>
        <v>0</v>
      </c>
      <c r="P133" s="13">
        <v>16107</v>
      </c>
      <c r="Q133" s="13">
        <v>16518</v>
      </c>
      <c r="R133" s="13">
        <v>17091</v>
      </c>
      <c r="S133" s="18">
        <v>15900</v>
      </c>
      <c r="T133" s="15">
        <f t="shared" si="5"/>
        <v>65616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2"/>
    </row>
    <row r="134" spans="1:84" ht="12.75">
      <c r="A134" s="1" t="s">
        <v>382</v>
      </c>
      <c r="B134" s="9" t="s">
        <v>167</v>
      </c>
      <c r="C134" s="12" t="s">
        <v>397</v>
      </c>
      <c r="D134" s="165" t="s">
        <v>398</v>
      </c>
      <c r="E134" s="14" t="s">
        <v>157</v>
      </c>
      <c r="F134" s="13">
        <f>29831+8947</f>
        <v>38778</v>
      </c>
      <c r="G134" s="13">
        <f>12124+27087</f>
        <v>39211</v>
      </c>
      <c r="H134" s="13">
        <f>4805+9509</f>
        <v>14314</v>
      </c>
      <c r="I134" s="18">
        <v>41548</v>
      </c>
      <c r="J134" s="15">
        <f aca="true" t="shared" si="6" ref="J134:J197">SUM(F134:I134)</f>
        <v>133851</v>
      </c>
      <c r="K134" s="17"/>
      <c r="L134" s="1"/>
      <c r="M134" s="1"/>
      <c r="N134" s="16"/>
      <c r="O134" s="15">
        <f aca="true" t="shared" si="7" ref="O134:O197">SUM(K134:N134)</f>
        <v>0</v>
      </c>
      <c r="P134" s="13">
        <v>2304</v>
      </c>
      <c r="Q134" s="13">
        <v>2329</v>
      </c>
      <c r="R134" s="13">
        <v>2524</v>
      </c>
      <c r="S134" s="18">
        <v>2475</v>
      </c>
      <c r="T134" s="15">
        <f aca="true" t="shared" si="8" ref="T134:T197">SUM(P134:S134)</f>
        <v>9632</v>
      </c>
      <c r="U134" s="1"/>
      <c r="V134" s="1"/>
      <c r="W134" s="1"/>
      <c r="X134" s="1"/>
      <c r="Y134" s="1"/>
      <c r="Z134" s="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2"/>
    </row>
    <row r="135" spans="1:84" ht="12.75">
      <c r="A135" s="1" t="s">
        <v>382</v>
      </c>
      <c r="B135" s="9" t="s">
        <v>167</v>
      </c>
      <c r="C135" s="12" t="s">
        <v>399</v>
      </c>
      <c r="D135" s="165" t="s">
        <v>400</v>
      </c>
      <c r="E135" s="14" t="s">
        <v>157</v>
      </c>
      <c r="F135" s="13">
        <f>44182+14629</f>
        <v>58811</v>
      </c>
      <c r="G135" s="13">
        <f>38044+17494</f>
        <v>55538</v>
      </c>
      <c r="H135" s="13">
        <f>7659+15653</f>
        <v>23312</v>
      </c>
      <c r="I135" s="18">
        <v>63490</v>
      </c>
      <c r="J135" s="15">
        <f t="shared" si="6"/>
        <v>201151</v>
      </c>
      <c r="K135" s="17"/>
      <c r="L135" s="1"/>
      <c r="M135" s="1"/>
      <c r="N135" s="16"/>
      <c r="O135" s="15">
        <f t="shared" si="7"/>
        <v>0</v>
      </c>
      <c r="P135" s="13">
        <v>4040</v>
      </c>
      <c r="Q135" s="13">
        <v>3627</v>
      </c>
      <c r="R135" s="13">
        <v>2968</v>
      </c>
      <c r="S135" s="18">
        <v>3592</v>
      </c>
      <c r="T135" s="15">
        <f t="shared" si="8"/>
        <v>14227</v>
      </c>
      <c r="U135" s="2"/>
      <c r="V135" s="1"/>
      <c r="W135" s="1"/>
      <c r="X135" s="1"/>
      <c r="Y135" s="1"/>
      <c r="Z135" s="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2"/>
    </row>
    <row r="136" spans="1:26" ht="12.75">
      <c r="A136" s="1" t="s">
        <v>382</v>
      </c>
      <c r="B136" s="9" t="s">
        <v>167</v>
      </c>
      <c r="C136" s="12" t="s">
        <v>401</v>
      </c>
      <c r="D136" s="165" t="s">
        <v>402</v>
      </c>
      <c r="E136" s="14" t="s">
        <v>157</v>
      </c>
      <c r="F136" s="13">
        <f>39215+18689</f>
        <v>57904</v>
      </c>
      <c r="G136" s="13">
        <f>35290+19174</f>
        <v>54464</v>
      </c>
      <c r="H136" s="13">
        <f>15415+8171</f>
        <v>23586</v>
      </c>
      <c r="I136" s="18">
        <v>59597</v>
      </c>
      <c r="J136" s="15">
        <f t="shared" si="6"/>
        <v>195551</v>
      </c>
      <c r="K136" s="17"/>
      <c r="L136" s="1"/>
      <c r="M136" s="1"/>
      <c r="N136" s="16"/>
      <c r="O136" s="15">
        <f t="shared" si="7"/>
        <v>0</v>
      </c>
      <c r="P136" s="13">
        <v>4158</v>
      </c>
      <c r="Q136" s="13">
        <v>4255</v>
      </c>
      <c r="R136" s="13">
        <v>5015</v>
      </c>
      <c r="S136" s="18">
        <v>4507</v>
      </c>
      <c r="T136" s="15">
        <f t="shared" si="8"/>
        <v>17935</v>
      </c>
      <c r="U136" s="2"/>
      <c r="V136" s="1"/>
      <c r="W136" s="1"/>
      <c r="X136" s="1"/>
      <c r="Y136" s="1"/>
      <c r="Z136" s="2"/>
    </row>
    <row r="137" spans="1:84" ht="12.75">
      <c r="A137" s="1" t="s">
        <v>382</v>
      </c>
      <c r="B137" s="9" t="s">
        <v>167</v>
      </c>
      <c r="C137" s="12" t="s">
        <v>403</v>
      </c>
      <c r="D137" s="165" t="s">
        <v>404</v>
      </c>
      <c r="E137" s="14" t="s">
        <v>157</v>
      </c>
      <c r="F137" s="13">
        <f>27708+8962</f>
        <v>36670</v>
      </c>
      <c r="G137" s="13">
        <f>26682+9874</f>
        <v>36556</v>
      </c>
      <c r="H137" s="13">
        <f>7372+4257</f>
        <v>11629</v>
      </c>
      <c r="I137" s="18">
        <v>37070</v>
      </c>
      <c r="J137" s="15">
        <f t="shared" si="6"/>
        <v>121925</v>
      </c>
      <c r="K137" s="17"/>
      <c r="L137" s="1"/>
      <c r="M137" s="1"/>
      <c r="N137" s="16"/>
      <c r="O137" s="15">
        <f t="shared" si="7"/>
        <v>0</v>
      </c>
      <c r="P137" s="13">
        <v>3788</v>
      </c>
      <c r="Q137" s="13">
        <v>3832</v>
      </c>
      <c r="R137" s="13">
        <v>3565</v>
      </c>
      <c r="S137" s="18">
        <v>4123</v>
      </c>
      <c r="T137" s="15">
        <f t="shared" si="8"/>
        <v>15308</v>
      </c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2"/>
    </row>
    <row r="138" spans="1:84" ht="12.75">
      <c r="A138" s="1" t="s">
        <v>382</v>
      </c>
      <c r="B138" s="9" t="s">
        <v>167</v>
      </c>
      <c r="C138" s="12" t="s">
        <v>405</v>
      </c>
      <c r="D138" s="165" t="s">
        <v>406</v>
      </c>
      <c r="E138" s="14" t="s">
        <v>157</v>
      </c>
      <c r="F138" s="13">
        <f>18783+9425</f>
        <v>28208</v>
      </c>
      <c r="G138" s="13">
        <f>17408+9103</f>
        <v>26511</v>
      </c>
      <c r="H138" s="13">
        <f>5583+5265</f>
        <v>10848</v>
      </c>
      <c r="I138" s="18">
        <v>29235</v>
      </c>
      <c r="J138" s="15">
        <f t="shared" si="6"/>
        <v>94802</v>
      </c>
      <c r="K138" s="17"/>
      <c r="L138" s="1"/>
      <c r="M138" s="1"/>
      <c r="N138" s="16"/>
      <c r="O138" s="15">
        <f t="shared" si="7"/>
        <v>0</v>
      </c>
      <c r="P138" s="13">
        <v>2765</v>
      </c>
      <c r="Q138" s="13">
        <v>3180</v>
      </c>
      <c r="R138" s="13">
        <v>4975</v>
      </c>
      <c r="S138" s="18">
        <v>3040</v>
      </c>
      <c r="T138" s="15">
        <f t="shared" si="8"/>
        <v>13960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2"/>
    </row>
    <row r="139" spans="1:84" ht="12.75">
      <c r="A139" s="1" t="s">
        <v>382</v>
      </c>
      <c r="B139" s="9" t="s">
        <v>167</v>
      </c>
      <c r="C139" s="12" t="s">
        <v>407</v>
      </c>
      <c r="D139" s="165" t="s">
        <v>408</v>
      </c>
      <c r="E139" s="14" t="s">
        <v>157</v>
      </c>
      <c r="F139" s="13">
        <f>78933+38142</f>
        <v>117075</v>
      </c>
      <c r="G139" s="13">
        <f>70591+37605</f>
        <v>108196</v>
      </c>
      <c r="H139" s="13">
        <f>21118+33037</f>
        <v>54155</v>
      </c>
      <c r="I139" s="18">
        <v>125009</v>
      </c>
      <c r="J139" s="15">
        <f t="shared" si="6"/>
        <v>404435</v>
      </c>
      <c r="K139" s="17"/>
      <c r="L139" s="1"/>
      <c r="M139" s="1"/>
      <c r="N139" s="16"/>
      <c r="O139" s="15">
        <f t="shared" si="7"/>
        <v>0</v>
      </c>
      <c r="P139" s="13">
        <v>5970</v>
      </c>
      <c r="Q139" s="13">
        <v>5765</v>
      </c>
      <c r="R139" s="13">
        <v>4674</v>
      </c>
      <c r="S139" s="18">
        <v>5808</v>
      </c>
      <c r="T139" s="15">
        <f t="shared" si="8"/>
        <v>22217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2"/>
    </row>
    <row r="140" spans="1:20" ht="12.75">
      <c r="A140" s="1" t="s">
        <v>382</v>
      </c>
      <c r="B140" s="9" t="s">
        <v>167</v>
      </c>
      <c r="C140" s="12" t="s">
        <v>409</v>
      </c>
      <c r="D140" s="165" t="s">
        <v>410</v>
      </c>
      <c r="E140" s="14" t="s">
        <v>157</v>
      </c>
      <c r="F140" s="13">
        <f>21816+13647</f>
        <v>35463</v>
      </c>
      <c r="G140" s="13">
        <f>18840+14460</f>
        <v>33300</v>
      </c>
      <c r="H140" s="13">
        <f>4549+7577</f>
        <v>12126</v>
      </c>
      <c r="I140" s="18">
        <v>37407</v>
      </c>
      <c r="J140" s="15">
        <f t="shared" si="6"/>
        <v>118296</v>
      </c>
      <c r="K140" s="17"/>
      <c r="L140" s="1"/>
      <c r="M140" s="1"/>
      <c r="N140" s="16"/>
      <c r="O140" s="15">
        <f t="shared" si="7"/>
        <v>0</v>
      </c>
      <c r="P140" s="13">
        <v>2983</v>
      </c>
      <c r="Q140" s="13">
        <v>2695</v>
      </c>
      <c r="R140" s="13">
        <v>3539</v>
      </c>
      <c r="S140" s="18">
        <v>2543</v>
      </c>
      <c r="T140" s="15">
        <f t="shared" si="8"/>
        <v>11760</v>
      </c>
    </row>
    <row r="141" spans="1:20" ht="12.75">
      <c r="A141" s="1" t="s">
        <v>382</v>
      </c>
      <c r="B141" s="9" t="s">
        <v>167</v>
      </c>
      <c r="C141" s="12" t="s">
        <v>411</v>
      </c>
      <c r="D141" s="165" t="s">
        <v>412</v>
      </c>
      <c r="E141" s="14" t="s">
        <v>166</v>
      </c>
      <c r="F141" s="13">
        <f>42453+13661</f>
        <v>56114</v>
      </c>
      <c r="G141" s="13">
        <f>38549+15466</f>
        <v>54015</v>
      </c>
      <c r="H141" s="13">
        <f>14714+7623</f>
        <v>22337</v>
      </c>
      <c r="I141" s="18">
        <v>59234</v>
      </c>
      <c r="J141" s="15">
        <f t="shared" si="6"/>
        <v>191700</v>
      </c>
      <c r="K141" s="17"/>
      <c r="L141" s="1"/>
      <c r="M141" s="1"/>
      <c r="N141" s="16"/>
      <c r="O141" s="15">
        <f t="shared" si="7"/>
        <v>0</v>
      </c>
      <c r="P141" s="13">
        <v>2178</v>
      </c>
      <c r="Q141" s="13">
        <v>2093</v>
      </c>
      <c r="R141" s="13">
        <v>3168</v>
      </c>
      <c r="S141" s="18">
        <v>1812</v>
      </c>
      <c r="T141" s="15">
        <f t="shared" si="8"/>
        <v>9251</v>
      </c>
    </row>
    <row r="142" spans="1:84" ht="12.75">
      <c r="A142" s="1" t="s">
        <v>382</v>
      </c>
      <c r="B142" s="9" t="s">
        <v>167</v>
      </c>
      <c r="C142" s="12" t="s">
        <v>413</v>
      </c>
      <c r="D142" s="165" t="s">
        <v>414</v>
      </c>
      <c r="E142" s="14" t="s">
        <v>166</v>
      </c>
      <c r="F142" s="13">
        <f>42188+6728</f>
        <v>48916</v>
      </c>
      <c r="G142" s="13">
        <f>39417+6777</f>
        <v>46194</v>
      </c>
      <c r="H142" s="13">
        <f>2915+20087</f>
        <v>23002</v>
      </c>
      <c r="I142" s="18">
        <v>51876</v>
      </c>
      <c r="J142" s="15">
        <f t="shared" si="6"/>
        <v>169988</v>
      </c>
      <c r="K142" s="17"/>
      <c r="L142" s="1"/>
      <c r="M142" s="1"/>
      <c r="N142" s="16"/>
      <c r="O142" s="15">
        <f t="shared" si="7"/>
        <v>0</v>
      </c>
      <c r="P142" s="1"/>
      <c r="Q142" s="1"/>
      <c r="R142" s="1"/>
      <c r="S142" s="16"/>
      <c r="T142" s="15">
        <f t="shared" si="8"/>
        <v>0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2"/>
    </row>
    <row r="143" spans="1:84" ht="12.75">
      <c r="A143" s="1" t="s">
        <v>382</v>
      </c>
      <c r="B143" s="9" t="s">
        <v>167</v>
      </c>
      <c r="C143" s="12" t="s">
        <v>415</v>
      </c>
      <c r="D143" s="165" t="s">
        <v>416</v>
      </c>
      <c r="E143" s="14" t="s">
        <v>166</v>
      </c>
      <c r="F143" s="13">
        <f>33939+10810</f>
        <v>44749</v>
      </c>
      <c r="G143" s="13">
        <f>31292+11098</f>
        <v>42390</v>
      </c>
      <c r="H143" s="13">
        <f>2704+6549</f>
        <v>9253</v>
      </c>
      <c r="I143" s="18">
        <v>46056</v>
      </c>
      <c r="J143" s="15">
        <f t="shared" si="6"/>
        <v>142448</v>
      </c>
      <c r="K143" s="17"/>
      <c r="L143" s="1"/>
      <c r="M143" s="1"/>
      <c r="N143" s="16"/>
      <c r="O143" s="15">
        <f t="shared" si="7"/>
        <v>0</v>
      </c>
      <c r="P143" s="13">
        <v>184</v>
      </c>
      <c r="Q143" s="13">
        <v>110</v>
      </c>
      <c r="R143" s="13">
        <v>56</v>
      </c>
      <c r="S143" s="18">
        <v>135</v>
      </c>
      <c r="T143" s="15">
        <f t="shared" si="8"/>
        <v>485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2"/>
    </row>
    <row r="144" spans="1:84" ht="12.75">
      <c r="A144" s="1" t="s">
        <v>382</v>
      </c>
      <c r="B144" s="9" t="s">
        <v>167</v>
      </c>
      <c r="C144" s="12" t="s">
        <v>417</v>
      </c>
      <c r="D144" s="165" t="s">
        <v>418</v>
      </c>
      <c r="E144" s="14" t="s">
        <v>170</v>
      </c>
      <c r="F144" s="13">
        <v>30114</v>
      </c>
      <c r="G144" s="13">
        <v>27495</v>
      </c>
      <c r="H144" s="13">
        <v>10756</v>
      </c>
      <c r="I144" s="18">
        <v>32525</v>
      </c>
      <c r="J144" s="15">
        <f t="shared" si="6"/>
        <v>100890</v>
      </c>
      <c r="K144" s="17"/>
      <c r="L144" s="1"/>
      <c r="M144" s="1"/>
      <c r="N144" s="16"/>
      <c r="O144" s="15">
        <f t="shared" si="7"/>
        <v>0</v>
      </c>
      <c r="P144" s="1"/>
      <c r="Q144" s="1"/>
      <c r="R144" s="1"/>
      <c r="S144" s="16"/>
      <c r="T144" s="15">
        <f t="shared" si="8"/>
        <v>0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2"/>
    </row>
    <row r="145" spans="1:20" ht="12.75">
      <c r="A145" s="1" t="s">
        <v>382</v>
      </c>
      <c r="B145" s="9" t="s">
        <v>167</v>
      </c>
      <c r="C145" s="12" t="s">
        <v>419</v>
      </c>
      <c r="D145" s="165" t="s">
        <v>420</v>
      </c>
      <c r="E145" s="14" t="s">
        <v>170</v>
      </c>
      <c r="F145" s="13">
        <v>18851</v>
      </c>
      <c r="G145" s="13">
        <v>18371</v>
      </c>
      <c r="H145" s="13">
        <v>12125</v>
      </c>
      <c r="I145" s="18">
        <v>19741</v>
      </c>
      <c r="J145" s="15">
        <f t="shared" si="6"/>
        <v>69088</v>
      </c>
      <c r="K145" s="17"/>
      <c r="L145" s="2"/>
      <c r="M145" s="1"/>
      <c r="N145" s="21"/>
      <c r="O145" s="15">
        <f t="shared" si="7"/>
        <v>0</v>
      </c>
      <c r="P145" s="2"/>
      <c r="Q145" s="2"/>
      <c r="R145" s="2"/>
      <c r="S145" s="16"/>
      <c r="T145" s="15">
        <f t="shared" si="8"/>
        <v>0</v>
      </c>
    </row>
    <row r="146" spans="1:84" ht="12.75">
      <c r="A146" s="1" t="s">
        <v>382</v>
      </c>
      <c r="B146" s="9" t="s">
        <v>167</v>
      </c>
      <c r="C146" s="12" t="s">
        <v>421</v>
      </c>
      <c r="D146" s="165" t="s">
        <v>422</v>
      </c>
      <c r="E146" s="14" t="s">
        <v>170</v>
      </c>
      <c r="F146" s="13">
        <v>11455</v>
      </c>
      <c r="G146" s="13">
        <v>10704</v>
      </c>
      <c r="H146" s="13">
        <v>5215</v>
      </c>
      <c r="I146" s="18">
        <v>12354</v>
      </c>
      <c r="J146" s="15">
        <f t="shared" si="6"/>
        <v>39728</v>
      </c>
      <c r="K146" s="17"/>
      <c r="L146" s="1"/>
      <c r="M146" s="1"/>
      <c r="N146" s="16"/>
      <c r="O146" s="15">
        <f t="shared" si="7"/>
        <v>0</v>
      </c>
      <c r="P146" s="2"/>
      <c r="Q146" s="2"/>
      <c r="R146" s="2"/>
      <c r="S146" s="16"/>
      <c r="T146" s="15">
        <f t="shared" si="8"/>
        <v>0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2"/>
    </row>
    <row r="147" spans="1:84" ht="12.75">
      <c r="A147" s="1" t="s">
        <v>382</v>
      </c>
      <c r="B147" s="9" t="s">
        <v>167</v>
      </c>
      <c r="C147" s="12" t="s">
        <v>423</v>
      </c>
      <c r="D147" s="165" t="s">
        <v>424</v>
      </c>
      <c r="E147" s="14" t="s">
        <v>170</v>
      </c>
      <c r="F147" s="13">
        <v>19292</v>
      </c>
      <c r="G147" s="13">
        <v>17499</v>
      </c>
      <c r="H147" s="13">
        <v>7170</v>
      </c>
      <c r="I147" s="18">
        <v>19163</v>
      </c>
      <c r="J147" s="15">
        <f t="shared" si="6"/>
        <v>63124</v>
      </c>
      <c r="K147" s="17"/>
      <c r="L147" s="1"/>
      <c r="M147" s="1"/>
      <c r="N147" s="16"/>
      <c r="O147" s="15">
        <f t="shared" si="7"/>
        <v>0</v>
      </c>
      <c r="P147" s="2"/>
      <c r="Q147" s="1"/>
      <c r="R147" s="1"/>
      <c r="S147" s="16"/>
      <c r="T147" s="15">
        <f t="shared" si="8"/>
        <v>0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2"/>
    </row>
    <row r="148" spans="1:84" ht="12.75">
      <c r="A148" s="1" t="s">
        <v>382</v>
      </c>
      <c r="B148" s="9" t="s">
        <v>167</v>
      </c>
      <c r="C148" s="12" t="s">
        <v>425</v>
      </c>
      <c r="D148" s="165" t="s">
        <v>426</v>
      </c>
      <c r="E148" s="14" t="s">
        <v>170</v>
      </c>
      <c r="F148" s="13">
        <v>29610</v>
      </c>
      <c r="G148" s="13">
        <v>26524</v>
      </c>
      <c r="H148" s="13">
        <v>12436</v>
      </c>
      <c r="I148" s="18">
        <v>32248</v>
      </c>
      <c r="J148" s="15">
        <f t="shared" si="6"/>
        <v>100818</v>
      </c>
      <c r="K148" s="17"/>
      <c r="L148" s="1"/>
      <c r="M148" s="1"/>
      <c r="N148" s="16"/>
      <c r="O148" s="15">
        <f t="shared" si="7"/>
        <v>0</v>
      </c>
      <c r="P148" s="2"/>
      <c r="Q148" s="1"/>
      <c r="R148" s="1"/>
      <c r="S148" s="16"/>
      <c r="T148" s="15">
        <f t="shared" si="8"/>
        <v>0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2"/>
    </row>
    <row r="149" spans="1:20" ht="12.75">
      <c r="A149" s="1" t="s">
        <v>382</v>
      </c>
      <c r="B149" s="9" t="s">
        <v>167</v>
      </c>
      <c r="C149" s="12" t="s">
        <v>427</v>
      </c>
      <c r="D149" s="165" t="s">
        <v>428</v>
      </c>
      <c r="E149" s="14" t="s">
        <v>170</v>
      </c>
      <c r="F149" s="13">
        <v>26775</v>
      </c>
      <c r="G149" s="13">
        <v>26591</v>
      </c>
      <c r="H149" s="13">
        <v>13599</v>
      </c>
      <c r="I149" s="18">
        <v>28683</v>
      </c>
      <c r="J149" s="15">
        <f t="shared" si="6"/>
        <v>95648</v>
      </c>
      <c r="K149" s="17"/>
      <c r="L149" s="1"/>
      <c r="M149" s="1"/>
      <c r="N149" s="16"/>
      <c r="O149" s="15">
        <f t="shared" si="7"/>
        <v>0</v>
      </c>
      <c r="P149" s="1"/>
      <c r="Q149" s="1"/>
      <c r="R149" s="1"/>
      <c r="S149" s="18"/>
      <c r="T149" s="15">
        <f t="shared" si="8"/>
        <v>0</v>
      </c>
    </row>
    <row r="150" spans="1:20" ht="12.75">
      <c r="A150" s="1" t="s">
        <v>382</v>
      </c>
      <c r="B150" s="9" t="s">
        <v>167</v>
      </c>
      <c r="C150" s="12" t="s">
        <v>429</v>
      </c>
      <c r="D150" s="165" t="s">
        <v>430</v>
      </c>
      <c r="E150" s="14" t="s">
        <v>170</v>
      </c>
      <c r="F150" s="13">
        <v>152922</v>
      </c>
      <c r="G150" s="13">
        <v>143318</v>
      </c>
      <c r="H150" s="13">
        <v>70995</v>
      </c>
      <c r="I150" s="18">
        <v>158546</v>
      </c>
      <c r="J150" s="15">
        <f t="shared" si="6"/>
        <v>525781</v>
      </c>
      <c r="K150" s="17"/>
      <c r="L150" s="1"/>
      <c r="M150" s="1"/>
      <c r="N150" s="16"/>
      <c r="O150" s="15">
        <f t="shared" si="7"/>
        <v>0</v>
      </c>
      <c r="P150" s="1"/>
      <c r="Q150" s="1"/>
      <c r="R150" s="1"/>
      <c r="S150" s="18"/>
      <c r="T150" s="15">
        <f t="shared" si="8"/>
        <v>0</v>
      </c>
    </row>
    <row r="151" spans="1:20" ht="12.75">
      <c r="A151" s="1" t="s">
        <v>382</v>
      </c>
      <c r="B151" s="9" t="s">
        <v>167</v>
      </c>
      <c r="C151" s="12" t="s">
        <v>431</v>
      </c>
      <c r="D151" s="165" t="s">
        <v>432</v>
      </c>
      <c r="E151" s="14" t="s">
        <v>170</v>
      </c>
      <c r="F151" s="13">
        <v>9029</v>
      </c>
      <c r="G151" s="13">
        <v>8253</v>
      </c>
      <c r="H151" s="13">
        <v>3791</v>
      </c>
      <c r="I151" s="18">
        <v>8846</v>
      </c>
      <c r="J151" s="15">
        <f t="shared" si="6"/>
        <v>29919</v>
      </c>
      <c r="K151" s="17"/>
      <c r="L151" s="1"/>
      <c r="M151" s="1"/>
      <c r="N151" s="16"/>
      <c r="O151" s="15">
        <f t="shared" si="7"/>
        <v>0</v>
      </c>
      <c r="P151" s="1"/>
      <c r="Q151" s="1"/>
      <c r="R151" s="1"/>
      <c r="S151" s="18"/>
      <c r="T151" s="15">
        <f t="shared" si="8"/>
        <v>0</v>
      </c>
    </row>
    <row r="152" spans="1:37" ht="12.75">
      <c r="A152" s="1" t="s">
        <v>382</v>
      </c>
      <c r="B152" s="9" t="s">
        <v>167</v>
      </c>
      <c r="C152" s="12" t="s">
        <v>433</v>
      </c>
      <c r="D152" s="165" t="s">
        <v>434</v>
      </c>
      <c r="E152" s="14" t="s">
        <v>170</v>
      </c>
      <c r="F152" s="13">
        <v>28297</v>
      </c>
      <c r="G152" s="13">
        <v>26110</v>
      </c>
      <c r="H152" s="13">
        <v>12195</v>
      </c>
      <c r="I152" s="18">
        <v>31393</v>
      </c>
      <c r="J152" s="15">
        <f t="shared" si="6"/>
        <v>97995</v>
      </c>
      <c r="K152" s="17"/>
      <c r="L152" s="1"/>
      <c r="M152" s="1"/>
      <c r="N152" s="16"/>
      <c r="O152" s="15">
        <f t="shared" si="7"/>
        <v>0</v>
      </c>
      <c r="P152" s="1"/>
      <c r="Q152" s="1"/>
      <c r="R152" s="1"/>
      <c r="S152" s="18"/>
      <c r="T152" s="15">
        <f t="shared" si="8"/>
        <v>0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3"/>
      <c r="AI152" s="13"/>
      <c r="AJ152" s="13"/>
      <c r="AK152" s="13"/>
    </row>
    <row r="153" spans="1:37" ht="12.75">
      <c r="A153" s="1" t="s">
        <v>382</v>
      </c>
      <c r="B153" s="9" t="s">
        <v>167</v>
      </c>
      <c r="C153" s="12" t="s">
        <v>435</v>
      </c>
      <c r="D153" s="165" t="s">
        <v>436</v>
      </c>
      <c r="E153" s="14" t="s">
        <v>170</v>
      </c>
      <c r="F153" s="13">
        <v>30048</v>
      </c>
      <c r="G153" s="13">
        <v>27885</v>
      </c>
      <c r="H153" s="13">
        <v>12972</v>
      </c>
      <c r="I153" s="18">
        <v>29576</v>
      </c>
      <c r="J153" s="15">
        <f t="shared" si="6"/>
        <v>100481</v>
      </c>
      <c r="K153" s="17"/>
      <c r="L153" s="1"/>
      <c r="M153" s="1"/>
      <c r="N153" s="16"/>
      <c r="O153" s="15">
        <f t="shared" si="7"/>
        <v>0</v>
      </c>
      <c r="P153" s="1"/>
      <c r="Q153" s="1"/>
      <c r="R153" s="1"/>
      <c r="S153" s="18"/>
      <c r="T153" s="15">
        <f t="shared" si="8"/>
        <v>0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3"/>
      <c r="AI153" s="13"/>
      <c r="AJ153" s="13"/>
      <c r="AK153" s="13"/>
    </row>
    <row r="154" spans="1:37" ht="12.75">
      <c r="A154" s="1" t="s">
        <v>382</v>
      </c>
      <c r="B154" s="9" t="s">
        <v>167</v>
      </c>
      <c r="C154" s="12" t="s">
        <v>437</v>
      </c>
      <c r="D154" s="165" t="s">
        <v>438</v>
      </c>
      <c r="E154" s="14" t="s">
        <v>170</v>
      </c>
      <c r="F154" s="13">
        <v>24590</v>
      </c>
      <c r="G154" s="13">
        <v>23230</v>
      </c>
      <c r="H154" s="13">
        <v>6725</v>
      </c>
      <c r="I154" s="18">
        <v>26383</v>
      </c>
      <c r="J154" s="15">
        <f t="shared" si="6"/>
        <v>80928</v>
      </c>
      <c r="K154" s="17"/>
      <c r="L154" s="1"/>
      <c r="M154" s="1"/>
      <c r="N154" s="16"/>
      <c r="O154" s="15">
        <f t="shared" si="7"/>
        <v>0</v>
      </c>
      <c r="P154" s="1"/>
      <c r="Q154" s="1"/>
      <c r="R154" s="1"/>
      <c r="S154" s="18"/>
      <c r="T154" s="15">
        <f t="shared" si="8"/>
        <v>0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3"/>
      <c r="AI154" s="13"/>
      <c r="AJ154" s="13"/>
      <c r="AK154" s="13"/>
    </row>
    <row r="155" spans="1:76" ht="12.75">
      <c r="A155" s="1" t="s">
        <v>382</v>
      </c>
      <c r="B155" s="9" t="s">
        <v>167</v>
      </c>
      <c r="C155" s="12" t="s">
        <v>439</v>
      </c>
      <c r="D155" s="165" t="s">
        <v>440</v>
      </c>
      <c r="E155" s="14" t="s">
        <v>170</v>
      </c>
      <c r="F155" s="13">
        <v>38454</v>
      </c>
      <c r="G155" s="13">
        <v>34632</v>
      </c>
      <c r="H155" s="13">
        <v>15954</v>
      </c>
      <c r="I155" s="18">
        <v>35591</v>
      </c>
      <c r="J155" s="15">
        <f t="shared" si="6"/>
        <v>124631</v>
      </c>
      <c r="K155" s="17"/>
      <c r="L155" s="1"/>
      <c r="M155" s="1"/>
      <c r="N155" s="16"/>
      <c r="O155" s="15">
        <f t="shared" si="7"/>
        <v>0</v>
      </c>
      <c r="P155" s="1"/>
      <c r="Q155" s="1"/>
      <c r="R155" s="1"/>
      <c r="S155" s="18"/>
      <c r="T155" s="15">
        <f t="shared" si="8"/>
        <v>0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3"/>
      <c r="AI155" s="13"/>
      <c r="AJ155" s="13"/>
      <c r="AK155" s="13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2"/>
    </row>
    <row r="156" spans="1:75" ht="12.75">
      <c r="A156" s="1" t="s">
        <v>382</v>
      </c>
      <c r="B156" s="9" t="s">
        <v>167</v>
      </c>
      <c r="C156" s="12" t="s">
        <v>441</v>
      </c>
      <c r="D156" s="165" t="s">
        <v>442</v>
      </c>
      <c r="E156" s="14" t="s">
        <v>170</v>
      </c>
      <c r="F156" s="13">
        <v>23872</v>
      </c>
      <c r="G156" s="13">
        <v>21825</v>
      </c>
      <c r="H156" s="13">
        <v>7204</v>
      </c>
      <c r="I156" s="18">
        <v>24234</v>
      </c>
      <c r="J156" s="15">
        <f t="shared" si="6"/>
        <v>77135</v>
      </c>
      <c r="K156" s="17"/>
      <c r="L156" s="1"/>
      <c r="M156" s="1"/>
      <c r="N156" s="16"/>
      <c r="O156" s="15">
        <f t="shared" si="7"/>
        <v>0</v>
      </c>
      <c r="P156" s="1"/>
      <c r="Q156" s="1"/>
      <c r="R156" s="1"/>
      <c r="S156" s="18"/>
      <c r="T156" s="15">
        <f t="shared" si="8"/>
        <v>0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2"/>
    </row>
    <row r="157" spans="1:37" ht="12.75">
      <c r="A157" s="1" t="s">
        <v>382</v>
      </c>
      <c r="B157" s="9" t="s">
        <v>167</v>
      </c>
      <c r="C157" s="12" t="s">
        <v>443</v>
      </c>
      <c r="D157" s="165" t="s">
        <v>444</v>
      </c>
      <c r="E157" s="14" t="s">
        <v>170</v>
      </c>
      <c r="F157" s="13">
        <v>14620</v>
      </c>
      <c r="G157" s="13">
        <v>13200</v>
      </c>
      <c r="H157" s="13">
        <v>5176</v>
      </c>
      <c r="I157" s="18">
        <v>13545</v>
      </c>
      <c r="J157" s="15">
        <f t="shared" si="6"/>
        <v>46541</v>
      </c>
      <c r="K157" s="17"/>
      <c r="L157" s="1"/>
      <c r="M157" s="1"/>
      <c r="N157" s="16"/>
      <c r="O157" s="15">
        <f t="shared" si="7"/>
        <v>0</v>
      </c>
      <c r="P157" s="1"/>
      <c r="Q157" s="1"/>
      <c r="R157" s="1"/>
      <c r="S157" s="18"/>
      <c r="T157" s="15">
        <f t="shared" si="8"/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3"/>
      <c r="AI157" s="13"/>
      <c r="AJ157" s="13"/>
      <c r="AK157" s="13"/>
    </row>
    <row r="158" spans="1:37" ht="12.75">
      <c r="A158" s="1" t="s">
        <v>382</v>
      </c>
      <c r="B158" s="9" t="s">
        <v>167</v>
      </c>
      <c r="C158" s="12" t="s">
        <v>445</v>
      </c>
      <c r="D158" s="165" t="s">
        <v>446</v>
      </c>
      <c r="E158" s="14" t="s">
        <v>170</v>
      </c>
      <c r="F158" s="13">
        <v>8447</v>
      </c>
      <c r="G158" s="13">
        <v>8252</v>
      </c>
      <c r="H158" s="13">
        <v>4143</v>
      </c>
      <c r="I158" s="18">
        <v>8877</v>
      </c>
      <c r="J158" s="15">
        <f t="shared" si="6"/>
        <v>29719</v>
      </c>
      <c r="K158" s="17"/>
      <c r="L158" s="1"/>
      <c r="M158" s="1"/>
      <c r="N158" s="16"/>
      <c r="O158" s="15">
        <f t="shared" si="7"/>
        <v>0</v>
      </c>
      <c r="P158" s="1"/>
      <c r="Q158" s="1"/>
      <c r="R158" s="1"/>
      <c r="S158" s="18"/>
      <c r="T158" s="15">
        <f t="shared" si="8"/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3"/>
      <c r="AI158" s="13"/>
      <c r="AJ158" s="13"/>
      <c r="AK158" s="13"/>
    </row>
    <row r="159" spans="1:76" ht="12.75">
      <c r="A159" s="1" t="s">
        <v>382</v>
      </c>
      <c r="B159" s="9" t="s">
        <v>167</v>
      </c>
      <c r="C159" s="12" t="s">
        <v>447</v>
      </c>
      <c r="D159" s="165" t="s">
        <v>448</v>
      </c>
      <c r="E159" s="14" t="s">
        <v>215</v>
      </c>
      <c r="F159" s="1">
        <v>16713</v>
      </c>
      <c r="G159" s="1">
        <v>16752</v>
      </c>
      <c r="H159" s="1">
        <v>12642</v>
      </c>
      <c r="I159" s="16">
        <v>18525</v>
      </c>
      <c r="J159" s="15">
        <f t="shared" si="6"/>
        <v>64632</v>
      </c>
      <c r="K159" s="1"/>
      <c r="L159" s="1"/>
      <c r="M159" s="1"/>
      <c r="N159" s="16"/>
      <c r="O159" s="15">
        <f t="shared" si="7"/>
        <v>0</v>
      </c>
      <c r="P159" s="1"/>
      <c r="Q159" s="1"/>
      <c r="R159" s="1"/>
      <c r="S159" s="18"/>
      <c r="T159" s="15">
        <f t="shared" si="8"/>
        <v>0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2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2"/>
      <c r="BX159" s="2"/>
    </row>
    <row r="160" spans="1:37" ht="12.75">
      <c r="A160" s="1" t="s">
        <v>382</v>
      </c>
      <c r="B160" s="9" t="s">
        <v>167</v>
      </c>
      <c r="C160" s="12" t="s">
        <v>449</v>
      </c>
      <c r="D160" s="165" t="s">
        <v>450</v>
      </c>
      <c r="E160" s="14" t="s">
        <v>215</v>
      </c>
      <c r="F160" s="1">
        <v>6841</v>
      </c>
      <c r="G160" s="1">
        <v>8547</v>
      </c>
      <c r="H160" s="1">
        <v>5801</v>
      </c>
      <c r="I160" s="16">
        <v>8548</v>
      </c>
      <c r="J160" s="15">
        <f t="shared" si="6"/>
        <v>29737</v>
      </c>
      <c r="K160" s="1"/>
      <c r="L160" s="1"/>
      <c r="M160" s="1"/>
      <c r="N160" s="16"/>
      <c r="O160" s="15">
        <f t="shared" si="7"/>
        <v>0</v>
      </c>
      <c r="P160" s="1"/>
      <c r="Q160" s="1"/>
      <c r="R160" s="1"/>
      <c r="S160" s="15"/>
      <c r="T160" s="15">
        <f t="shared" si="8"/>
        <v>0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3"/>
      <c r="AI160" s="13"/>
      <c r="AJ160" s="13"/>
      <c r="AK160" s="13"/>
    </row>
    <row r="161" spans="1:37" ht="12.75">
      <c r="A161" s="1" t="s">
        <v>382</v>
      </c>
      <c r="B161" s="9" t="s">
        <v>167</v>
      </c>
      <c r="C161" s="12" t="s">
        <v>451</v>
      </c>
      <c r="D161" s="165" t="s">
        <v>452</v>
      </c>
      <c r="E161" s="14" t="s">
        <v>215</v>
      </c>
      <c r="F161" s="1">
        <v>14371</v>
      </c>
      <c r="G161" s="1">
        <v>13749</v>
      </c>
      <c r="H161" s="1">
        <v>7829</v>
      </c>
      <c r="I161" s="16">
        <v>15171</v>
      </c>
      <c r="J161" s="15">
        <f t="shared" si="6"/>
        <v>51120</v>
      </c>
      <c r="K161" s="1"/>
      <c r="L161" s="1"/>
      <c r="M161" s="1"/>
      <c r="N161" s="16"/>
      <c r="O161" s="15">
        <f t="shared" si="7"/>
        <v>0</v>
      </c>
      <c r="P161" s="1"/>
      <c r="Q161" s="1"/>
      <c r="R161" s="1"/>
      <c r="S161" s="15"/>
      <c r="T161" s="15">
        <f t="shared" si="8"/>
        <v>0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3"/>
      <c r="AI161" s="13"/>
      <c r="AJ161" s="13"/>
      <c r="AK161" s="13"/>
    </row>
    <row r="162" spans="1:37" ht="12.75">
      <c r="A162" s="1" t="s">
        <v>382</v>
      </c>
      <c r="B162" s="9" t="s">
        <v>167</v>
      </c>
      <c r="C162" s="12" t="s">
        <v>453</v>
      </c>
      <c r="D162" s="165" t="s">
        <v>454</v>
      </c>
      <c r="E162" s="14" t="s">
        <v>215</v>
      </c>
      <c r="F162" s="1">
        <v>23261</v>
      </c>
      <c r="G162" s="1">
        <v>23248</v>
      </c>
      <c r="H162" s="1">
        <v>17418</v>
      </c>
      <c r="I162" s="16">
        <v>23388</v>
      </c>
      <c r="J162" s="15">
        <f t="shared" si="6"/>
        <v>87315</v>
      </c>
      <c r="K162" s="1"/>
      <c r="L162" s="1"/>
      <c r="M162" s="1"/>
      <c r="N162" s="16"/>
      <c r="O162" s="15">
        <f t="shared" si="7"/>
        <v>0</v>
      </c>
      <c r="P162" s="1"/>
      <c r="Q162" s="1"/>
      <c r="R162" s="1"/>
      <c r="S162" s="15"/>
      <c r="T162" s="15">
        <f t="shared" si="8"/>
        <v>0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3"/>
      <c r="AI162" s="13"/>
      <c r="AJ162" s="13"/>
      <c r="AK162" s="13"/>
    </row>
    <row r="163" spans="1:77" ht="12.75">
      <c r="A163" s="1" t="s">
        <v>382</v>
      </c>
      <c r="B163" s="9" t="s">
        <v>167</v>
      </c>
      <c r="C163" s="12" t="s">
        <v>455</v>
      </c>
      <c r="D163" s="165" t="s">
        <v>456</v>
      </c>
      <c r="E163" s="14" t="s">
        <v>215</v>
      </c>
      <c r="F163" s="1">
        <v>25091</v>
      </c>
      <c r="G163" s="1">
        <v>24050</v>
      </c>
      <c r="H163" s="1">
        <v>17344</v>
      </c>
      <c r="I163" s="16">
        <v>26682</v>
      </c>
      <c r="J163" s="15">
        <f t="shared" si="6"/>
        <v>93167</v>
      </c>
      <c r="K163" s="1"/>
      <c r="L163" s="1"/>
      <c r="M163" s="1"/>
      <c r="N163" s="16"/>
      <c r="O163" s="15">
        <f t="shared" si="7"/>
        <v>0</v>
      </c>
      <c r="P163" s="1"/>
      <c r="Q163" s="1"/>
      <c r="R163" s="1"/>
      <c r="S163" s="15"/>
      <c r="T163" s="15">
        <f t="shared" si="8"/>
        <v>0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3"/>
      <c r="AI163" s="13"/>
      <c r="AJ163" s="13"/>
      <c r="AK163" s="13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3"/>
      <c r="BX163" s="13"/>
      <c r="BY163" s="12"/>
    </row>
    <row r="164" spans="1:81" ht="12.75">
      <c r="A164" s="1" t="s">
        <v>382</v>
      </c>
      <c r="B164" s="9" t="s">
        <v>167</v>
      </c>
      <c r="C164" s="12" t="s">
        <v>457</v>
      </c>
      <c r="D164" s="165" t="s">
        <v>458</v>
      </c>
      <c r="E164" s="14" t="s">
        <v>215</v>
      </c>
      <c r="F164" s="1">
        <v>9196</v>
      </c>
      <c r="G164" s="1">
        <v>9040</v>
      </c>
      <c r="H164" s="1">
        <v>7985</v>
      </c>
      <c r="I164" s="16">
        <v>11417</v>
      </c>
      <c r="J164" s="15">
        <f t="shared" si="6"/>
        <v>37638</v>
      </c>
      <c r="K164" s="1"/>
      <c r="L164" s="1"/>
      <c r="M164" s="1"/>
      <c r="N164" s="16"/>
      <c r="O164" s="15">
        <f t="shared" si="7"/>
        <v>0</v>
      </c>
      <c r="P164" s="1"/>
      <c r="Q164" s="1"/>
      <c r="R164" s="1"/>
      <c r="S164" s="15"/>
      <c r="T164" s="15">
        <f t="shared" si="8"/>
        <v>0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3"/>
      <c r="AI164" s="13"/>
      <c r="AJ164" s="13"/>
      <c r="AK164" s="13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2"/>
      <c r="BX164" s="2"/>
      <c r="BY164" s="2"/>
      <c r="BZ164" s="1"/>
      <c r="CA164" s="22"/>
      <c r="CB164" s="22"/>
      <c r="CC164" s="22"/>
    </row>
    <row r="165" spans="1:37" ht="12.75">
      <c r="A165" s="1" t="s">
        <v>382</v>
      </c>
      <c r="B165" s="9" t="s">
        <v>167</v>
      </c>
      <c r="C165" s="12" t="s">
        <v>459</v>
      </c>
      <c r="D165" s="165" t="s">
        <v>460</v>
      </c>
      <c r="E165" s="14" t="s">
        <v>215</v>
      </c>
      <c r="F165" s="1">
        <v>9937</v>
      </c>
      <c r="G165" s="1">
        <v>10814</v>
      </c>
      <c r="H165" s="1">
        <v>7603</v>
      </c>
      <c r="I165" s="16">
        <v>11416</v>
      </c>
      <c r="J165" s="15">
        <f t="shared" si="6"/>
        <v>39770</v>
      </c>
      <c r="K165" s="1"/>
      <c r="L165" s="1"/>
      <c r="M165" s="1"/>
      <c r="N165" s="16"/>
      <c r="O165" s="15">
        <f t="shared" si="7"/>
        <v>0</v>
      </c>
      <c r="P165" s="1"/>
      <c r="Q165" s="1"/>
      <c r="R165" s="1"/>
      <c r="S165" s="15"/>
      <c r="T165" s="15">
        <f t="shared" si="8"/>
        <v>0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3"/>
      <c r="AI165" s="13"/>
      <c r="AJ165" s="13"/>
      <c r="AK165" s="13"/>
    </row>
    <row r="166" spans="1:88" ht="12.75">
      <c r="A166" s="1" t="s">
        <v>382</v>
      </c>
      <c r="B166" s="9" t="s">
        <v>167</v>
      </c>
      <c r="C166" s="12" t="s">
        <v>461</v>
      </c>
      <c r="D166" s="165" t="s">
        <v>462</v>
      </c>
      <c r="E166" s="14" t="s">
        <v>215</v>
      </c>
      <c r="F166" s="1">
        <v>17032</v>
      </c>
      <c r="G166" s="1">
        <v>13613</v>
      </c>
      <c r="H166" s="1">
        <v>10371</v>
      </c>
      <c r="I166" s="16">
        <v>15088</v>
      </c>
      <c r="J166" s="15">
        <f t="shared" si="6"/>
        <v>56104</v>
      </c>
      <c r="K166" s="1"/>
      <c r="L166" s="1"/>
      <c r="M166" s="1"/>
      <c r="N166" s="16"/>
      <c r="O166" s="15">
        <f t="shared" si="7"/>
        <v>0</v>
      </c>
      <c r="P166" s="1"/>
      <c r="Q166" s="1"/>
      <c r="R166" s="1"/>
      <c r="S166" s="15"/>
      <c r="T166" s="15">
        <f t="shared" si="8"/>
        <v>0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3"/>
      <c r="AI166" s="13"/>
      <c r="AJ166" s="13"/>
      <c r="AK166" s="13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2"/>
      <c r="BX166" s="2"/>
      <c r="BY166" s="1"/>
      <c r="BZ166" s="1"/>
      <c r="CA166" s="23"/>
      <c r="CB166" s="23"/>
      <c r="CC166" s="23"/>
      <c r="CD166" s="1"/>
      <c r="CE166" s="1"/>
      <c r="CF166" s="1"/>
      <c r="CG166" s="1"/>
      <c r="CH166" s="1"/>
      <c r="CI166" s="1"/>
      <c r="CJ166" s="2"/>
    </row>
    <row r="167" spans="1:87" ht="12.75">
      <c r="A167" s="1" t="s">
        <v>382</v>
      </c>
      <c r="B167" s="9" t="s">
        <v>167</v>
      </c>
      <c r="C167" s="12" t="s">
        <v>463</v>
      </c>
      <c r="D167" s="165" t="s">
        <v>464</v>
      </c>
      <c r="E167" s="14" t="s">
        <v>215</v>
      </c>
      <c r="F167" s="1">
        <v>14521</v>
      </c>
      <c r="G167" s="1">
        <v>13179</v>
      </c>
      <c r="H167" s="1">
        <v>10609</v>
      </c>
      <c r="I167" s="16">
        <v>15999</v>
      </c>
      <c r="J167" s="15">
        <f t="shared" si="6"/>
        <v>54308</v>
      </c>
      <c r="K167" s="1"/>
      <c r="L167" s="1"/>
      <c r="M167" s="1"/>
      <c r="N167" s="16"/>
      <c r="O167" s="15">
        <f t="shared" si="7"/>
        <v>0</v>
      </c>
      <c r="P167" s="1"/>
      <c r="Q167" s="1"/>
      <c r="R167" s="1"/>
      <c r="S167" s="15"/>
      <c r="T167" s="15">
        <f t="shared" si="8"/>
        <v>0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3"/>
      <c r="AI167" s="13"/>
      <c r="AJ167" s="13"/>
      <c r="AK167" s="13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2"/>
      <c r="BX167" s="2"/>
      <c r="BY167" s="1"/>
      <c r="BZ167" s="1"/>
      <c r="CA167" s="22"/>
      <c r="CB167" s="22"/>
      <c r="CC167" s="22"/>
      <c r="CD167" s="1"/>
      <c r="CE167" s="1"/>
      <c r="CF167" s="1"/>
      <c r="CG167" s="1"/>
      <c r="CH167" s="1"/>
      <c r="CI167" s="12"/>
    </row>
    <row r="168" spans="1:88" ht="12.75">
      <c r="A168" s="1" t="s">
        <v>382</v>
      </c>
      <c r="B168" s="9" t="s">
        <v>167</v>
      </c>
      <c r="C168" s="12" t="s">
        <v>465</v>
      </c>
      <c r="D168" s="165" t="s">
        <v>466</v>
      </c>
      <c r="E168" s="14" t="s">
        <v>215</v>
      </c>
      <c r="F168" s="1">
        <v>12236</v>
      </c>
      <c r="G168" s="1">
        <v>11488</v>
      </c>
      <c r="H168" s="1">
        <v>7806</v>
      </c>
      <c r="I168" s="16">
        <v>14265</v>
      </c>
      <c r="J168" s="15">
        <f t="shared" si="6"/>
        <v>45795</v>
      </c>
      <c r="K168" s="1"/>
      <c r="L168" s="1"/>
      <c r="M168" s="1"/>
      <c r="N168" s="16"/>
      <c r="O168" s="15">
        <f t="shared" si="7"/>
        <v>0</v>
      </c>
      <c r="P168" s="1"/>
      <c r="Q168" s="1"/>
      <c r="R168" s="1"/>
      <c r="S168" s="15"/>
      <c r="T168" s="15">
        <f t="shared" si="8"/>
        <v>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3"/>
      <c r="AI168" s="13"/>
      <c r="AJ168" s="13"/>
      <c r="AK168" s="13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2"/>
      <c r="BX168" s="2"/>
      <c r="BY168" s="1"/>
      <c r="BZ168" s="1"/>
      <c r="CA168" s="22"/>
      <c r="CB168" s="22"/>
      <c r="CC168" s="22"/>
      <c r="CD168" s="1"/>
      <c r="CE168" s="1"/>
      <c r="CF168" s="1"/>
      <c r="CG168" s="1"/>
      <c r="CH168" s="1"/>
      <c r="CI168" s="2"/>
      <c r="CJ168" s="2"/>
    </row>
    <row r="169" spans="1:81" ht="12.75">
      <c r="A169" s="1" t="s">
        <v>382</v>
      </c>
      <c r="B169" s="9" t="s">
        <v>167</v>
      </c>
      <c r="C169" s="12" t="s">
        <v>467</v>
      </c>
      <c r="D169" s="165" t="s">
        <v>468</v>
      </c>
      <c r="E169" s="14" t="s">
        <v>215</v>
      </c>
      <c r="F169" s="1">
        <v>1025</v>
      </c>
      <c r="G169" s="1">
        <v>742</v>
      </c>
      <c r="H169" s="1">
        <v>982</v>
      </c>
      <c r="I169" s="16">
        <v>1202</v>
      </c>
      <c r="J169" s="15">
        <f t="shared" si="6"/>
        <v>3951</v>
      </c>
      <c r="K169" s="1"/>
      <c r="L169" s="1"/>
      <c r="M169" s="1"/>
      <c r="N169" s="16"/>
      <c r="O169" s="15">
        <f t="shared" si="7"/>
        <v>0</v>
      </c>
      <c r="P169" s="1"/>
      <c r="Q169" s="1"/>
      <c r="R169" s="1"/>
      <c r="S169" s="15"/>
      <c r="T169" s="15">
        <f t="shared" si="8"/>
        <v>0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3"/>
      <c r="AI169" s="13"/>
      <c r="AJ169" s="13"/>
      <c r="AK169" s="13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2"/>
      <c r="BX169" s="2"/>
      <c r="BY169" s="1"/>
      <c r="BZ169" s="1"/>
      <c r="CA169" s="22"/>
      <c r="CB169" s="22"/>
      <c r="CC169" s="22"/>
    </row>
    <row r="170" spans="1:20" ht="12.75">
      <c r="A170" s="1" t="s">
        <v>382</v>
      </c>
      <c r="B170" s="9" t="s">
        <v>167</v>
      </c>
      <c r="C170" s="12" t="s">
        <v>469</v>
      </c>
      <c r="D170" s="165" t="s">
        <v>470</v>
      </c>
      <c r="E170" s="14" t="s">
        <v>215</v>
      </c>
      <c r="F170" s="1">
        <v>22941</v>
      </c>
      <c r="G170" s="1">
        <v>21885</v>
      </c>
      <c r="H170" s="1">
        <v>14222</v>
      </c>
      <c r="I170" s="16">
        <v>24638</v>
      </c>
      <c r="J170" s="15">
        <f t="shared" si="6"/>
        <v>83686</v>
      </c>
      <c r="K170" s="1"/>
      <c r="L170" s="1"/>
      <c r="M170" s="1"/>
      <c r="N170" s="16"/>
      <c r="O170" s="15">
        <f t="shared" si="7"/>
        <v>0</v>
      </c>
      <c r="P170" s="1"/>
      <c r="Q170" s="1"/>
      <c r="R170" s="1"/>
      <c r="S170" s="15"/>
      <c r="T170" s="15">
        <f t="shared" si="8"/>
        <v>0</v>
      </c>
    </row>
    <row r="171" spans="1:81" ht="12.75">
      <c r="A171" s="1" t="s">
        <v>382</v>
      </c>
      <c r="B171" s="9" t="s">
        <v>167</v>
      </c>
      <c r="C171" s="12" t="s">
        <v>471</v>
      </c>
      <c r="D171" s="165" t="s">
        <v>472</v>
      </c>
      <c r="E171" s="14" t="s">
        <v>215</v>
      </c>
      <c r="F171" s="1">
        <v>5853</v>
      </c>
      <c r="G171" s="1">
        <v>4975</v>
      </c>
      <c r="H171" s="1">
        <v>4563</v>
      </c>
      <c r="I171" s="16">
        <v>5932</v>
      </c>
      <c r="J171" s="15">
        <f t="shared" si="6"/>
        <v>21323</v>
      </c>
      <c r="K171" s="1"/>
      <c r="L171" s="1"/>
      <c r="M171" s="1"/>
      <c r="N171" s="16"/>
      <c r="O171" s="15">
        <f t="shared" si="7"/>
        <v>0</v>
      </c>
      <c r="P171" s="1"/>
      <c r="Q171" s="1"/>
      <c r="R171" s="1"/>
      <c r="S171" s="15"/>
      <c r="T171" s="15">
        <f t="shared" si="8"/>
        <v>0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3"/>
      <c r="AI171" s="13"/>
      <c r="AJ171" s="13"/>
      <c r="AK171" s="13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2"/>
      <c r="BX171" s="2"/>
      <c r="BY171" s="1"/>
      <c r="BZ171" s="1"/>
      <c r="CA171" s="22"/>
      <c r="CB171" s="22"/>
      <c r="CC171" s="22"/>
    </row>
    <row r="172" spans="1:99" ht="12.75">
      <c r="A172" s="1" t="s">
        <v>382</v>
      </c>
      <c r="B172" s="9" t="s">
        <v>167</v>
      </c>
      <c r="C172" s="12" t="s">
        <v>473</v>
      </c>
      <c r="D172" s="165" t="s">
        <v>474</v>
      </c>
      <c r="E172" s="14" t="s">
        <v>215</v>
      </c>
      <c r="F172" s="1">
        <v>12117</v>
      </c>
      <c r="G172" s="1">
        <v>11700</v>
      </c>
      <c r="H172" s="1">
        <v>9205</v>
      </c>
      <c r="I172" s="16">
        <v>12460</v>
      </c>
      <c r="J172" s="15">
        <f t="shared" si="6"/>
        <v>45482</v>
      </c>
      <c r="K172" s="1"/>
      <c r="L172" s="1"/>
      <c r="M172" s="1"/>
      <c r="N172" s="16"/>
      <c r="O172" s="15">
        <f t="shared" si="7"/>
        <v>0</v>
      </c>
      <c r="P172" s="1"/>
      <c r="Q172" s="1"/>
      <c r="R172" s="1"/>
      <c r="S172" s="15"/>
      <c r="T172" s="15">
        <f t="shared" si="8"/>
        <v>0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3"/>
      <c r="AI172" s="13"/>
      <c r="AJ172" s="13"/>
      <c r="AK172" s="13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2"/>
      <c r="BX172" s="2"/>
      <c r="BY172" s="1"/>
      <c r="BZ172" s="1"/>
      <c r="CA172" s="22"/>
      <c r="CB172" s="22"/>
      <c r="CC172" s="22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2"/>
    </row>
    <row r="173" spans="1:89" ht="12.75">
      <c r="A173" s="1" t="s">
        <v>382</v>
      </c>
      <c r="B173" s="9" t="s">
        <v>167</v>
      </c>
      <c r="C173" s="12" t="s">
        <v>475</v>
      </c>
      <c r="D173" s="165" t="s">
        <v>476</v>
      </c>
      <c r="E173" s="14" t="s">
        <v>215</v>
      </c>
      <c r="F173" s="1">
        <v>27496</v>
      </c>
      <c r="G173" s="1">
        <v>27358</v>
      </c>
      <c r="H173" s="1">
        <v>18961</v>
      </c>
      <c r="I173" s="16">
        <v>30357</v>
      </c>
      <c r="J173" s="15">
        <f t="shared" si="6"/>
        <v>104172</v>
      </c>
      <c r="K173" s="1"/>
      <c r="L173" s="1"/>
      <c r="M173" s="1"/>
      <c r="N173" s="16"/>
      <c r="O173" s="15">
        <f t="shared" si="7"/>
        <v>0</v>
      </c>
      <c r="P173" s="1"/>
      <c r="Q173" s="1"/>
      <c r="R173" s="1"/>
      <c r="S173" s="15"/>
      <c r="T173" s="15">
        <f t="shared" si="8"/>
        <v>0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3"/>
      <c r="AI173" s="13"/>
      <c r="AJ173" s="13"/>
      <c r="AK173" s="13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2"/>
      <c r="BX173" s="2"/>
      <c r="BY173" s="1"/>
      <c r="BZ173" s="1"/>
      <c r="CA173" s="22"/>
      <c r="CB173" s="22"/>
      <c r="CC173" s="22"/>
      <c r="CD173" s="1"/>
      <c r="CE173" s="1"/>
      <c r="CF173" s="1"/>
      <c r="CG173" s="1"/>
      <c r="CH173" s="1"/>
      <c r="CI173" s="13"/>
      <c r="CJ173" s="13"/>
      <c r="CK173" s="12"/>
    </row>
    <row r="174" spans="1:99" ht="12.75">
      <c r="A174" s="1" t="s">
        <v>382</v>
      </c>
      <c r="B174" s="9" t="s">
        <v>167</v>
      </c>
      <c r="C174" s="12" t="s">
        <v>477</v>
      </c>
      <c r="D174" s="165" t="s">
        <v>478</v>
      </c>
      <c r="E174" s="14" t="s">
        <v>215</v>
      </c>
      <c r="F174" s="1">
        <v>6394</v>
      </c>
      <c r="G174" s="1">
        <v>6070</v>
      </c>
      <c r="H174" s="1">
        <v>4715</v>
      </c>
      <c r="I174" s="16">
        <v>7699</v>
      </c>
      <c r="J174" s="15">
        <f t="shared" si="6"/>
        <v>24878</v>
      </c>
      <c r="K174" s="1"/>
      <c r="L174" s="1"/>
      <c r="M174" s="1"/>
      <c r="N174" s="16"/>
      <c r="O174" s="15">
        <f t="shared" si="7"/>
        <v>0</v>
      </c>
      <c r="P174" s="1"/>
      <c r="Q174" s="1"/>
      <c r="R174" s="1"/>
      <c r="S174" s="15"/>
      <c r="T174" s="15">
        <f t="shared" si="8"/>
        <v>0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3"/>
      <c r="AI174" s="13"/>
      <c r="AJ174" s="13"/>
      <c r="AK174" s="13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2"/>
      <c r="BX174" s="2"/>
      <c r="BY174" s="1"/>
      <c r="BZ174" s="1"/>
      <c r="CA174" s="22"/>
      <c r="CB174" s="22"/>
      <c r="CC174" s="22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2"/>
    </row>
    <row r="175" spans="1:81" ht="12.75">
      <c r="A175" s="1" t="s">
        <v>382</v>
      </c>
      <c r="B175" s="9" t="s">
        <v>167</v>
      </c>
      <c r="C175" s="12" t="s">
        <v>479</v>
      </c>
      <c r="D175" s="165" t="s">
        <v>480</v>
      </c>
      <c r="E175" s="14" t="s">
        <v>215</v>
      </c>
      <c r="F175" s="1">
        <v>10371</v>
      </c>
      <c r="G175" s="1">
        <v>10348</v>
      </c>
      <c r="H175" s="1">
        <v>7260</v>
      </c>
      <c r="I175" s="16">
        <v>11825</v>
      </c>
      <c r="J175" s="15">
        <f t="shared" si="6"/>
        <v>39804</v>
      </c>
      <c r="K175" s="1"/>
      <c r="L175" s="1"/>
      <c r="M175" s="1"/>
      <c r="N175" s="16"/>
      <c r="O175" s="15">
        <f t="shared" si="7"/>
        <v>0</v>
      </c>
      <c r="P175" s="1"/>
      <c r="Q175" s="1"/>
      <c r="R175" s="1"/>
      <c r="S175" s="15"/>
      <c r="T175" s="15">
        <f t="shared" si="8"/>
        <v>0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3"/>
      <c r="AI175" s="13"/>
      <c r="AJ175" s="13"/>
      <c r="AK175" s="13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2"/>
      <c r="BX175" s="2"/>
      <c r="BY175" s="1"/>
      <c r="BZ175" s="1"/>
      <c r="CA175" s="22"/>
      <c r="CB175" s="22"/>
      <c r="CC175" s="22"/>
    </row>
    <row r="176" spans="1:100" ht="12.75">
      <c r="A176" s="1" t="s">
        <v>382</v>
      </c>
      <c r="B176" s="9" t="s">
        <v>167</v>
      </c>
      <c r="C176" s="12" t="s">
        <v>481</v>
      </c>
      <c r="D176" s="165" t="s">
        <v>482</v>
      </c>
      <c r="E176" s="14" t="s">
        <v>215</v>
      </c>
      <c r="F176" s="1">
        <v>20294</v>
      </c>
      <c r="G176" s="1">
        <v>16737</v>
      </c>
      <c r="H176" s="1">
        <v>14580</v>
      </c>
      <c r="I176" s="16">
        <v>20437</v>
      </c>
      <c r="J176" s="15">
        <f t="shared" si="6"/>
        <v>72048</v>
      </c>
      <c r="K176" s="1"/>
      <c r="L176" s="1"/>
      <c r="M176" s="1"/>
      <c r="N176" s="16"/>
      <c r="O176" s="15">
        <f t="shared" si="7"/>
        <v>0</v>
      </c>
      <c r="P176" s="1"/>
      <c r="Q176" s="1"/>
      <c r="R176" s="1"/>
      <c r="S176" s="15"/>
      <c r="T176" s="15">
        <f t="shared" si="8"/>
        <v>0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3"/>
      <c r="AI176" s="13"/>
      <c r="AJ176" s="13"/>
      <c r="AK176" s="13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2"/>
      <c r="BX176" s="2"/>
      <c r="BY176" s="1"/>
      <c r="BZ176" s="1"/>
      <c r="CA176" s="22"/>
      <c r="CB176" s="22"/>
      <c r="CC176" s="22"/>
      <c r="CD176" s="1"/>
      <c r="CE176" s="1"/>
      <c r="CF176" s="1"/>
      <c r="CG176" s="1"/>
      <c r="CH176" s="1"/>
      <c r="CI176" s="2"/>
      <c r="CJ176" s="2"/>
      <c r="CK176" s="1"/>
      <c r="CL176" s="1"/>
      <c r="CM176" s="1"/>
      <c r="CN176" s="2"/>
      <c r="CO176" s="24"/>
      <c r="CP176" s="2"/>
      <c r="CQ176" s="1"/>
      <c r="CR176" s="1"/>
      <c r="CS176" s="1"/>
      <c r="CT176" s="1"/>
      <c r="CU176" s="13"/>
      <c r="CV176" s="12"/>
    </row>
    <row r="177" spans="1:94" ht="12.75">
      <c r="A177" s="1" t="s">
        <v>382</v>
      </c>
      <c r="B177" s="9" t="s">
        <v>167</v>
      </c>
      <c r="C177" s="12" t="s">
        <v>483</v>
      </c>
      <c r="D177" s="165" t="s">
        <v>484</v>
      </c>
      <c r="E177" s="14" t="s">
        <v>215</v>
      </c>
      <c r="F177" s="1">
        <v>12363</v>
      </c>
      <c r="G177" s="1">
        <v>12994</v>
      </c>
      <c r="H177" s="1">
        <v>10107</v>
      </c>
      <c r="I177" s="16">
        <v>14624</v>
      </c>
      <c r="J177" s="15">
        <f t="shared" si="6"/>
        <v>50088</v>
      </c>
      <c r="K177" s="1"/>
      <c r="L177" s="1"/>
      <c r="M177" s="1"/>
      <c r="N177" s="16"/>
      <c r="O177" s="15">
        <f t="shared" si="7"/>
        <v>0</v>
      </c>
      <c r="P177" s="1"/>
      <c r="Q177" s="1"/>
      <c r="R177" s="1"/>
      <c r="S177" s="15"/>
      <c r="T177" s="15">
        <f t="shared" si="8"/>
        <v>0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3"/>
      <c r="AI177" s="13"/>
      <c r="AJ177" s="13"/>
      <c r="AK177" s="13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2"/>
      <c r="BX177" s="2"/>
      <c r="BY177" s="1"/>
      <c r="BZ177" s="1"/>
      <c r="CA177" s="22"/>
      <c r="CB177" s="22"/>
      <c r="CC177" s="22"/>
      <c r="CD177" s="1"/>
      <c r="CE177" s="1"/>
      <c r="CF177" s="1"/>
      <c r="CG177" s="1"/>
      <c r="CH177" s="1"/>
      <c r="CI177" s="2"/>
      <c r="CJ177" s="2"/>
      <c r="CK177" s="1"/>
      <c r="CL177" s="1"/>
      <c r="CM177" s="1"/>
      <c r="CN177" s="2"/>
      <c r="CO177" s="24"/>
      <c r="CP177" s="2"/>
    </row>
    <row r="178" spans="1:94" ht="12.75">
      <c r="A178" s="1" t="s">
        <v>382</v>
      </c>
      <c r="B178" s="9" t="s">
        <v>167</v>
      </c>
      <c r="C178" s="12" t="s">
        <v>485</v>
      </c>
      <c r="D178" s="165" t="s">
        <v>486</v>
      </c>
      <c r="E178" s="14" t="s">
        <v>215</v>
      </c>
      <c r="F178" s="1">
        <v>6816</v>
      </c>
      <c r="G178" s="1">
        <v>5746</v>
      </c>
      <c r="H178" s="1">
        <v>6319</v>
      </c>
      <c r="I178" s="16">
        <v>7335</v>
      </c>
      <c r="J178" s="15">
        <f t="shared" si="6"/>
        <v>26216</v>
      </c>
      <c r="K178" s="1"/>
      <c r="L178" s="1"/>
      <c r="M178" s="1"/>
      <c r="N178" s="16"/>
      <c r="O178" s="15">
        <f t="shared" si="7"/>
        <v>0</v>
      </c>
      <c r="P178" s="1"/>
      <c r="Q178" s="1"/>
      <c r="R178" s="1"/>
      <c r="S178" s="15"/>
      <c r="T178" s="15">
        <f t="shared" si="8"/>
        <v>0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3"/>
      <c r="AI178" s="13"/>
      <c r="AJ178" s="13"/>
      <c r="AK178" s="13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2"/>
      <c r="BX178" s="2"/>
      <c r="BY178" s="1"/>
      <c r="BZ178" s="1"/>
      <c r="CA178" s="22"/>
      <c r="CB178" s="22"/>
      <c r="CC178" s="22"/>
      <c r="CD178" s="1"/>
      <c r="CE178" s="1"/>
      <c r="CF178" s="1"/>
      <c r="CG178" s="1"/>
      <c r="CH178" s="1"/>
      <c r="CI178" s="2"/>
      <c r="CJ178" s="2"/>
      <c r="CK178" s="1"/>
      <c r="CL178" s="1"/>
      <c r="CM178" s="1"/>
      <c r="CN178" s="2"/>
      <c r="CO178" s="24"/>
      <c r="CP178" s="2"/>
    </row>
    <row r="179" spans="1:109" ht="12.75">
      <c r="A179" s="1" t="s">
        <v>382</v>
      </c>
      <c r="B179" s="9" t="s">
        <v>167</v>
      </c>
      <c r="C179" s="12" t="s">
        <v>487</v>
      </c>
      <c r="D179" s="165" t="s">
        <v>488</v>
      </c>
      <c r="E179" s="14" t="s">
        <v>215</v>
      </c>
      <c r="F179" s="1">
        <v>10247</v>
      </c>
      <c r="G179" s="1">
        <v>9874</v>
      </c>
      <c r="H179" s="1">
        <v>7891</v>
      </c>
      <c r="I179" s="16">
        <v>12840</v>
      </c>
      <c r="J179" s="15">
        <f t="shared" si="6"/>
        <v>40852</v>
      </c>
      <c r="K179" s="1"/>
      <c r="L179" s="1"/>
      <c r="M179" s="1"/>
      <c r="N179" s="16"/>
      <c r="O179" s="15">
        <f t="shared" si="7"/>
        <v>0</v>
      </c>
      <c r="P179" s="1"/>
      <c r="Q179" s="1"/>
      <c r="R179" s="1"/>
      <c r="S179" s="15"/>
      <c r="T179" s="15">
        <f t="shared" si="8"/>
        <v>0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3"/>
      <c r="AI179" s="13"/>
      <c r="AJ179" s="13"/>
      <c r="AK179" s="13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2"/>
      <c r="BX179" s="2"/>
      <c r="BY179" s="1"/>
      <c r="BZ179" s="1"/>
      <c r="CA179" s="22"/>
      <c r="CB179" s="22"/>
      <c r="CC179" s="22"/>
      <c r="CD179" s="1"/>
      <c r="CE179" s="1"/>
      <c r="CF179" s="1"/>
      <c r="CG179" s="1"/>
      <c r="CH179" s="1"/>
      <c r="CI179" s="2"/>
      <c r="CJ179" s="2"/>
      <c r="CK179" s="1"/>
      <c r="CL179" s="1"/>
      <c r="CM179" s="1"/>
      <c r="CN179" s="2"/>
      <c r="CO179" s="24"/>
      <c r="CP179" s="2"/>
      <c r="CQ179" s="1"/>
      <c r="CR179" s="1"/>
      <c r="CS179" s="1"/>
      <c r="CT179" s="1"/>
      <c r="CU179" s="2"/>
      <c r="CV179" s="1"/>
      <c r="CW179" s="1"/>
      <c r="CX179" s="1"/>
      <c r="CY179" s="1"/>
      <c r="CZ179" s="1"/>
      <c r="DA179" s="1"/>
      <c r="DB179" s="1"/>
      <c r="DC179" s="2"/>
      <c r="DD179" s="1"/>
      <c r="DE179" s="2"/>
    </row>
    <row r="180" spans="1:109" ht="12.75">
      <c r="A180" s="1" t="s">
        <v>382</v>
      </c>
      <c r="B180" s="9" t="s">
        <v>167</v>
      </c>
      <c r="C180" s="12" t="s">
        <v>489</v>
      </c>
      <c r="D180" s="165" t="s">
        <v>490</v>
      </c>
      <c r="E180" s="14" t="s">
        <v>215</v>
      </c>
      <c r="F180" s="1">
        <v>9952</v>
      </c>
      <c r="G180" s="1">
        <v>8881</v>
      </c>
      <c r="H180" s="1">
        <v>5878</v>
      </c>
      <c r="I180" s="16">
        <v>10002</v>
      </c>
      <c r="J180" s="15">
        <f t="shared" si="6"/>
        <v>34713</v>
      </c>
      <c r="K180" s="1"/>
      <c r="L180" s="1"/>
      <c r="M180" s="1"/>
      <c r="N180" s="16"/>
      <c r="O180" s="15">
        <f t="shared" si="7"/>
        <v>0</v>
      </c>
      <c r="P180" s="1"/>
      <c r="Q180" s="1"/>
      <c r="R180" s="1"/>
      <c r="S180" s="15"/>
      <c r="T180" s="15">
        <f t="shared" si="8"/>
        <v>0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2"/>
      <c r="BX180" s="2"/>
      <c r="BY180" s="1"/>
      <c r="BZ180" s="1"/>
      <c r="CA180" s="22"/>
      <c r="CB180" s="22"/>
      <c r="CC180" s="22"/>
      <c r="CD180" s="1"/>
      <c r="CE180" s="1"/>
      <c r="CF180" s="1"/>
      <c r="CG180" s="1"/>
      <c r="CH180" s="1"/>
      <c r="CI180" s="2"/>
      <c r="CJ180" s="2"/>
      <c r="CK180" s="1"/>
      <c r="CL180" s="1"/>
      <c r="CM180" s="1"/>
      <c r="CN180" s="2"/>
      <c r="CO180" s="24"/>
      <c r="CP180" s="2"/>
      <c r="CQ180" s="1"/>
      <c r="CR180" s="1"/>
      <c r="CS180" s="1"/>
      <c r="CT180" s="1"/>
      <c r="CU180" s="2"/>
      <c r="CV180" s="1"/>
      <c r="CW180" s="1"/>
      <c r="CX180" s="1"/>
      <c r="CY180" s="1"/>
      <c r="CZ180" s="1"/>
      <c r="DA180" s="1"/>
      <c r="DB180" s="1"/>
      <c r="DC180" s="2"/>
      <c r="DD180" s="1"/>
      <c r="DE180" s="2"/>
    </row>
    <row r="181" spans="1:109" ht="12.75">
      <c r="A181" s="1" t="s">
        <v>382</v>
      </c>
      <c r="B181" s="9" t="s">
        <v>167</v>
      </c>
      <c r="C181" s="12" t="s">
        <v>491</v>
      </c>
      <c r="D181" s="165" t="s">
        <v>492</v>
      </c>
      <c r="E181" s="14" t="s">
        <v>215</v>
      </c>
      <c r="F181" s="1">
        <v>7553</v>
      </c>
      <c r="G181" s="1">
        <v>8277</v>
      </c>
      <c r="H181" s="1">
        <v>6459</v>
      </c>
      <c r="I181" s="16">
        <v>9117</v>
      </c>
      <c r="J181" s="15">
        <f t="shared" si="6"/>
        <v>31406</v>
      </c>
      <c r="K181" s="1"/>
      <c r="L181" s="1"/>
      <c r="M181" s="1"/>
      <c r="N181" s="16"/>
      <c r="O181" s="15">
        <f t="shared" si="7"/>
        <v>0</v>
      </c>
      <c r="P181" s="1"/>
      <c r="Q181" s="1"/>
      <c r="R181" s="1"/>
      <c r="S181" s="15"/>
      <c r="T181" s="15">
        <f t="shared" si="8"/>
        <v>0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2"/>
      <c r="BX181" s="2"/>
      <c r="BY181" s="1"/>
      <c r="BZ181" s="1"/>
      <c r="CA181" s="22"/>
      <c r="CB181" s="22"/>
      <c r="CC181" s="22"/>
      <c r="CD181" s="1"/>
      <c r="CE181" s="1"/>
      <c r="CF181" s="1"/>
      <c r="CG181" s="1"/>
      <c r="CH181" s="1"/>
      <c r="CI181" s="2"/>
      <c r="CJ181" s="2"/>
      <c r="CK181" s="1"/>
      <c r="CL181" s="1"/>
      <c r="CM181" s="1"/>
      <c r="CN181" s="2"/>
      <c r="CO181" s="24"/>
      <c r="CP181" s="2"/>
      <c r="CQ181" s="1"/>
      <c r="CR181" s="1"/>
      <c r="CS181" s="1"/>
      <c r="CT181" s="1"/>
      <c r="CU181" s="2"/>
      <c r="CV181" s="1"/>
      <c r="CW181" s="1"/>
      <c r="CX181" s="1"/>
      <c r="CY181" s="1"/>
      <c r="CZ181" s="1"/>
      <c r="DA181" s="1"/>
      <c r="DB181" s="1"/>
      <c r="DC181" s="2"/>
      <c r="DD181" s="1"/>
      <c r="DE181" s="2"/>
    </row>
    <row r="182" spans="1:94" ht="12.75">
      <c r="A182" s="1" t="s">
        <v>382</v>
      </c>
      <c r="B182" s="9" t="s">
        <v>167</v>
      </c>
      <c r="C182" s="12" t="s">
        <v>493</v>
      </c>
      <c r="D182" s="165" t="s">
        <v>494</v>
      </c>
      <c r="E182" s="14" t="s">
        <v>215</v>
      </c>
      <c r="F182" s="1">
        <v>7120</v>
      </c>
      <c r="G182" s="1">
        <v>6711</v>
      </c>
      <c r="H182" s="1">
        <v>5765</v>
      </c>
      <c r="I182" s="16">
        <v>7335</v>
      </c>
      <c r="J182" s="15">
        <f t="shared" si="6"/>
        <v>26931</v>
      </c>
      <c r="K182" s="1"/>
      <c r="L182" s="1"/>
      <c r="M182" s="1"/>
      <c r="N182" s="16"/>
      <c r="O182" s="15">
        <f t="shared" si="7"/>
        <v>0</v>
      </c>
      <c r="P182" s="1"/>
      <c r="Q182" s="1"/>
      <c r="R182" s="1"/>
      <c r="S182" s="15"/>
      <c r="T182" s="15">
        <f t="shared" si="8"/>
        <v>0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2"/>
      <c r="BX182" s="2"/>
      <c r="BY182" s="1"/>
      <c r="BZ182" s="1"/>
      <c r="CA182" s="22"/>
      <c r="CB182" s="22"/>
      <c r="CC182" s="22"/>
      <c r="CD182" s="1"/>
      <c r="CE182" s="1"/>
      <c r="CF182" s="1"/>
      <c r="CG182" s="1"/>
      <c r="CH182" s="1"/>
      <c r="CI182" s="2"/>
      <c r="CJ182" s="2"/>
      <c r="CK182" s="1"/>
      <c r="CL182" s="1"/>
      <c r="CM182" s="1"/>
      <c r="CN182" s="2"/>
      <c r="CO182" s="24"/>
      <c r="CP182" s="2"/>
    </row>
    <row r="183" spans="1:109" ht="12.75">
      <c r="A183" s="1" t="s">
        <v>382</v>
      </c>
      <c r="B183" s="9" t="s">
        <v>167</v>
      </c>
      <c r="C183" s="12" t="s">
        <v>495</v>
      </c>
      <c r="D183" s="165" t="s">
        <v>496</v>
      </c>
      <c r="E183" s="14" t="s">
        <v>215</v>
      </c>
      <c r="F183" s="1">
        <v>5987</v>
      </c>
      <c r="G183" s="1">
        <v>5939</v>
      </c>
      <c r="H183" s="1">
        <v>5051</v>
      </c>
      <c r="I183" s="16">
        <v>8819</v>
      </c>
      <c r="J183" s="15">
        <f t="shared" si="6"/>
        <v>25796</v>
      </c>
      <c r="K183" s="1"/>
      <c r="L183" s="1"/>
      <c r="M183" s="1"/>
      <c r="N183" s="16"/>
      <c r="O183" s="15">
        <f t="shared" si="7"/>
        <v>0</v>
      </c>
      <c r="P183" s="1"/>
      <c r="Q183" s="1"/>
      <c r="R183" s="1"/>
      <c r="S183" s="15"/>
      <c r="T183" s="15">
        <f t="shared" si="8"/>
        <v>0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2"/>
      <c r="BX183" s="2"/>
      <c r="BY183" s="1"/>
      <c r="BZ183" s="1"/>
      <c r="CA183" s="22"/>
      <c r="CB183" s="22"/>
      <c r="CC183" s="22"/>
      <c r="CD183" s="1"/>
      <c r="CE183" s="1"/>
      <c r="CF183" s="1"/>
      <c r="CG183" s="1"/>
      <c r="CH183" s="1"/>
      <c r="CI183" s="2"/>
      <c r="CJ183" s="2"/>
      <c r="CK183" s="1"/>
      <c r="CL183" s="1"/>
      <c r="CM183" s="1"/>
      <c r="CN183" s="2"/>
      <c r="CO183" s="24"/>
      <c r="CP183" s="2"/>
      <c r="CQ183" s="1"/>
      <c r="CR183" s="1"/>
      <c r="CS183" s="1"/>
      <c r="CT183" s="1"/>
      <c r="CU183" s="2"/>
      <c r="CV183" s="1"/>
      <c r="CW183" s="1"/>
      <c r="CX183" s="1"/>
      <c r="CY183" s="1"/>
      <c r="CZ183" s="1"/>
      <c r="DA183" s="1"/>
      <c r="DB183" s="1"/>
      <c r="DC183" s="1"/>
      <c r="DD183" s="1"/>
      <c r="DE183" s="2"/>
    </row>
    <row r="184" spans="1:109" ht="12.75">
      <c r="A184" s="1" t="s">
        <v>382</v>
      </c>
      <c r="B184" s="9" t="s">
        <v>167</v>
      </c>
      <c r="C184" s="12" t="s">
        <v>497</v>
      </c>
      <c r="D184" s="165" t="s">
        <v>498</v>
      </c>
      <c r="E184" s="14" t="s">
        <v>215</v>
      </c>
      <c r="F184" s="1">
        <v>17877</v>
      </c>
      <c r="G184" s="1">
        <v>17706</v>
      </c>
      <c r="H184" s="1">
        <v>13498</v>
      </c>
      <c r="I184" s="16">
        <v>17804</v>
      </c>
      <c r="J184" s="15">
        <f t="shared" si="6"/>
        <v>66885</v>
      </c>
      <c r="K184" s="1"/>
      <c r="L184" s="1"/>
      <c r="M184" s="1"/>
      <c r="N184" s="16"/>
      <c r="O184" s="15">
        <f t="shared" si="7"/>
        <v>0</v>
      </c>
      <c r="P184" s="1"/>
      <c r="Q184" s="1"/>
      <c r="R184" s="1"/>
      <c r="S184" s="15"/>
      <c r="T184" s="15">
        <f t="shared" si="8"/>
        <v>0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2"/>
      <c r="BX184" s="2"/>
      <c r="BY184" s="1"/>
      <c r="BZ184" s="1"/>
      <c r="CA184" s="22"/>
      <c r="CB184" s="22"/>
      <c r="CC184" s="22"/>
      <c r="CD184" s="1"/>
      <c r="CE184" s="1"/>
      <c r="CF184" s="1"/>
      <c r="CG184" s="1"/>
      <c r="CH184" s="1"/>
      <c r="CI184" s="2"/>
      <c r="CJ184" s="2"/>
      <c r="CK184" s="1"/>
      <c r="CL184" s="1"/>
      <c r="CM184" s="1"/>
      <c r="CN184" s="2"/>
      <c r="CO184" s="24"/>
      <c r="CP184" s="2"/>
      <c r="CQ184" s="1"/>
      <c r="CR184" s="1"/>
      <c r="CS184" s="1"/>
      <c r="CT184" s="1"/>
      <c r="CU184" s="2"/>
      <c r="CV184" s="1"/>
      <c r="CW184" s="1"/>
      <c r="CX184" s="1"/>
      <c r="CY184" s="1"/>
      <c r="CZ184" s="1"/>
      <c r="DA184" s="1"/>
      <c r="DB184" s="1"/>
      <c r="DC184" s="2"/>
      <c r="DD184" s="1"/>
      <c r="DE184" s="2"/>
    </row>
    <row r="185" spans="1:109" ht="12.75">
      <c r="A185" s="1" t="s">
        <v>382</v>
      </c>
      <c r="B185" s="9" t="s">
        <v>167</v>
      </c>
      <c r="C185" s="12" t="s">
        <v>499</v>
      </c>
      <c r="D185" s="165" t="s">
        <v>500</v>
      </c>
      <c r="E185" s="14" t="s">
        <v>215</v>
      </c>
      <c r="F185" s="1">
        <v>9211</v>
      </c>
      <c r="G185" s="1">
        <v>9124</v>
      </c>
      <c r="H185" s="1">
        <v>7115</v>
      </c>
      <c r="I185" s="16">
        <v>8461</v>
      </c>
      <c r="J185" s="15">
        <f t="shared" si="6"/>
        <v>33911</v>
      </c>
      <c r="K185" s="1"/>
      <c r="L185" s="1"/>
      <c r="M185" s="1"/>
      <c r="N185" s="16"/>
      <c r="O185" s="15">
        <f t="shared" si="7"/>
        <v>0</v>
      </c>
      <c r="P185" s="1"/>
      <c r="Q185" s="1"/>
      <c r="R185" s="1"/>
      <c r="S185" s="15"/>
      <c r="T185" s="15">
        <f t="shared" si="8"/>
        <v>0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2"/>
      <c r="BX185" s="2"/>
      <c r="BY185" s="1"/>
      <c r="BZ185" s="1"/>
      <c r="CA185" s="22"/>
      <c r="CB185" s="22"/>
      <c r="CC185" s="22"/>
      <c r="CD185" s="1"/>
      <c r="CE185" s="1"/>
      <c r="CF185" s="1"/>
      <c r="CG185" s="1"/>
      <c r="CH185" s="1"/>
      <c r="CI185" s="2"/>
      <c r="CJ185" s="2"/>
      <c r="CK185" s="1"/>
      <c r="CL185" s="1"/>
      <c r="CM185" s="1"/>
      <c r="CN185" s="2"/>
      <c r="CO185" s="24"/>
      <c r="CP185" s="2"/>
      <c r="CQ185" s="1"/>
      <c r="CR185" s="1"/>
      <c r="CS185" s="1"/>
      <c r="CT185" s="1"/>
      <c r="CU185" s="2"/>
      <c r="CV185" s="1"/>
      <c r="CW185" s="1"/>
      <c r="CX185" s="1"/>
      <c r="CY185" s="1"/>
      <c r="CZ185" s="1"/>
      <c r="DA185" s="1"/>
      <c r="DB185" s="1"/>
      <c r="DC185" s="2"/>
      <c r="DD185" s="1"/>
      <c r="DE185" s="2"/>
    </row>
    <row r="186" spans="1:109" ht="12.75">
      <c r="A186" s="1" t="s">
        <v>382</v>
      </c>
      <c r="B186" s="9" t="s">
        <v>167</v>
      </c>
      <c r="C186" s="12" t="s">
        <v>501</v>
      </c>
      <c r="D186" s="165" t="s">
        <v>502</v>
      </c>
      <c r="E186" s="14" t="s">
        <v>215</v>
      </c>
      <c r="F186" s="1">
        <v>5705</v>
      </c>
      <c r="G186" s="1">
        <v>6469</v>
      </c>
      <c r="H186" s="1">
        <v>4928</v>
      </c>
      <c r="I186" s="16">
        <v>6749</v>
      </c>
      <c r="J186" s="15">
        <f t="shared" si="6"/>
        <v>23851</v>
      </c>
      <c r="K186" s="1"/>
      <c r="L186" s="1"/>
      <c r="M186" s="1"/>
      <c r="N186" s="16"/>
      <c r="O186" s="15">
        <f t="shared" si="7"/>
        <v>0</v>
      </c>
      <c r="P186" s="1"/>
      <c r="Q186" s="1"/>
      <c r="R186" s="1"/>
      <c r="S186" s="15"/>
      <c r="T186" s="15">
        <f t="shared" si="8"/>
        <v>0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2"/>
      <c r="BX186" s="2"/>
      <c r="BY186" s="1"/>
      <c r="BZ186" s="1"/>
      <c r="CA186" s="22"/>
      <c r="CB186" s="22"/>
      <c r="CC186" s="22"/>
      <c r="CD186" s="1"/>
      <c r="CE186" s="1"/>
      <c r="CF186" s="1"/>
      <c r="CG186" s="1"/>
      <c r="CH186" s="1"/>
      <c r="CI186" s="2"/>
      <c r="CJ186" s="2"/>
      <c r="CK186" s="1"/>
      <c r="CL186" s="1"/>
      <c r="CM186" s="1"/>
      <c r="CN186" s="2"/>
      <c r="CO186" s="24"/>
      <c r="CP186" s="2"/>
      <c r="CQ186" s="1"/>
      <c r="CR186" s="1"/>
      <c r="CS186" s="1"/>
      <c r="CT186" s="1"/>
      <c r="CU186" s="2"/>
      <c r="CV186" s="1"/>
      <c r="CW186" s="1"/>
      <c r="CX186" s="1"/>
      <c r="CY186" s="1"/>
      <c r="CZ186" s="1"/>
      <c r="DA186" s="1"/>
      <c r="DB186" s="1"/>
      <c r="DC186" s="2"/>
      <c r="DD186" s="1"/>
      <c r="DE186" s="2"/>
    </row>
    <row r="187" spans="1:109" ht="12.75">
      <c r="A187" s="1" t="s">
        <v>382</v>
      </c>
      <c r="B187" s="9" t="s">
        <v>167</v>
      </c>
      <c r="C187" s="12" t="s">
        <v>503</v>
      </c>
      <c r="D187" s="165" t="s">
        <v>504</v>
      </c>
      <c r="E187" s="14" t="s">
        <v>215</v>
      </c>
      <c r="F187" s="1">
        <v>6822</v>
      </c>
      <c r="G187" s="1">
        <v>7025</v>
      </c>
      <c r="H187" s="1">
        <v>5915</v>
      </c>
      <c r="I187" s="16">
        <v>9695</v>
      </c>
      <c r="J187" s="15">
        <f t="shared" si="6"/>
        <v>29457</v>
      </c>
      <c r="K187" s="1"/>
      <c r="L187" s="1"/>
      <c r="M187" s="1"/>
      <c r="N187" s="16"/>
      <c r="O187" s="15">
        <f t="shared" si="7"/>
        <v>0</v>
      </c>
      <c r="P187" s="1"/>
      <c r="Q187" s="1"/>
      <c r="R187" s="1"/>
      <c r="S187" s="15"/>
      <c r="T187" s="15">
        <f t="shared" si="8"/>
        <v>0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2"/>
      <c r="BX187" s="2"/>
      <c r="BY187" s="1"/>
      <c r="BZ187" s="1"/>
      <c r="CA187" s="22"/>
      <c r="CB187" s="22"/>
      <c r="CC187" s="22"/>
      <c r="CD187" s="1"/>
      <c r="CE187" s="1"/>
      <c r="CF187" s="1"/>
      <c r="CG187" s="1"/>
      <c r="CH187" s="1"/>
      <c r="CI187" s="2"/>
      <c r="CJ187" s="2"/>
      <c r="CK187" s="1"/>
      <c r="CL187" s="1"/>
      <c r="CM187" s="1"/>
      <c r="CN187" s="2"/>
      <c r="CO187" s="24"/>
      <c r="CP187" s="2"/>
      <c r="CQ187" s="1"/>
      <c r="CR187" s="1"/>
      <c r="CS187" s="1"/>
      <c r="CT187" s="1"/>
      <c r="CU187" s="2"/>
      <c r="CV187" s="1"/>
      <c r="CW187" s="1"/>
      <c r="CX187" s="1"/>
      <c r="CY187" s="1"/>
      <c r="CZ187" s="1"/>
      <c r="DA187" s="1"/>
      <c r="DB187" s="1"/>
      <c r="DC187" s="2"/>
      <c r="DD187" s="1"/>
      <c r="DE187" s="2"/>
    </row>
    <row r="188" spans="1:109" ht="12.75">
      <c r="A188" s="1" t="s">
        <v>382</v>
      </c>
      <c r="B188" s="9" t="s">
        <v>167</v>
      </c>
      <c r="C188" s="12" t="s">
        <v>505</v>
      </c>
      <c r="D188" s="165" t="s">
        <v>506</v>
      </c>
      <c r="E188" s="14" t="s">
        <v>215</v>
      </c>
      <c r="F188" s="1">
        <v>9207</v>
      </c>
      <c r="G188" s="1">
        <v>7846</v>
      </c>
      <c r="H188" s="1">
        <v>7166</v>
      </c>
      <c r="I188" s="16">
        <v>9368</v>
      </c>
      <c r="J188" s="15">
        <f t="shared" si="6"/>
        <v>33587</v>
      </c>
      <c r="K188" s="1"/>
      <c r="L188" s="1"/>
      <c r="M188" s="1"/>
      <c r="N188" s="16"/>
      <c r="O188" s="15">
        <f t="shared" si="7"/>
        <v>0</v>
      </c>
      <c r="P188" s="1"/>
      <c r="Q188" s="1"/>
      <c r="R188" s="1"/>
      <c r="S188" s="15"/>
      <c r="T188" s="15">
        <f t="shared" si="8"/>
        <v>0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2"/>
      <c r="BX188" s="2"/>
      <c r="BY188" s="1"/>
      <c r="BZ188" s="1"/>
      <c r="CA188" s="22"/>
      <c r="CB188" s="22"/>
      <c r="CC188" s="22"/>
      <c r="CD188" s="1"/>
      <c r="CE188" s="1"/>
      <c r="CF188" s="1"/>
      <c r="CG188" s="1"/>
      <c r="CH188" s="1"/>
      <c r="CI188" s="2"/>
      <c r="CJ188" s="2"/>
      <c r="CK188" s="1"/>
      <c r="CL188" s="1"/>
      <c r="CM188" s="1"/>
      <c r="CN188" s="2"/>
      <c r="CO188" s="24"/>
      <c r="CP188" s="2"/>
      <c r="CQ188" s="1"/>
      <c r="CR188" s="1"/>
      <c r="CS188" s="1"/>
      <c r="CT188" s="1"/>
      <c r="CU188" s="2"/>
      <c r="CV188" s="1"/>
      <c r="CW188" s="1"/>
      <c r="CX188" s="1"/>
      <c r="CY188" s="1"/>
      <c r="CZ188" s="1"/>
      <c r="DA188" s="1"/>
      <c r="DB188" s="1"/>
      <c r="DC188" s="2"/>
      <c r="DD188" s="1"/>
      <c r="DE188" s="2"/>
    </row>
    <row r="189" spans="1:109" ht="12.75">
      <c r="A189" s="1" t="s">
        <v>382</v>
      </c>
      <c r="B189" s="9" t="s">
        <v>167</v>
      </c>
      <c r="C189" s="12" t="s">
        <v>507</v>
      </c>
      <c r="D189" s="165" t="s">
        <v>508</v>
      </c>
      <c r="E189" s="14" t="s">
        <v>215</v>
      </c>
      <c r="F189" s="1">
        <v>12530</v>
      </c>
      <c r="G189" s="1">
        <v>11335</v>
      </c>
      <c r="H189" s="1">
        <v>10609</v>
      </c>
      <c r="I189" s="16">
        <v>13209</v>
      </c>
      <c r="J189" s="15">
        <f t="shared" si="6"/>
        <v>47683</v>
      </c>
      <c r="K189" s="1"/>
      <c r="L189" s="1"/>
      <c r="M189" s="1"/>
      <c r="N189" s="16"/>
      <c r="O189" s="15">
        <f t="shared" si="7"/>
        <v>0</v>
      </c>
      <c r="P189" s="1"/>
      <c r="Q189" s="1"/>
      <c r="R189" s="1"/>
      <c r="S189" s="15"/>
      <c r="T189" s="15">
        <f t="shared" si="8"/>
        <v>0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2"/>
      <c r="BX189" s="2"/>
      <c r="BY189" s="1"/>
      <c r="BZ189" s="1"/>
      <c r="CA189" s="22"/>
      <c r="CB189" s="22"/>
      <c r="CC189" s="22"/>
      <c r="CD189" s="1"/>
      <c r="CE189" s="1"/>
      <c r="CF189" s="1"/>
      <c r="CG189" s="1"/>
      <c r="CH189" s="1"/>
      <c r="CI189" s="2"/>
      <c r="CJ189" s="2"/>
      <c r="CK189" s="1"/>
      <c r="CL189" s="1"/>
      <c r="CM189" s="1"/>
      <c r="CN189" s="2"/>
      <c r="CO189" s="24"/>
      <c r="CP189" s="2"/>
      <c r="CQ189" s="1"/>
      <c r="CR189" s="1"/>
      <c r="CS189" s="1"/>
      <c r="CT189" s="1"/>
      <c r="CU189" s="2"/>
      <c r="CV189" s="1"/>
      <c r="CW189" s="1"/>
      <c r="CX189" s="1"/>
      <c r="CY189" s="1"/>
      <c r="CZ189" s="1"/>
      <c r="DA189" s="1"/>
      <c r="DB189" s="1"/>
      <c r="DC189" s="2"/>
      <c r="DD189" s="1"/>
      <c r="DE189" s="2"/>
    </row>
    <row r="190" spans="1:109" ht="12.75">
      <c r="A190" s="1" t="s">
        <v>382</v>
      </c>
      <c r="B190" s="9" t="s">
        <v>167</v>
      </c>
      <c r="C190" s="12" t="s">
        <v>509</v>
      </c>
      <c r="D190" s="165" t="s">
        <v>510</v>
      </c>
      <c r="E190" s="14" t="s">
        <v>215</v>
      </c>
      <c r="F190" s="1">
        <v>9502</v>
      </c>
      <c r="G190" s="1">
        <v>9051</v>
      </c>
      <c r="H190" s="1">
        <v>7242</v>
      </c>
      <c r="I190" s="16">
        <v>11378</v>
      </c>
      <c r="J190" s="15">
        <f t="shared" si="6"/>
        <v>37173</v>
      </c>
      <c r="K190" s="1"/>
      <c r="L190" s="1"/>
      <c r="M190" s="1"/>
      <c r="N190" s="16"/>
      <c r="O190" s="15">
        <f t="shared" si="7"/>
        <v>0</v>
      </c>
      <c r="P190" s="1"/>
      <c r="Q190" s="1"/>
      <c r="R190" s="1"/>
      <c r="S190" s="15"/>
      <c r="T190" s="15">
        <f t="shared" si="8"/>
        <v>0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2"/>
      <c r="BX190" s="2"/>
      <c r="BY190" s="1"/>
      <c r="BZ190" s="1"/>
      <c r="CA190" s="22"/>
      <c r="CB190" s="22"/>
      <c r="CC190" s="22"/>
      <c r="CD190" s="1"/>
      <c r="CE190" s="1"/>
      <c r="CF190" s="1"/>
      <c r="CG190" s="1"/>
      <c r="CH190" s="1"/>
      <c r="CI190" s="2"/>
      <c r="CJ190" s="2"/>
      <c r="CK190" s="1"/>
      <c r="CL190" s="1"/>
      <c r="CM190" s="1"/>
      <c r="CN190" s="2"/>
      <c r="CO190" s="24"/>
      <c r="CP190" s="2"/>
      <c r="CQ190" s="1"/>
      <c r="CR190" s="1"/>
      <c r="CS190" s="1"/>
      <c r="CT190" s="1"/>
      <c r="CU190" s="2"/>
      <c r="CV190" s="1"/>
      <c r="CW190" s="1"/>
      <c r="CX190" s="1"/>
      <c r="CY190" s="1"/>
      <c r="CZ190" s="1"/>
      <c r="DA190" s="1"/>
      <c r="DB190" s="1"/>
      <c r="DC190" s="2"/>
      <c r="DD190" s="1"/>
      <c r="DE190" s="2"/>
    </row>
    <row r="191" spans="1:109" ht="12.75">
      <c r="A191" s="1" t="s">
        <v>382</v>
      </c>
      <c r="B191" s="9" t="s">
        <v>167</v>
      </c>
      <c r="C191" s="12" t="s">
        <v>511</v>
      </c>
      <c r="D191" s="165" t="s">
        <v>512</v>
      </c>
      <c r="E191" s="14" t="s">
        <v>215</v>
      </c>
      <c r="F191" s="1">
        <v>6346</v>
      </c>
      <c r="G191" s="1">
        <v>6822</v>
      </c>
      <c r="H191" s="1">
        <v>5246</v>
      </c>
      <c r="I191" s="16">
        <v>7774</v>
      </c>
      <c r="J191" s="15">
        <f t="shared" si="6"/>
        <v>26188</v>
      </c>
      <c r="K191" s="1"/>
      <c r="L191" s="1"/>
      <c r="M191" s="1"/>
      <c r="N191" s="16"/>
      <c r="O191" s="15">
        <f t="shared" si="7"/>
        <v>0</v>
      </c>
      <c r="P191" s="1"/>
      <c r="Q191" s="1"/>
      <c r="R191" s="1"/>
      <c r="S191" s="15"/>
      <c r="T191" s="15">
        <f t="shared" si="8"/>
        <v>0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2"/>
      <c r="BX191" s="2"/>
      <c r="BY191" s="1"/>
      <c r="BZ191" s="1"/>
      <c r="CA191" s="22"/>
      <c r="CB191" s="22"/>
      <c r="CC191" s="22"/>
      <c r="CD191" s="1"/>
      <c r="CE191" s="1"/>
      <c r="CF191" s="1"/>
      <c r="CG191" s="1"/>
      <c r="CH191" s="1"/>
      <c r="CI191" s="2"/>
      <c r="CJ191" s="2"/>
      <c r="CK191" s="1"/>
      <c r="CL191" s="1"/>
      <c r="CM191" s="1"/>
      <c r="CN191" s="2"/>
      <c r="CO191" s="24"/>
      <c r="CP191" s="2"/>
      <c r="CQ191" s="1"/>
      <c r="CR191" s="1"/>
      <c r="CS191" s="1"/>
      <c r="CT191" s="1"/>
      <c r="CU191" s="2"/>
      <c r="CV191" s="1"/>
      <c r="CW191" s="1"/>
      <c r="CX191" s="1"/>
      <c r="CY191" s="1"/>
      <c r="CZ191" s="1"/>
      <c r="DA191" s="1"/>
      <c r="DB191" s="1"/>
      <c r="DC191" s="2"/>
      <c r="DD191" s="1"/>
      <c r="DE191" s="2"/>
    </row>
    <row r="192" spans="1:109" ht="12.75">
      <c r="A192" s="1" t="s">
        <v>382</v>
      </c>
      <c r="B192" s="9" t="s">
        <v>167</v>
      </c>
      <c r="C192" s="12" t="s">
        <v>513</v>
      </c>
      <c r="D192" s="165" t="s">
        <v>514</v>
      </c>
      <c r="E192" s="14" t="s">
        <v>305</v>
      </c>
      <c r="F192" s="13">
        <f>1876+12724</f>
        <v>14600</v>
      </c>
      <c r="G192" s="13">
        <f>1382+11929</f>
        <v>13311</v>
      </c>
      <c r="H192" s="13">
        <f>1097+3965</f>
        <v>5062</v>
      </c>
      <c r="I192" s="18">
        <v>14116</v>
      </c>
      <c r="J192" s="15">
        <f t="shared" si="6"/>
        <v>47089</v>
      </c>
      <c r="K192" s="17"/>
      <c r="L192" s="1"/>
      <c r="M192" s="1"/>
      <c r="N192" s="16"/>
      <c r="O192" s="15">
        <f t="shared" si="7"/>
        <v>0</v>
      </c>
      <c r="P192" s="13">
        <f>1015+36134</f>
        <v>37149</v>
      </c>
      <c r="Q192" s="13">
        <f>1223+35097</f>
        <v>36320</v>
      </c>
      <c r="R192" s="13">
        <f>658+17640</f>
        <v>18298</v>
      </c>
      <c r="S192" s="18">
        <v>37731</v>
      </c>
      <c r="T192" s="15">
        <f t="shared" si="8"/>
        <v>129498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2"/>
      <c r="BX192" s="2"/>
      <c r="BY192" s="1"/>
      <c r="BZ192" s="1"/>
      <c r="CA192" s="22"/>
      <c r="CB192" s="22"/>
      <c r="CC192" s="22"/>
      <c r="CD192" s="1"/>
      <c r="CE192" s="1"/>
      <c r="CF192" s="1"/>
      <c r="CG192" s="1"/>
      <c r="CH192" s="1"/>
      <c r="CI192" s="2"/>
      <c r="CJ192" s="2"/>
      <c r="CK192" s="1"/>
      <c r="CL192" s="1"/>
      <c r="CM192" s="1"/>
      <c r="CN192" s="2"/>
      <c r="CO192" s="24"/>
      <c r="CP192" s="2"/>
      <c r="CQ192" s="1"/>
      <c r="CR192" s="1"/>
      <c r="CS192" s="1"/>
      <c r="CT192" s="1"/>
      <c r="CU192" s="2"/>
      <c r="CV192" s="1"/>
      <c r="CW192" s="1"/>
      <c r="CX192" s="1"/>
      <c r="CY192" s="1"/>
      <c r="CZ192" s="1"/>
      <c r="DA192" s="1"/>
      <c r="DB192" s="1"/>
      <c r="DC192" s="2"/>
      <c r="DD192" s="1"/>
      <c r="DE192" s="2"/>
    </row>
    <row r="193" spans="1:109" ht="12.75">
      <c r="A193" s="1" t="s">
        <v>382</v>
      </c>
      <c r="B193" s="9" t="s">
        <v>167</v>
      </c>
      <c r="C193" s="12" t="s">
        <v>515</v>
      </c>
      <c r="D193" s="165" t="s">
        <v>516</v>
      </c>
      <c r="E193" s="14" t="s">
        <v>305</v>
      </c>
      <c r="F193" s="13">
        <f>24983+15673</f>
        <v>40656</v>
      </c>
      <c r="G193" s="13">
        <f>22475+15350</f>
        <v>37825</v>
      </c>
      <c r="H193" s="13">
        <f>9948+7608</f>
        <v>17556</v>
      </c>
      <c r="I193" s="18">
        <v>41061</v>
      </c>
      <c r="J193" s="15">
        <f t="shared" si="6"/>
        <v>137098</v>
      </c>
      <c r="K193" s="17"/>
      <c r="L193" s="1"/>
      <c r="M193" s="1"/>
      <c r="N193" s="16"/>
      <c r="O193" s="15">
        <f t="shared" si="7"/>
        <v>0</v>
      </c>
      <c r="P193" s="13">
        <v>3325</v>
      </c>
      <c r="Q193" s="13">
        <v>3438</v>
      </c>
      <c r="R193" s="13">
        <v>2459</v>
      </c>
      <c r="S193" s="18">
        <v>3728</v>
      </c>
      <c r="T193" s="15">
        <f t="shared" si="8"/>
        <v>12950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2"/>
      <c r="BX193" s="2"/>
      <c r="BY193" s="1"/>
      <c r="BZ193" s="1"/>
      <c r="CA193" s="22"/>
      <c r="CB193" s="22"/>
      <c r="CC193" s="22"/>
      <c r="CD193" s="1"/>
      <c r="CE193" s="1"/>
      <c r="CF193" s="1"/>
      <c r="CG193" s="1"/>
      <c r="CH193" s="1"/>
      <c r="CI193" s="2"/>
      <c r="CJ193" s="2"/>
      <c r="CK193" s="1"/>
      <c r="CL193" s="1"/>
      <c r="CM193" s="1"/>
      <c r="CN193" s="2"/>
      <c r="CO193" s="24"/>
      <c r="CP193" s="2"/>
      <c r="CQ193" s="1"/>
      <c r="CR193" s="1"/>
      <c r="CS193" s="1"/>
      <c r="CT193" s="1"/>
      <c r="CU193" s="2"/>
      <c r="CV193" s="1"/>
      <c r="CW193" s="1"/>
      <c r="CX193" s="1"/>
      <c r="CY193" s="1"/>
      <c r="CZ193" s="1"/>
      <c r="DA193" s="1"/>
      <c r="DB193" s="1"/>
      <c r="DC193" s="2"/>
      <c r="DD193" s="1"/>
      <c r="DE193" s="2"/>
    </row>
    <row r="194" spans="1:109" ht="12.75">
      <c r="A194" s="1" t="s">
        <v>517</v>
      </c>
      <c r="B194" s="9" t="s">
        <v>128</v>
      </c>
      <c r="C194" s="12" t="s">
        <v>518</v>
      </c>
      <c r="D194" s="165" t="s">
        <v>519</v>
      </c>
      <c r="E194" s="14" t="s">
        <v>131</v>
      </c>
      <c r="F194" s="12"/>
      <c r="G194" s="13">
        <v>208335</v>
      </c>
      <c r="H194" s="13">
        <v>26506</v>
      </c>
      <c r="I194" s="18">
        <v>226548</v>
      </c>
      <c r="J194" s="15">
        <f t="shared" si="6"/>
        <v>461389</v>
      </c>
      <c r="K194" s="1"/>
      <c r="L194" s="1"/>
      <c r="M194" s="1"/>
      <c r="N194" s="16"/>
      <c r="O194" s="15">
        <f t="shared" si="7"/>
        <v>0</v>
      </c>
      <c r="P194" s="1"/>
      <c r="Q194" s="12">
        <v>34129</v>
      </c>
      <c r="R194" s="12">
        <v>8425</v>
      </c>
      <c r="S194" s="15">
        <v>35824</v>
      </c>
      <c r="T194" s="15">
        <f t="shared" si="8"/>
        <v>78378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2"/>
      <c r="BX194" s="2"/>
      <c r="BY194" s="1"/>
      <c r="BZ194" s="1"/>
      <c r="CA194" s="22"/>
      <c r="CB194" s="22"/>
      <c r="CC194" s="22"/>
      <c r="CD194" s="1"/>
      <c r="CE194" s="1"/>
      <c r="CF194" s="1"/>
      <c r="CG194" s="1"/>
      <c r="CH194" s="1"/>
      <c r="CI194" s="2"/>
      <c r="CJ194" s="2"/>
      <c r="CK194" s="1"/>
      <c r="CL194" s="1"/>
      <c r="CM194" s="1"/>
      <c r="CN194" s="2"/>
      <c r="CO194" s="24"/>
      <c r="CP194" s="2"/>
      <c r="CQ194" s="1"/>
      <c r="CR194" s="1"/>
      <c r="CS194" s="1"/>
      <c r="CT194" s="1"/>
      <c r="CU194" s="2"/>
      <c r="CV194" s="1"/>
      <c r="CW194" s="1"/>
      <c r="CX194" s="1"/>
      <c r="CY194" s="1"/>
      <c r="CZ194" s="1"/>
      <c r="DA194" s="1"/>
      <c r="DB194" s="1"/>
      <c r="DC194" s="2"/>
      <c r="DD194" s="1"/>
      <c r="DE194" s="2"/>
    </row>
    <row r="195" spans="1:109" ht="12.75">
      <c r="A195" s="1" t="s">
        <v>517</v>
      </c>
      <c r="B195" s="9" t="s">
        <v>128</v>
      </c>
      <c r="C195" s="12" t="s">
        <v>520</v>
      </c>
      <c r="D195" s="165" t="s">
        <v>521</v>
      </c>
      <c r="E195" s="14" t="s">
        <v>136</v>
      </c>
      <c r="F195" s="12"/>
      <c r="G195" s="12">
        <v>146730</v>
      </c>
      <c r="H195" s="12">
        <v>35466</v>
      </c>
      <c r="I195" s="18">
        <v>158210</v>
      </c>
      <c r="J195" s="15">
        <f t="shared" si="6"/>
        <v>340406</v>
      </c>
      <c r="K195" s="1"/>
      <c r="L195" s="1"/>
      <c r="M195" s="1"/>
      <c r="N195" s="16"/>
      <c r="O195" s="15">
        <f t="shared" si="7"/>
        <v>0</v>
      </c>
      <c r="P195" s="1"/>
      <c r="Q195" s="12">
        <v>27505</v>
      </c>
      <c r="R195" s="12">
        <v>11570</v>
      </c>
      <c r="S195" s="15">
        <v>29366</v>
      </c>
      <c r="T195" s="15">
        <f t="shared" si="8"/>
        <v>68441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2"/>
      <c r="BX195" s="2"/>
      <c r="BY195" s="1"/>
      <c r="BZ195" s="1"/>
      <c r="CA195" s="22"/>
      <c r="CB195" s="22"/>
      <c r="CC195" s="22"/>
      <c r="CD195" s="1"/>
      <c r="CE195" s="1"/>
      <c r="CF195" s="1"/>
      <c r="CG195" s="1"/>
      <c r="CH195" s="1"/>
      <c r="CI195" s="2"/>
      <c r="CJ195" s="2"/>
      <c r="CK195" s="1"/>
      <c r="CL195" s="1"/>
      <c r="CM195" s="1"/>
      <c r="CN195" s="2"/>
      <c r="CO195" s="24"/>
      <c r="CP195" s="2"/>
      <c r="CQ195" s="1"/>
      <c r="CR195" s="1"/>
      <c r="CS195" s="1"/>
      <c r="CT195" s="1"/>
      <c r="CU195" s="2"/>
      <c r="CV195" s="1"/>
      <c r="CW195" s="1"/>
      <c r="CX195" s="1"/>
      <c r="CY195" s="1"/>
      <c r="CZ195" s="1"/>
      <c r="DA195" s="1"/>
      <c r="DB195" s="1"/>
      <c r="DC195" s="2"/>
      <c r="DD195" s="1"/>
      <c r="DE195" s="2"/>
    </row>
    <row r="196" spans="1:109" ht="12.75">
      <c r="A196" s="1" t="s">
        <v>517</v>
      </c>
      <c r="B196" s="9" t="s">
        <v>128</v>
      </c>
      <c r="C196" s="12" t="s">
        <v>522</v>
      </c>
      <c r="D196" s="165" t="s">
        <v>523</v>
      </c>
      <c r="E196" s="14" t="s">
        <v>139</v>
      </c>
      <c r="F196" s="12"/>
      <c r="G196" s="12">
        <v>166296</v>
      </c>
      <c r="H196" s="12">
        <v>22255</v>
      </c>
      <c r="I196" s="18">
        <v>177103</v>
      </c>
      <c r="J196" s="15">
        <f t="shared" si="6"/>
        <v>365654</v>
      </c>
      <c r="K196" s="1"/>
      <c r="L196" s="1"/>
      <c r="M196" s="1"/>
      <c r="N196" s="16"/>
      <c r="O196" s="15">
        <f t="shared" si="7"/>
        <v>0</v>
      </c>
      <c r="P196" s="1"/>
      <c r="Q196" s="12">
        <v>11260</v>
      </c>
      <c r="R196" s="12">
        <v>7328</v>
      </c>
      <c r="S196" s="15">
        <v>11549</v>
      </c>
      <c r="T196" s="15">
        <f t="shared" si="8"/>
        <v>30137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2"/>
      <c r="BX196" s="2"/>
      <c r="BY196" s="1"/>
      <c r="BZ196" s="1"/>
      <c r="CA196" s="22"/>
      <c r="CB196" s="22"/>
      <c r="CC196" s="22"/>
      <c r="CD196" s="1"/>
      <c r="CE196" s="1"/>
      <c r="CF196" s="1"/>
      <c r="CG196" s="1"/>
      <c r="CH196" s="1"/>
      <c r="CI196" s="2"/>
      <c r="CJ196" s="2"/>
      <c r="CK196" s="1"/>
      <c r="CL196" s="1"/>
      <c r="CM196" s="1"/>
      <c r="CN196" s="2"/>
      <c r="CO196" s="24"/>
      <c r="CP196" s="2"/>
      <c r="CQ196" s="1"/>
      <c r="CR196" s="1"/>
      <c r="CS196" s="1"/>
      <c r="CT196" s="1"/>
      <c r="CU196" s="2"/>
      <c r="CV196" s="1"/>
      <c r="CW196" s="1"/>
      <c r="CX196" s="1"/>
      <c r="CY196" s="1"/>
      <c r="CZ196" s="1"/>
      <c r="DA196" s="1"/>
      <c r="DB196" s="1"/>
      <c r="DC196" s="2"/>
      <c r="DD196" s="1"/>
      <c r="DE196" s="2"/>
    </row>
    <row r="197" spans="1:109" ht="12.75">
      <c r="A197" s="1" t="s">
        <v>517</v>
      </c>
      <c r="B197" s="9" t="s">
        <v>128</v>
      </c>
      <c r="C197" s="12" t="s">
        <v>524</v>
      </c>
      <c r="D197" s="165" t="s">
        <v>525</v>
      </c>
      <c r="E197" s="14" t="s">
        <v>139</v>
      </c>
      <c r="F197" s="12"/>
      <c r="G197" s="12">
        <v>87246</v>
      </c>
      <c r="H197" s="12">
        <v>9603</v>
      </c>
      <c r="I197" s="18">
        <v>94575</v>
      </c>
      <c r="J197" s="15">
        <f t="shared" si="6"/>
        <v>191424</v>
      </c>
      <c r="K197" s="1"/>
      <c r="L197" s="1"/>
      <c r="M197" s="1"/>
      <c r="N197" s="16"/>
      <c r="O197" s="15">
        <f t="shared" si="7"/>
        <v>0</v>
      </c>
      <c r="P197" s="1"/>
      <c r="Q197" s="12">
        <v>8524</v>
      </c>
      <c r="R197" s="12">
        <v>4718</v>
      </c>
      <c r="S197" s="15">
        <v>8842</v>
      </c>
      <c r="T197" s="15">
        <f t="shared" si="8"/>
        <v>22084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2"/>
      <c r="BX197" s="2"/>
      <c r="BY197" s="1"/>
      <c r="BZ197" s="1"/>
      <c r="CA197" s="22"/>
      <c r="CB197" s="22"/>
      <c r="CC197" s="22"/>
      <c r="CD197" s="1"/>
      <c r="CE197" s="1"/>
      <c r="CF197" s="1"/>
      <c r="CG197" s="1"/>
      <c r="CH197" s="1"/>
      <c r="CI197" s="2"/>
      <c r="CJ197" s="2"/>
      <c r="CK197" s="1"/>
      <c r="CL197" s="1"/>
      <c r="CM197" s="1"/>
      <c r="CN197" s="2"/>
      <c r="CO197" s="24"/>
      <c r="CP197" s="2"/>
      <c r="CQ197" s="1"/>
      <c r="CR197" s="1"/>
      <c r="CS197" s="1"/>
      <c r="CT197" s="1"/>
      <c r="CU197" s="2"/>
      <c r="CV197" s="1"/>
      <c r="CW197" s="1"/>
      <c r="CX197" s="1"/>
      <c r="CY197" s="1"/>
      <c r="CZ197" s="1"/>
      <c r="DA197" s="1"/>
      <c r="DB197" s="1"/>
      <c r="DC197" s="2"/>
      <c r="DD197" s="1"/>
      <c r="DE197" s="2"/>
    </row>
    <row r="198" spans="1:109" ht="12.75">
      <c r="A198" s="1" t="s">
        <v>517</v>
      </c>
      <c r="B198" s="9" t="s">
        <v>128</v>
      </c>
      <c r="C198" s="12" t="s">
        <v>526</v>
      </c>
      <c r="D198" s="165" t="s">
        <v>527</v>
      </c>
      <c r="E198" s="14" t="s">
        <v>139</v>
      </c>
      <c r="F198" s="12"/>
      <c r="G198" s="13">
        <v>151004</v>
      </c>
      <c r="H198" s="13">
        <v>19492</v>
      </c>
      <c r="I198" s="18">
        <v>162404</v>
      </c>
      <c r="J198" s="15">
        <f aca="true" t="shared" si="9" ref="J198:J261">SUM(F198:I198)</f>
        <v>332900</v>
      </c>
      <c r="K198" s="1"/>
      <c r="L198" s="1"/>
      <c r="M198" s="1"/>
      <c r="N198" s="16"/>
      <c r="O198" s="15">
        <f aca="true" t="shared" si="10" ref="O198:O261">SUM(K198:N198)</f>
        <v>0</v>
      </c>
      <c r="P198" s="1"/>
      <c r="Q198" s="12">
        <v>11170</v>
      </c>
      <c r="R198" s="12">
        <v>10692</v>
      </c>
      <c r="S198" s="15">
        <v>11530</v>
      </c>
      <c r="T198" s="15">
        <f aca="true" t="shared" si="11" ref="T198:T261">SUM(P198:S198)</f>
        <v>33392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2"/>
      <c r="BX198" s="2"/>
      <c r="BY198" s="1"/>
      <c r="BZ198" s="1"/>
      <c r="CA198" s="22"/>
      <c r="CB198" s="22"/>
      <c r="CC198" s="22"/>
      <c r="CD198" s="1"/>
      <c r="CE198" s="1"/>
      <c r="CF198" s="1"/>
      <c r="CG198" s="1"/>
      <c r="CH198" s="1"/>
      <c r="CI198" s="2"/>
      <c r="CJ198" s="2"/>
      <c r="CK198" s="1"/>
      <c r="CL198" s="1"/>
      <c r="CM198" s="1"/>
      <c r="CN198" s="2"/>
      <c r="CO198" s="24"/>
      <c r="CP198" s="2"/>
      <c r="CQ198" s="1"/>
      <c r="CR198" s="1"/>
      <c r="CS198" s="1"/>
      <c r="CT198" s="1"/>
      <c r="CU198" s="2"/>
      <c r="CV198" s="1"/>
      <c r="CW198" s="1"/>
      <c r="CX198" s="1"/>
      <c r="CY198" s="1"/>
      <c r="CZ198" s="1"/>
      <c r="DA198" s="1"/>
      <c r="DB198" s="1"/>
      <c r="DC198" s="2"/>
      <c r="DD198" s="1"/>
      <c r="DE198" s="2"/>
    </row>
    <row r="199" spans="1:109" ht="12.75">
      <c r="A199" s="1" t="s">
        <v>517</v>
      </c>
      <c r="B199" s="9" t="s">
        <v>128</v>
      </c>
      <c r="C199" s="12" t="s">
        <v>528</v>
      </c>
      <c r="D199" s="165" t="s">
        <v>529</v>
      </c>
      <c r="E199" s="14" t="s">
        <v>148</v>
      </c>
      <c r="F199" s="12"/>
      <c r="G199" s="12">
        <v>87306</v>
      </c>
      <c r="H199" s="12">
        <v>13176</v>
      </c>
      <c r="I199" s="18">
        <v>93112</v>
      </c>
      <c r="J199" s="15">
        <f t="shared" si="9"/>
        <v>193594</v>
      </c>
      <c r="K199" s="1"/>
      <c r="L199" s="1"/>
      <c r="M199" s="1"/>
      <c r="N199" s="16"/>
      <c r="O199" s="15">
        <f t="shared" si="10"/>
        <v>0</v>
      </c>
      <c r="P199" s="1"/>
      <c r="Q199" s="12">
        <v>8117</v>
      </c>
      <c r="R199" s="12">
        <v>5836</v>
      </c>
      <c r="S199" s="15">
        <v>8019</v>
      </c>
      <c r="T199" s="15">
        <f t="shared" si="11"/>
        <v>21972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2"/>
      <c r="BX199" s="2"/>
      <c r="BY199" s="1"/>
      <c r="BZ199" s="1"/>
      <c r="CA199" s="22"/>
      <c r="CB199" s="22"/>
      <c r="CC199" s="22"/>
      <c r="CD199" s="1"/>
      <c r="CE199" s="1"/>
      <c r="CF199" s="1"/>
      <c r="CG199" s="1"/>
      <c r="CH199" s="1"/>
      <c r="CI199" s="2"/>
      <c r="CJ199" s="2"/>
      <c r="CK199" s="1"/>
      <c r="CL199" s="1"/>
      <c r="CM199" s="1"/>
      <c r="CN199" s="2"/>
      <c r="CO199" s="24"/>
      <c r="CP199" s="2"/>
      <c r="CQ199" s="1"/>
      <c r="CR199" s="1"/>
      <c r="CS199" s="1"/>
      <c r="CT199" s="1"/>
      <c r="CU199" s="2"/>
      <c r="CV199" s="1"/>
      <c r="CW199" s="1"/>
      <c r="CX199" s="1"/>
      <c r="CY199" s="1"/>
      <c r="CZ199" s="1"/>
      <c r="DA199" s="1"/>
      <c r="DB199" s="1"/>
      <c r="DC199" s="2"/>
      <c r="DD199" s="1"/>
      <c r="DE199" s="2"/>
    </row>
    <row r="200" spans="1:109" ht="12.75">
      <c r="A200" s="1" t="s">
        <v>517</v>
      </c>
      <c r="B200" s="9" t="s">
        <v>128</v>
      </c>
      <c r="C200" s="12" t="s">
        <v>530</v>
      </c>
      <c r="D200" s="165" t="s">
        <v>531</v>
      </c>
      <c r="E200" s="14" t="s">
        <v>157</v>
      </c>
      <c r="F200" s="12"/>
      <c r="G200" s="12">
        <v>111157</v>
      </c>
      <c r="H200" s="12">
        <v>15035</v>
      </c>
      <c r="I200" s="18">
        <v>119328</v>
      </c>
      <c r="J200" s="15">
        <f t="shared" si="9"/>
        <v>245520</v>
      </c>
      <c r="K200" s="1"/>
      <c r="L200" s="1"/>
      <c r="M200" s="1"/>
      <c r="N200" s="16"/>
      <c r="O200" s="15">
        <f t="shared" si="10"/>
        <v>0</v>
      </c>
      <c r="P200" s="1"/>
      <c r="Q200" s="12">
        <v>7758</v>
      </c>
      <c r="R200" s="12">
        <v>3497</v>
      </c>
      <c r="S200" s="15">
        <v>8147</v>
      </c>
      <c r="T200" s="15">
        <f t="shared" si="11"/>
        <v>19402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2"/>
      <c r="BX200" s="2"/>
      <c r="BY200" s="1"/>
      <c r="BZ200" s="1"/>
      <c r="CA200" s="22"/>
      <c r="CB200" s="22"/>
      <c r="CC200" s="22"/>
      <c r="CD200" s="1"/>
      <c r="CE200" s="1"/>
      <c r="CF200" s="1"/>
      <c r="CG200" s="1"/>
      <c r="CH200" s="1"/>
      <c r="CI200" s="2"/>
      <c r="CJ200" s="2"/>
      <c r="CK200" s="1"/>
      <c r="CL200" s="1"/>
      <c r="CM200" s="1"/>
      <c r="CN200" s="2"/>
      <c r="CO200" s="24"/>
      <c r="CP200" s="2"/>
      <c r="CQ200" s="1"/>
      <c r="CR200" s="1"/>
      <c r="CS200" s="1"/>
      <c r="CT200" s="1"/>
      <c r="CU200" s="2"/>
      <c r="CV200" s="1"/>
      <c r="CW200" s="1"/>
      <c r="CX200" s="1"/>
      <c r="CY200" s="1"/>
      <c r="CZ200" s="1"/>
      <c r="DA200" s="1"/>
      <c r="DB200" s="1"/>
      <c r="DC200" s="2"/>
      <c r="DD200" s="1"/>
      <c r="DE200" s="2"/>
    </row>
    <row r="201" spans="1:109" ht="12.75">
      <c r="A201" s="1" t="s">
        <v>517</v>
      </c>
      <c r="B201" s="9" t="s">
        <v>128</v>
      </c>
      <c r="C201" s="12" t="s">
        <v>532</v>
      </c>
      <c r="D201" s="165" t="s">
        <v>533</v>
      </c>
      <c r="E201" s="14" t="s">
        <v>166</v>
      </c>
      <c r="F201" s="12"/>
      <c r="G201" s="12">
        <v>28237</v>
      </c>
      <c r="H201" s="12">
        <v>4607</v>
      </c>
      <c r="I201" s="18">
        <v>29972</v>
      </c>
      <c r="J201" s="15">
        <f t="shared" si="9"/>
        <v>62816</v>
      </c>
      <c r="K201" s="1"/>
      <c r="L201" s="1"/>
      <c r="M201" s="1"/>
      <c r="N201" s="16"/>
      <c r="O201" s="15">
        <f t="shared" si="10"/>
        <v>0</v>
      </c>
      <c r="P201" s="1"/>
      <c r="Q201" s="12">
        <v>449</v>
      </c>
      <c r="R201" s="12">
        <v>225</v>
      </c>
      <c r="S201" s="15">
        <v>485</v>
      </c>
      <c r="T201" s="15">
        <f t="shared" si="11"/>
        <v>1159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2"/>
      <c r="BX201" s="2"/>
      <c r="BY201" s="1"/>
      <c r="BZ201" s="1"/>
      <c r="CA201" s="22"/>
      <c r="CB201" s="22"/>
      <c r="CC201" s="22"/>
      <c r="CD201" s="1"/>
      <c r="CE201" s="1"/>
      <c r="CF201" s="1"/>
      <c r="CG201" s="1"/>
      <c r="CH201" s="1"/>
      <c r="CI201" s="2"/>
      <c r="CJ201" s="2"/>
      <c r="CK201" s="1"/>
      <c r="CL201" s="1"/>
      <c r="CM201" s="1"/>
      <c r="CN201" s="2"/>
      <c r="CO201" s="24"/>
      <c r="CP201" s="2"/>
      <c r="CQ201" s="1"/>
      <c r="CR201" s="1"/>
      <c r="CS201" s="1"/>
      <c r="CT201" s="1"/>
      <c r="CU201" s="2"/>
      <c r="CV201" s="1"/>
      <c r="CW201" s="1"/>
      <c r="CX201" s="1"/>
      <c r="CY201" s="1"/>
      <c r="CZ201" s="1"/>
      <c r="DA201" s="1"/>
      <c r="DB201" s="1"/>
      <c r="DC201" s="2"/>
      <c r="DD201" s="1"/>
      <c r="DE201" s="2"/>
    </row>
    <row r="202" spans="1:109" ht="12.75">
      <c r="A202" s="1" t="s">
        <v>517</v>
      </c>
      <c r="B202" s="9" t="s">
        <v>128</v>
      </c>
      <c r="C202" s="12" t="s">
        <v>534</v>
      </c>
      <c r="D202" s="165" t="s">
        <v>535</v>
      </c>
      <c r="E202" s="14" t="s">
        <v>170</v>
      </c>
      <c r="F202" s="12"/>
      <c r="G202" s="12">
        <v>377842</v>
      </c>
      <c r="H202" s="12">
        <v>59056</v>
      </c>
      <c r="I202" s="18">
        <v>402324</v>
      </c>
      <c r="J202" s="15">
        <f t="shared" si="9"/>
        <v>839222</v>
      </c>
      <c r="K202" s="1"/>
      <c r="L202" s="1"/>
      <c r="M202" s="1"/>
      <c r="N202" s="16"/>
      <c r="O202" s="15">
        <f t="shared" si="10"/>
        <v>0</v>
      </c>
      <c r="P202" s="1"/>
      <c r="Q202" s="1"/>
      <c r="R202" s="1"/>
      <c r="S202" s="15"/>
      <c r="T202" s="15">
        <f t="shared" si="11"/>
        <v>0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2"/>
      <c r="BX202" s="2"/>
      <c r="BY202" s="1"/>
      <c r="BZ202" s="1"/>
      <c r="CA202" s="22"/>
      <c r="CB202" s="22"/>
      <c r="CC202" s="22"/>
      <c r="CD202" s="1"/>
      <c r="CE202" s="1"/>
      <c r="CF202" s="1"/>
      <c r="CG202" s="1"/>
      <c r="CH202" s="1"/>
      <c r="CI202" s="2"/>
      <c r="CJ202" s="2"/>
      <c r="CK202" s="1"/>
      <c r="CL202" s="1"/>
      <c r="CM202" s="1"/>
      <c r="CN202" s="2"/>
      <c r="CO202" s="24"/>
      <c r="CP202" s="2"/>
      <c r="CQ202" s="1"/>
      <c r="CR202" s="1"/>
      <c r="CS202" s="1"/>
      <c r="CT202" s="1"/>
      <c r="CU202" s="2"/>
      <c r="CV202" s="1"/>
      <c r="CW202" s="1"/>
      <c r="CX202" s="1"/>
      <c r="CY202" s="1"/>
      <c r="CZ202" s="1"/>
      <c r="DA202" s="1"/>
      <c r="DB202" s="1"/>
      <c r="DC202" s="1"/>
      <c r="DD202" s="1"/>
      <c r="DE202" s="2"/>
    </row>
    <row r="203" spans="1:109" ht="12.75">
      <c r="A203" s="1" t="s">
        <v>536</v>
      </c>
      <c r="B203" s="9" t="s">
        <v>128</v>
      </c>
      <c r="C203" s="12" t="s">
        <v>537</v>
      </c>
      <c r="D203" s="165" t="s">
        <v>538</v>
      </c>
      <c r="E203" s="20" t="s">
        <v>131</v>
      </c>
      <c r="F203" s="13" t="s">
        <v>306</v>
      </c>
      <c r="G203" s="13">
        <v>247508</v>
      </c>
      <c r="H203" s="13">
        <v>51250</v>
      </c>
      <c r="I203" s="18">
        <v>269156</v>
      </c>
      <c r="J203" s="15">
        <f t="shared" si="9"/>
        <v>567914</v>
      </c>
      <c r="K203" s="1"/>
      <c r="L203" s="1"/>
      <c r="M203" s="12" t="s">
        <v>306</v>
      </c>
      <c r="N203" s="18" t="s">
        <v>306</v>
      </c>
      <c r="O203" s="15">
        <f t="shared" si="10"/>
        <v>0</v>
      </c>
      <c r="P203" s="1"/>
      <c r="Q203" s="12">
        <v>40791</v>
      </c>
      <c r="R203" s="12">
        <v>16429</v>
      </c>
      <c r="S203" s="18">
        <v>43042</v>
      </c>
      <c r="T203" s="15">
        <f t="shared" si="11"/>
        <v>100262</v>
      </c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2"/>
      <c r="CJ203" s="2"/>
      <c r="CK203" s="1"/>
      <c r="CL203" s="1"/>
      <c r="CM203" s="1"/>
      <c r="CN203" s="2"/>
      <c r="CO203" s="24"/>
      <c r="CP203" s="2"/>
      <c r="CQ203" s="1"/>
      <c r="CR203" s="1"/>
      <c r="CS203" s="1"/>
      <c r="CT203" s="1"/>
      <c r="CU203" s="2"/>
      <c r="CV203" s="1"/>
      <c r="CW203" s="1"/>
      <c r="CX203" s="1"/>
      <c r="CY203" s="1"/>
      <c r="CZ203" s="1"/>
      <c r="DA203" s="1"/>
      <c r="DB203" s="1"/>
      <c r="DC203" s="2"/>
      <c r="DD203" s="1"/>
      <c r="DE203" s="2"/>
    </row>
    <row r="204" spans="1:107" ht="12.75">
      <c r="A204" s="1" t="s">
        <v>536</v>
      </c>
      <c r="B204" s="9" t="s">
        <v>128</v>
      </c>
      <c r="C204" s="12" t="s">
        <v>539</v>
      </c>
      <c r="D204" s="165" t="s">
        <v>540</v>
      </c>
      <c r="E204" s="20" t="s">
        <v>136</v>
      </c>
      <c r="F204" s="12"/>
      <c r="G204" s="13">
        <v>126482</v>
      </c>
      <c r="H204" s="13">
        <f>27743+7325</f>
        <v>35068</v>
      </c>
      <c r="I204" s="18">
        <f>114712+41347</f>
        <v>156059</v>
      </c>
      <c r="J204" s="15">
        <f t="shared" si="9"/>
        <v>317609</v>
      </c>
      <c r="K204" s="12"/>
      <c r="L204" s="12"/>
      <c r="M204" s="12"/>
      <c r="N204" s="18"/>
      <c r="O204" s="15">
        <f t="shared" si="10"/>
        <v>0</v>
      </c>
      <c r="P204" s="12"/>
      <c r="Q204" s="13">
        <v>20683</v>
      </c>
      <c r="R204" s="13">
        <v>9589</v>
      </c>
      <c r="S204" s="18">
        <v>21253</v>
      </c>
      <c r="T204" s="15">
        <f t="shared" si="11"/>
        <v>51525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2"/>
      <c r="CJ204" s="2"/>
      <c r="CK204" s="1"/>
      <c r="CL204" s="1"/>
      <c r="CM204" s="1"/>
      <c r="CN204" s="2"/>
      <c r="CO204" s="24"/>
      <c r="CP204" s="2"/>
      <c r="CQ204" s="1"/>
      <c r="CR204" s="1"/>
      <c r="CS204" s="1"/>
      <c r="CT204" s="1"/>
      <c r="CU204" s="2"/>
      <c r="CV204" s="1"/>
      <c r="CW204" s="1"/>
      <c r="CX204" s="1"/>
      <c r="CY204" s="1"/>
      <c r="CZ204" s="1"/>
      <c r="DA204" s="1"/>
      <c r="DB204" s="1"/>
      <c r="DC204" s="2"/>
    </row>
    <row r="205" spans="1:109" ht="12.75">
      <c r="A205" s="1" t="s">
        <v>536</v>
      </c>
      <c r="B205" s="9" t="s">
        <v>128</v>
      </c>
      <c r="C205" s="12" t="s">
        <v>541</v>
      </c>
      <c r="D205" s="165" t="s">
        <v>542</v>
      </c>
      <c r="E205" s="20" t="s">
        <v>136</v>
      </c>
      <c r="F205" s="1"/>
      <c r="G205" s="13">
        <v>181018</v>
      </c>
      <c r="H205" s="13">
        <v>33949</v>
      </c>
      <c r="I205" s="18">
        <v>194813</v>
      </c>
      <c r="J205" s="15">
        <f t="shared" si="9"/>
        <v>409780</v>
      </c>
      <c r="K205" s="1"/>
      <c r="L205" s="1"/>
      <c r="M205" s="1"/>
      <c r="N205" s="18"/>
      <c r="O205" s="15">
        <f t="shared" si="10"/>
        <v>0</v>
      </c>
      <c r="P205" s="1"/>
      <c r="Q205" s="13">
        <v>11568</v>
      </c>
      <c r="R205" s="13">
        <v>4865</v>
      </c>
      <c r="S205" s="18">
        <v>11667</v>
      </c>
      <c r="T205" s="15">
        <f t="shared" si="11"/>
        <v>28100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2"/>
      <c r="CJ205" s="2"/>
      <c r="CK205" s="1"/>
      <c r="CL205" s="1"/>
      <c r="CM205" s="1"/>
      <c r="CN205" s="2"/>
      <c r="CO205" s="24"/>
      <c r="CP205" s="2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2"/>
      <c r="DD205" s="1"/>
      <c r="DE205" s="2"/>
    </row>
    <row r="206" spans="1:20" ht="12.75">
      <c r="A206" s="1" t="s">
        <v>536</v>
      </c>
      <c r="B206" s="9" t="s">
        <v>128</v>
      </c>
      <c r="C206" s="12" t="s">
        <v>543</v>
      </c>
      <c r="D206" s="165" t="s">
        <v>544</v>
      </c>
      <c r="E206" s="20" t="s">
        <v>139</v>
      </c>
      <c r="F206" s="1"/>
      <c r="G206" s="13">
        <v>67600</v>
      </c>
      <c r="H206" s="13">
        <v>26239</v>
      </c>
      <c r="I206" s="18">
        <v>72563</v>
      </c>
      <c r="J206" s="15">
        <f t="shared" si="9"/>
        <v>166402</v>
      </c>
      <c r="K206" s="1"/>
      <c r="L206" s="1"/>
      <c r="M206" s="1"/>
      <c r="N206" s="18"/>
      <c r="O206" s="15">
        <f t="shared" si="10"/>
        <v>0</v>
      </c>
      <c r="P206" s="1"/>
      <c r="Q206" s="13">
        <v>8470</v>
      </c>
      <c r="R206" s="13">
        <v>4345</v>
      </c>
      <c r="S206" s="18">
        <v>9038</v>
      </c>
      <c r="T206" s="15">
        <f t="shared" si="11"/>
        <v>21853</v>
      </c>
    </row>
    <row r="207" spans="1:107" ht="12.75">
      <c r="A207" s="1" t="s">
        <v>536</v>
      </c>
      <c r="B207" s="9" t="s">
        <v>128</v>
      </c>
      <c r="C207" s="12" t="s">
        <v>545</v>
      </c>
      <c r="D207" s="165" t="s">
        <v>540</v>
      </c>
      <c r="E207" s="20" t="s">
        <v>139</v>
      </c>
      <c r="F207" s="1"/>
      <c r="G207" s="13">
        <v>91082</v>
      </c>
      <c r="H207" s="13">
        <v>11200</v>
      </c>
      <c r="I207" s="18">
        <v>100380</v>
      </c>
      <c r="J207" s="15">
        <f t="shared" si="9"/>
        <v>202662</v>
      </c>
      <c r="K207" s="1"/>
      <c r="L207" s="1"/>
      <c r="M207" s="1"/>
      <c r="N207" s="18"/>
      <c r="O207" s="15">
        <f t="shared" si="10"/>
        <v>0</v>
      </c>
      <c r="P207" s="1"/>
      <c r="Q207" s="13">
        <v>5832</v>
      </c>
      <c r="R207" s="13">
        <v>3925</v>
      </c>
      <c r="S207" s="18">
        <v>5435</v>
      </c>
      <c r="T207" s="15">
        <f t="shared" si="11"/>
        <v>15192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2"/>
      <c r="CJ207" s="2"/>
      <c r="CK207" s="1"/>
      <c r="CL207" s="1"/>
      <c r="CM207" s="1"/>
      <c r="CN207" s="2"/>
      <c r="CO207" s="24"/>
      <c r="CP207" s="2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2"/>
    </row>
    <row r="208" spans="1:109" ht="12.75">
      <c r="A208" s="1" t="s">
        <v>536</v>
      </c>
      <c r="B208" s="9" t="s">
        <v>128</v>
      </c>
      <c r="C208" s="12" t="s">
        <v>546</v>
      </c>
      <c r="D208" s="165" t="s">
        <v>547</v>
      </c>
      <c r="E208" s="20" t="s">
        <v>139</v>
      </c>
      <c r="F208" s="13" t="s">
        <v>306</v>
      </c>
      <c r="G208" s="13">
        <v>144270</v>
      </c>
      <c r="H208" s="13">
        <v>32887</v>
      </c>
      <c r="I208" s="18">
        <v>144191</v>
      </c>
      <c r="J208" s="15">
        <f t="shared" si="9"/>
        <v>321348</v>
      </c>
      <c r="K208" s="1"/>
      <c r="L208" s="1"/>
      <c r="M208" s="1"/>
      <c r="N208" s="18"/>
      <c r="O208" s="15">
        <f t="shared" si="10"/>
        <v>0</v>
      </c>
      <c r="P208" s="1"/>
      <c r="Q208" s="13">
        <v>10891</v>
      </c>
      <c r="R208" s="13">
        <v>6915</v>
      </c>
      <c r="S208" s="18">
        <v>9118</v>
      </c>
      <c r="T208" s="15">
        <f t="shared" si="11"/>
        <v>26924</v>
      </c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2"/>
      <c r="CJ208" s="2"/>
      <c r="CK208" s="1"/>
      <c r="CL208" s="1"/>
      <c r="CM208" s="1"/>
      <c r="CN208" s="2"/>
      <c r="CO208" s="24"/>
      <c r="CP208" s="2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2"/>
      <c r="DD208" s="1"/>
      <c r="DE208" s="2"/>
    </row>
    <row r="209" spans="1:109" ht="12.75">
      <c r="A209" s="1" t="s">
        <v>536</v>
      </c>
      <c r="B209" s="9" t="s">
        <v>128</v>
      </c>
      <c r="C209" s="12" t="s">
        <v>548</v>
      </c>
      <c r="D209" s="165" t="s">
        <v>549</v>
      </c>
      <c r="E209" s="20" t="s">
        <v>139</v>
      </c>
      <c r="F209" s="1"/>
      <c r="G209" s="13">
        <v>117466</v>
      </c>
      <c r="H209" s="13">
        <f>18143+6841</f>
        <v>24984</v>
      </c>
      <c r="I209" s="18">
        <f>98084+44997</f>
        <v>143081</v>
      </c>
      <c r="J209" s="15">
        <f t="shared" si="9"/>
        <v>285531</v>
      </c>
      <c r="K209" s="1"/>
      <c r="L209" s="1"/>
      <c r="M209" s="1"/>
      <c r="N209" s="18"/>
      <c r="O209" s="15">
        <f t="shared" si="10"/>
        <v>0</v>
      </c>
      <c r="P209" s="1"/>
      <c r="Q209" s="13">
        <v>6749</v>
      </c>
      <c r="R209" s="13">
        <f>3772+710</f>
        <v>4482</v>
      </c>
      <c r="S209" s="18">
        <f>6670+4829</f>
        <v>11499</v>
      </c>
      <c r="T209" s="15">
        <f t="shared" si="11"/>
        <v>22730</v>
      </c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2"/>
      <c r="CO209" s="24"/>
      <c r="CP209" s="2"/>
      <c r="CQ209" s="1"/>
      <c r="CR209" s="1"/>
      <c r="CS209" s="1"/>
      <c r="CT209" s="1"/>
      <c r="CU209" s="2"/>
      <c r="CV209" s="1"/>
      <c r="CW209" s="1"/>
      <c r="CX209" s="1"/>
      <c r="CY209" s="1"/>
      <c r="CZ209" s="1"/>
      <c r="DA209" s="1"/>
      <c r="DB209" s="1"/>
      <c r="DC209" s="1"/>
      <c r="DD209" s="1"/>
      <c r="DE209" s="2"/>
    </row>
    <row r="210" spans="1:109" ht="12.75">
      <c r="A210" s="1" t="s">
        <v>536</v>
      </c>
      <c r="B210" s="9" t="s">
        <v>128</v>
      </c>
      <c r="C210" s="12" t="s">
        <v>550</v>
      </c>
      <c r="D210" s="165" t="s">
        <v>551</v>
      </c>
      <c r="E210" s="20" t="s">
        <v>148</v>
      </c>
      <c r="F210" s="1"/>
      <c r="G210" s="13">
        <v>97570</v>
      </c>
      <c r="H210" s="13">
        <f>14651+4000</f>
        <v>18651</v>
      </c>
      <c r="I210" s="18">
        <f>73033+24370</f>
        <v>97403</v>
      </c>
      <c r="J210" s="15">
        <f t="shared" si="9"/>
        <v>213624</v>
      </c>
      <c r="K210" s="1"/>
      <c r="L210" s="1"/>
      <c r="M210" s="1"/>
      <c r="N210" s="18"/>
      <c r="O210" s="15">
        <f t="shared" si="10"/>
        <v>0</v>
      </c>
      <c r="P210" s="1"/>
      <c r="Q210" s="13">
        <v>6535</v>
      </c>
      <c r="R210" s="13">
        <v>2361</v>
      </c>
      <c r="S210" s="18">
        <v>5750</v>
      </c>
      <c r="T210" s="15">
        <f t="shared" si="11"/>
        <v>14646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2"/>
      <c r="CJ210" s="2"/>
      <c r="CK210" s="2"/>
      <c r="CL210" s="1"/>
      <c r="CM210" s="1"/>
      <c r="CN210" s="2"/>
      <c r="CO210" s="24"/>
      <c r="CP210" s="2"/>
      <c r="CQ210" s="1"/>
      <c r="CR210" s="1"/>
      <c r="CS210" s="1"/>
      <c r="CT210" s="1"/>
      <c r="CU210" s="2"/>
      <c r="CV210" s="1"/>
      <c r="CW210" s="1"/>
      <c r="CX210" s="1"/>
      <c r="CY210" s="1"/>
      <c r="CZ210" s="1"/>
      <c r="DA210" s="1"/>
      <c r="DB210" s="1"/>
      <c r="DC210" s="2"/>
      <c r="DD210" s="1"/>
      <c r="DE210" s="2"/>
    </row>
    <row r="211" spans="1:107" ht="12.75">
      <c r="A211" s="1" t="s">
        <v>536</v>
      </c>
      <c r="B211" s="9" t="s">
        <v>128</v>
      </c>
      <c r="C211" s="12" t="s">
        <v>552</v>
      </c>
      <c r="D211" s="165" t="s">
        <v>553</v>
      </c>
      <c r="E211" s="20" t="s">
        <v>148</v>
      </c>
      <c r="F211" s="1"/>
      <c r="G211" s="13">
        <v>109587</v>
      </c>
      <c r="H211" s="13">
        <v>24362</v>
      </c>
      <c r="I211" s="18">
        <v>112208</v>
      </c>
      <c r="J211" s="15">
        <f t="shared" si="9"/>
        <v>246157</v>
      </c>
      <c r="K211" s="1"/>
      <c r="L211" s="1"/>
      <c r="M211" s="1"/>
      <c r="N211" s="18"/>
      <c r="O211" s="15">
        <f t="shared" si="10"/>
        <v>0</v>
      </c>
      <c r="P211" s="1"/>
      <c r="Q211" s="13">
        <v>3765</v>
      </c>
      <c r="R211" s="13">
        <v>6537</v>
      </c>
      <c r="S211" s="18">
        <v>5548</v>
      </c>
      <c r="T211" s="15">
        <f t="shared" si="11"/>
        <v>15850</v>
      </c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2"/>
      <c r="CO211" s="1"/>
      <c r="CP211" s="1"/>
      <c r="CQ211" s="1"/>
      <c r="CR211" s="1"/>
      <c r="CS211" s="1"/>
      <c r="CT211" s="1"/>
      <c r="CU211" s="2"/>
      <c r="CV211" s="1"/>
      <c r="CW211" s="1"/>
      <c r="CX211" s="1"/>
      <c r="CY211" s="1"/>
      <c r="CZ211" s="1"/>
      <c r="DA211" s="1"/>
      <c r="DB211" s="1"/>
      <c r="DC211" s="2"/>
    </row>
    <row r="212" spans="1:107" ht="12.75">
      <c r="A212" s="1" t="s">
        <v>536</v>
      </c>
      <c r="B212" s="9" t="s">
        <v>128</v>
      </c>
      <c r="C212" s="12" t="s">
        <v>554</v>
      </c>
      <c r="D212" s="165" t="s">
        <v>555</v>
      </c>
      <c r="E212" s="20" t="s">
        <v>148</v>
      </c>
      <c r="F212" s="1"/>
      <c r="G212" s="13">
        <v>163699</v>
      </c>
      <c r="H212" s="13">
        <v>23664</v>
      </c>
      <c r="I212" s="18">
        <v>172048</v>
      </c>
      <c r="J212" s="15">
        <f t="shared" si="9"/>
        <v>359411</v>
      </c>
      <c r="K212" s="1"/>
      <c r="L212" s="1"/>
      <c r="M212" s="1"/>
      <c r="N212" s="18"/>
      <c r="O212" s="15">
        <f t="shared" si="10"/>
        <v>0</v>
      </c>
      <c r="P212" s="1"/>
      <c r="Q212" s="13">
        <v>7126</v>
      </c>
      <c r="R212" s="13">
        <v>4469</v>
      </c>
      <c r="S212" s="18">
        <v>7093</v>
      </c>
      <c r="T212" s="15">
        <f t="shared" si="11"/>
        <v>18688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2"/>
      <c r="CO212" s="1"/>
      <c r="CP212" s="1"/>
      <c r="CQ212" s="1"/>
      <c r="CR212" s="1"/>
      <c r="CS212" s="1"/>
      <c r="CT212" s="1"/>
      <c r="CU212" s="2"/>
      <c r="CV212" s="1"/>
      <c r="CW212" s="1"/>
      <c r="CX212" s="1"/>
      <c r="CY212" s="1"/>
      <c r="CZ212" s="1"/>
      <c r="DA212" s="1"/>
      <c r="DB212" s="1"/>
      <c r="DC212" s="2"/>
    </row>
    <row r="213" spans="1:107" ht="12.75">
      <c r="A213" s="1" t="s">
        <v>536</v>
      </c>
      <c r="B213" s="9" t="s">
        <v>128</v>
      </c>
      <c r="C213" s="12" t="s">
        <v>556</v>
      </c>
      <c r="D213" s="165" t="s">
        <v>557</v>
      </c>
      <c r="E213" s="20" t="s">
        <v>157</v>
      </c>
      <c r="F213" s="1"/>
      <c r="G213" s="13">
        <v>36703</v>
      </c>
      <c r="H213" s="13">
        <v>9392</v>
      </c>
      <c r="I213" s="18">
        <v>38974</v>
      </c>
      <c r="J213" s="15">
        <f t="shared" si="9"/>
        <v>85069</v>
      </c>
      <c r="K213" s="1"/>
      <c r="L213" s="1"/>
      <c r="M213" s="13" t="s">
        <v>306</v>
      </c>
      <c r="N213" s="18"/>
      <c r="O213" s="15">
        <f t="shared" si="10"/>
        <v>0</v>
      </c>
      <c r="P213" s="1"/>
      <c r="Q213" s="13">
        <v>2737</v>
      </c>
      <c r="R213" s="13">
        <v>1702</v>
      </c>
      <c r="S213" s="18">
        <v>2983</v>
      </c>
      <c r="T213" s="15">
        <f t="shared" si="11"/>
        <v>7422</v>
      </c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2"/>
      <c r="CO213" s="1"/>
      <c r="CP213" s="1"/>
      <c r="CQ213" s="1"/>
      <c r="CR213" s="1"/>
      <c r="CS213" s="1"/>
      <c r="CT213" s="1"/>
      <c r="CU213" s="2"/>
      <c r="CV213" s="1"/>
      <c r="CW213" s="1"/>
      <c r="CX213" s="1"/>
      <c r="CY213" s="1"/>
      <c r="CZ213" s="1"/>
      <c r="DA213" s="1"/>
      <c r="DB213" s="1"/>
      <c r="DC213" s="2"/>
    </row>
    <row r="214" spans="1:107" ht="12.75">
      <c r="A214" s="1" t="s">
        <v>536</v>
      </c>
      <c r="B214" s="9" t="s">
        <v>128</v>
      </c>
      <c r="C214" s="12" t="s">
        <v>558</v>
      </c>
      <c r="D214" s="165" t="s">
        <v>559</v>
      </c>
      <c r="E214" s="20" t="s">
        <v>157</v>
      </c>
      <c r="F214" s="1"/>
      <c r="G214" s="13">
        <v>84500</v>
      </c>
      <c r="H214" s="13">
        <v>14306</v>
      </c>
      <c r="I214" s="18">
        <v>88212</v>
      </c>
      <c r="J214" s="15">
        <f t="shared" si="9"/>
        <v>187018</v>
      </c>
      <c r="K214" s="1"/>
      <c r="L214" s="1"/>
      <c r="M214" s="1"/>
      <c r="N214" s="18"/>
      <c r="O214" s="15">
        <f t="shared" si="10"/>
        <v>0</v>
      </c>
      <c r="P214" s="1"/>
      <c r="Q214" s="13">
        <v>4320</v>
      </c>
      <c r="R214" s="13">
        <v>3476</v>
      </c>
      <c r="S214" s="18">
        <v>3824</v>
      </c>
      <c r="T214" s="15">
        <f t="shared" si="11"/>
        <v>11620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2"/>
      <c r="CO214" s="1"/>
      <c r="CP214" s="1"/>
      <c r="CQ214" s="1"/>
      <c r="CR214" s="1"/>
      <c r="CS214" s="1"/>
      <c r="CT214" s="1"/>
      <c r="CU214" s="2"/>
      <c r="CV214" s="1"/>
      <c r="CW214" s="1"/>
      <c r="CX214" s="1"/>
      <c r="CY214" s="1"/>
      <c r="CZ214" s="1"/>
      <c r="DA214" s="1"/>
      <c r="DB214" s="1"/>
      <c r="DC214" s="2"/>
    </row>
    <row r="215" spans="1:107" ht="12.75">
      <c r="A215" s="1" t="s">
        <v>536</v>
      </c>
      <c r="B215" s="9" t="s">
        <v>128</v>
      </c>
      <c r="C215" s="12" t="s">
        <v>560</v>
      </c>
      <c r="D215" s="165" t="s">
        <v>561</v>
      </c>
      <c r="E215" s="20" t="s">
        <v>157</v>
      </c>
      <c r="F215" s="1"/>
      <c r="G215" s="13">
        <v>51939</v>
      </c>
      <c r="H215" s="13">
        <f>11720+3220</f>
        <v>14940</v>
      </c>
      <c r="I215" s="18">
        <f>41754+11075</f>
        <v>52829</v>
      </c>
      <c r="J215" s="15">
        <f t="shared" si="9"/>
        <v>119708</v>
      </c>
      <c r="K215" s="1"/>
      <c r="L215" s="1"/>
      <c r="M215" s="1"/>
      <c r="N215" s="18"/>
      <c r="O215" s="15">
        <f t="shared" si="10"/>
        <v>0</v>
      </c>
      <c r="P215" s="1"/>
      <c r="Q215" s="13">
        <v>3174</v>
      </c>
      <c r="R215" s="13">
        <v>715</v>
      </c>
      <c r="S215" s="18">
        <v>3390</v>
      </c>
      <c r="T215" s="15">
        <f t="shared" si="11"/>
        <v>7279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2"/>
      <c r="CO215" s="1"/>
      <c r="CP215" s="1"/>
      <c r="CQ215" s="1"/>
      <c r="CR215" s="1"/>
      <c r="CS215" s="1"/>
      <c r="CT215" s="1"/>
      <c r="CU215" s="2"/>
      <c r="CV215" s="1"/>
      <c r="CW215" s="1"/>
      <c r="CX215" s="1"/>
      <c r="CY215" s="1"/>
      <c r="CZ215" s="1"/>
      <c r="DA215" s="1"/>
      <c r="DB215" s="1"/>
      <c r="DC215" s="2"/>
    </row>
    <row r="216" spans="1:107" ht="12.75">
      <c r="A216" s="1" t="s">
        <v>536</v>
      </c>
      <c r="B216" s="9" t="s">
        <v>128</v>
      </c>
      <c r="C216" s="12" t="s">
        <v>562</v>
      </c>
      <c r="D216" s="165" t="s">
        <v>563</v>
      </c>
      <c r="E216" s="20" t="s">
        <v>170</v>
      </c>
      <c r="F216" s="1"/>
      <c r="G216" s="1"/>
      <c r="H216" s="1"/>
      <c r="I216" s="18"/>
      <c r="J216" s="15">
        <f t="shared" si="9"/>
        <v>0</v>
      </c>
      <c r="K216" s="1"/>
      <c r="L216" s="1"/>
      <c r="M216" s="1"/>
      <c r="N216" s="18"/>
      <c r="O216" s="15">
        <f t="shared" si="10"/>
        <v>0</v>
      </c>
      <c r="P216" s="1"/>
      <c r="Q216" s="1"/>
      <c r="R216" s="1"/>
      <c r="S216" s="18"/>
      <c r="T216" s="15">
        <f t="shared" si="11"/>
        <v>0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2"/>
      <c r="CO216" s="1"/>
      <c r="CP216" s="1"/>
      <c r="CQ216" s="1"/>
      <c r="CR216" s="1"/>
      <c r="CS216" s="1"/>
      <c r="CT216" s="1"/>
      <c r="CU216" s="2"/>
      <c r="CV216" s="1"/>
      <c r="CW216" s="1"/>
      <c r="CX216" s="1"/>
      <c r="CY216" s="1"/>
      <c r="CZ216" s="1"/>
      <c r="DA216" s="1"/>
      <c r="DB216" s="1"/>
      <c r="DC216" s="2"/>
    </row>
    <row r="217" spans="1:107" ht="12.75">
      <c r="A217" s="1" t="s">
        <v>536</v>
      </c>
      <c r="B217" s="9" t="s">
        <v>128</v>
      </c>
      <c r="C217" s="12" t="s">
        <v>564</v>
      </c>
      <c r="D217" s="165" t="s">
        <v>565</v>
      </c>
      <c r="E217" s="20" t="s">
        <v>170</v>
      </c>
      <c r="F217" s="1"/>
      <c r="G217" s="13">
        <v>132200</v>
      </c>
      <c r="H217" s="13">
        <f>16214+10620</f>
        <v>26834</v>
      </c>
      <c r="I217" s="18">
        <f>82607+49627</f>
        <v>132234</v>
      </c>
      <c r="J217" s="15">
        <f t="shared" si="9"/>
        <v>291268</v>
      </c>
      <c r="K217" s="1"/>
      <c r="L217" s="1"/>
      <c r="M217" s="1"/>
      <c r="N217" s="18"/>
      <c r="O217" s="15">
        <f t="shared" si="10"/>
        <v>0</v>
      </c>
      <c r="P217" s="1"/>
      <c r="Q217" s="1"/>
      <c r="R217" s="1"/>
      <c r="S217" s="18"/>
      <c r="T217" s="15">
        <f t="shared" si="11"/>
        <v>0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2"/>
      <c r="CO217" s="1"/>
      <c r="CP217" s="1"/>
      <c r="CQ217" s="1"/>
      <c r="CR217" s="1"/>
      <c r="CS217" s="1"/>
      <c r="CT217" s="1"/>
      <c r="CU217" s="2"/>
      <c r="CV217" s="1"/>
      <c r="CW217" s="1"/>
      <c r="CX217" s="1"/>
      <c r="CY217" s="1"/>
      <c r="CZ217" s="1"/>
      <c r="DA217" s="1"/>
      <c r="DB217" s="1"/>
      <c r="DC217" s="2"/>
    </row>
    <row r="218" spans="1:107" ht="12.75">
      <c r="A218" s="1" t="s">
        <v>536</v>
      </c>
      <c r="B218" s="9" t="s">
        <v>128</v>
      </c>
      <c r="C218" s="12" t="s">
        <v>566</v>
      </c>
      <c r="D218" s="165" t="s">
        <v>567</v>
      </c>
      <c r="E218" s="20" t="s">
        <v>170</v>
      </c>
      <c r="F218" s="1"/>
      <c r="G218" s="13">
        <v>21405</v>
      </c>
      <c r="H218" s="13">
        <f>2694+1510</f>
        <v>4204</v>
      </c>
      <c r="I218" s="18">
        <f>16259+7505</f>
        <v>23764</v>
      </c>
      <c r="J218" s="15">
        <f t="shared" si="9"/>
        <v>49373</v>
      </c>
      <c r="K218" s="1"/>
      <c r="L218" s="1"/>
      <c r="M218" s="1"/>
      <c r="N218" s="18"/>
      <c r="O218" s="15">
        <f t="shared" si="10"/>
        <v>0</v>
      </c>
      <c r="P218" s="1"/>
      <c r="Q218" s="1"/>
      <c r="R218" s="1"/>
      <c r="S218" s="18"/>
      <c r="T218" s="15">
        <f t="shared" si="11"/>
        <v>0</v>
      </c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2"/>
      <c r="CO218" s="1"/>
      <c r="CP218" s="1"/>
      <c r="CQ218" s="1"/>
      <c r="CR218" s="1"/>
      <c r="CS218" s="1"/>
      <c r="CT218" s="1"/>
      <c r="CU218" s="2"/>
      <c r="CV218" s="1"/>
      <c r="CW218" s="1"/>
      <c r="CX218" s="1"/>
      <c r="CY218" s="1"/>
      <c r="CZ218" s="1"/>
      <c r="DA218" s="1"/>
      <c r="DB218" s="1"/>
      <c r="DC218" s="2"/>
    </row>
    <row r="219" spans="1:107" ht="12.75">
      <c r="A219" s="1" t="s">
        <v>536</v>
      </c>
      <c r="B219" s="9" t="s">
        <v>128</v>
      </c>
      <c r="C219" s="12" t="s">
        <v>568</v>
      </c>
      <c r="D219" s="165" t="s">
        <v>569</v>
      </c>
      <c r="E219" s="20" t="s">
        <v>170</v>
      </c>
      <c r="F219" s="1"/>
      <c r="G219" s="13">
        <v>23952</v>
      </c>
      <c r="H219" s="13">
        <f>4170+1485</f>
        <v>5655</v>
      </c>
      <c r="I219" s="18">
        <f>17734+8343</f>
        <v>26077</v>
      </c>
      <c r="J219" s="15">
        <f t="shared" si="9"/>
        <v>55684</v>
      </c>
      <c r="K219" s="1"/>
      <c r="L219" s="1"/>
      <c r="M219" s="1"/>
      <c r="N219" s="18"/>
      <c r="O219" s="15">
        <f t="shared" si="10"/>
        <v>0</v>
      </c>
      <c r="P219" s="1"/>
      <c r="Q219" s="1"/>
      <c r="R219" s="1"/>
      <c r="S219" s="18"/>
      <c r="T219" s="15">
        <f t="shared" si="11"/>
        <v>0</v>
      </c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2"/>
      <c r="CO219" s="1"/>
      <c r="CP219" s="1"/>
      <c r="CQ219" s="1"/>
      <c r="CR219" s="1"/>
      <c r="CS219" s="1"/>
      <c r="CT219" s="1"/>
      <c r="CU219" s="2"/>
      <c r="CV219" s="1"/>
      <c r="CW219" s="1"/>
      <c r="CX219" s="1"/>
      <c r="CY219" s="1"/>
      <c r="CZ219" s="1"/>
      <c r="DA219" s="1"/>
      <c r="DB219" s="1"/>
      <c r="DC219" s="2"/>
    </row>
    <row r="220" spans="1:107" ht="12.75">
      <c r="A220" s="1" t="s">
        <v>536</v>
      </c>
      <c r="B220" s="9" t="s">
        <v>128</v>
      </c>
      <c r="C220" s="12" t="s">
        <v>570</v>
      </c>
      <c r="D220" s="165" t="s">
        <v>571</v>
      </c>
      <c r="E220" s="20" t="s">
        <v>170</v>
      </c>
      <c r="F220" s="1"/>
      <c r="G220" s="13">
        <v>18728</v>
      </c>
      <c r="H220" s="13">
        <v>4041</v>
      </c>
      <c r="I220" s="18">
        <v>17836</v>
      </c>
      <c r="J220" s="15">
        <f t="shared" si="9"/>
        <v>40605</v>
      </c>
      <c r="K220" s="1"/>
      <c r="L220" s="1"/>
      <c r="M220" s="1"/>
      <c r="N220" s="18"/>
      <c r="O220" s="15">
        <f t="shared" si="10"/>
        <v>0</v>
      </c>
      <c r="P220" s="1"/>
      <c r="Q220" s="1"/>
      <c r="R220" s="1"/>
      <c r="S220" s="18"/>
      <c r="T220" s="15">
        <f t="shared" si="11"/>
        <v>0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2"/>
      <c r="CO220" s="1"/>
      <c r="CP220" s="1"/>
      <c r="CQ220" s="1"/>
      <c r="CR220" s="1"/>
      <c r="CS220" s="1"/>
      <c r="CT220" s="1"/>
      <c r="CU220" s="2"/>
      <c r="CV220" s="1"/>
      <c r="CW220" s="1"/>
      <c r="CX220" s="1"/>
      <c r="CY220" s="1"/>
      <c r="CZ220" s="1"/>
      <c r="DA220" s="1"/>
      <c r="DB220" s="1"/>
      <c r="DC220" s="2"/>
    </row>
    <row r="221" spans="1:107" ht="12" customHeight="1">
      <c r="A221" s="1" t="s">
        <v>536</v>
      </c>
      <c r="B221" s="9" t="s">
        <v>128</v>
      </c>
      <c r="C221" s="12" t="s">
        <v>572</v>
      </c>
      <c r="D221" s="165" t="s">
        <v>573</v>
      </c>
      <c r="E221" s="20" t="s">
        <v>170</v>
      </c>
      <c r="F221" s="1"/>
      <c r="G221" s="13">
        <v>14482</v>
      </c>
      <c r="H221" s="13">
        <f>2335+1431</f>
        <v>3766</v>
      </c>
      <c r="I221" s="18">
        <f>8483+5160</f>
        <v>13643</v>
      </c>
      <c r="J221" s="15">
        <f t="shared" si="9"/>
        <v>31891</v>
      </c>
      <c r="K221" s="1"/>
      <c r="L221" s="1"/>
      <c r="M221" s="1"/>
      <c r="N221" s="18"/>
      <c r="O221" s="15">
        <f t="shared" si="10"/>
        <v>0</v>
      </c>
      <c r="P221" s="2"/>
      <c r="Q221" s="1"/>
      <c r="R221" s="1"/>
      <c r="S221" s="18"/>
      <c r="T221" s="15">
        <f t="shared" si="11"/>
        <v>0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2"/>
      <c r="CO221" s="1"/>
      <c r="CP221" s="1"/>
      <c r="CQ221" s="1"/>
      <c r="CR221" s="1"/>
      <c r="CS221" s="1"/>
      <c r="CT221" s="1"/>
      <c r="CU221" s="2"/>
      <c r="CV221" s="1"/>
      <c r="CW221" s="1"/>
      <c r="CX221" s="1"/>
      <c r="CY221" s="1"/>
      <c r="CZ221" s="1"/>
      <c r="DA221" s="1"/>
      <c r="DB221" s="1"/>
      <c r="DC221" s="2"/>
    </row>
    <row r="222" spans="1:107" ht="12" customHeight="1">
      <c r="A222" s="1" t="s">
        <v>536</v>
      </c>
      <c r="B222" s="9" t="s">
        <v>167</v>
      </c>
      <c r="C222" s="12" t="s">
        <v>574</v>
      </c>
      <c r="D222" s="12"/>
      <c r="E222" s="14">
        <v>8</v>
      </c>
      <c r="F222" s="1"/>
      <c r="G222" s="13"/>
      <c r="H222" s="13"/>
      <c r="I222" s="18"/>
      <c r="J222" s="15">
        <f t="shared" si="9"/>
        <v>0</v>
      </c>
      <c r="K222" s="25">
        <v>83396</v>
      </c>
      <c r="L222" s="25">
        <v>81329</v>
      </c>
      <c r="M222" s="25">
        <v>78264</v>
      </c>
      <c r="N222" s="26">
        <v>94527</v>
      </c>
      <c r="O222" s="15">
        <f t="shared" si="10"/>
        <v>337516</v>
      </c>
      <c r="P222" s="2"/>
      <c r="Q222" s="1"/>
      <c r="R222" s="1"/>
      <c r="S222" s="18"/>
      <c r="T222" s="15">
        <f t="shared" si="11"/>
        <v>0</v>
      </c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2"/>
      <c r="CO222" s="1"/>
      <c r="CP222" s="1"/>
      <c r="CQ222" s="1"/>
      <c r="CR222" s="1"/>
      <c r="CS222" s="1"/>
      <c r="CT222" s="1"/>
      <c r="CU222" s="2"/>
      <c r="CV222" s="1"/>
      <c r="CW222" s="1"/>
      <c r="CX222" s="1"/>
      <c r="CY222" s="1"/>
      <c r="CZ222" s="1"/>
      <c r="DA222" s="1"/>
      <c r="DB222" s="1"/>
      <c r="DC222" s="2"/>
    </row>
    <row r="223" spans="1:107" ht="12" customHeight="1">
      <c r="A223" s="1" t="s">
        <v>536</v>
      </c>
      <c r="B223" s="9" t="s">
        <v>167</v>
      </c>
      <c r="C223" s="12" t="s">
        <v>575</v>
      </c>
      <c r="D223" s="12" t="s">
        <v>576</v>
      </c>
      <c r="E223" s="14">
        <v>8</v>
      </c>
      <c r="F223" s="1"/>
      <c r="G223" s="13"/>
      <c r="H223" s="13"/>
      <c r="I223" s="18"/>
      <c r="J223" s="15">
        <f t="shared" si="9"/>
        <v>0</v>
      </c>
      <c r="K223" s="25">
        <v>179511</v>
      </c>
      <c r="L223" s="25">
        <v>164565</v>
      </c>
      <c r="M223" s="25">
        <v>129888</v>
      </c>
      <c r="N223" s="26">
        <v>190836</v>
      </c>
      <c r="O223" s="15">
        <f t="shared" si="10"/>
        <v>664800</v>
      </c>
      <c r="P223" s="2"/>
      <c r="Q223" s="1"/>
      <c r="R223" s="1"/>
      <c r="S223" s="18"/>
      <c r="T223" s="15">
        <f t="shared" si="11"/>
        <v>0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2"/>
      <c r="CO223" s="1"/>
      <c r="CP223" s="1"/>
      <c r="CQ223" s="1"/>
      <c r="CR223" s="1"/>
      <c r="CS223" s="1"/>
      <c r="CT223" s="1"/>
      <c r="CU223" s="2"/>
      <c r="CV223" s="1"/>
      <c r="CW223" s="1"/>
      <c r="CX223" s="1"/>
      <c r="CY223" s="1"/>
      <c r="CZ223" s="1"/>
      <c r="DA223" s="1"/>
      <c r="DB223" s="1"/>
      <c r="DC223" s="2"/>
    </row>
    <row r="224" spans="1:107" ht="12" customHeight="1">
      <c r="A224" s="1" t="s">
        <v>536</v>
      </c>
      <c r="B224" s="9" t="s">
        <v>167</v>
      </c>
      <c r="C224" s="12" t="s">
        <v>577</v>
      </c>
      <c r="D224" s="12" t="s">
        <v>578</v>
      </c>
      <c r="E224" s="14">
        <v>8</v>
      </c>
      <c r="F224" s="1"/>
      <c r="G224" s="13"/>
      <c r="H224" s="13"/>
      <c r="I224" s="18"/>
      <c r="J224" s="15">
        <f t="shared" si="9"/>
        <v>0</v>
      </c>
      <c r="K224" s="25">
        <v>57558</v>
      </c>
      <c r="L224" s="25">
        <v>86576</v>
      </c>
      <c r="M224" s="25">
        <v>48096</v>
      </c>
      <c r="N224" s="26">
        <v>78570</v>
      </c>
      <c r="O224" s="15">
        <f t="shared" si="10"/>
        <v>270800</v>
      </c>
      <c r="P224" s="2"/>
      <c r="Q224" s="1"/>
      <c r="R224" s="1"/>
      <c r="S224" s="18"/>
      <c r="T224" s="15">
        <f t="shared" si="11"/>
        <v>0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2"/>
      <c r="CO224" s="1"/>
      <c r="CP224" s="1"/>
      <c r="CQ224" s="1"/>
      <c r="CR224" s="1"/>
      <c r="CS224" s="1"/>
      <c r="CT224" s="1"/>
      <c r="CU224" s="2"/>
      <c r="CV224" s="1"/>
      <c r="CW224" s="1"/>
      <c r="CX224" s="1"/>
      <c r="CY224" s="1"/>
      <c r="CZ224" s="1"/>
      <c r="DA224" s="1"/>
      <c r="DB224" s="1"/>
      <c r="DC224" s="2"/>
    </row>
    <row r="225" spans="1:107" ht="12" customHeight="1">
      <c r="A225" s="1" t="s">
        <v>536</v>
      </c>
      <c r="B225" s="9" t="s">
        <v>167</v>
      </c>
      <c r="C225" s="12" t="s">
        <v>579</v>
      </c>
      <c r="D225" s="12" t="s">
        <v>580</v>
      </c>
      <c r="E225" s="14">
        <v>8</v>
      </c>
      <c r="F225" s="1"/>
      <c r="G225" s="13"/>
      <c r="H225" s="13"/>
      <c r="I225" s="18"/>
      <c r="J225" s="15">
        <f t="shared" si="9"/>
        <v>0</v>
      </c>
      <c r="K225" s="27">
        <v>137615</v>
      </c>
      <c r="L225" s="27">
        <v>138092</v>
      </c>
      <c r="M225" s="27">
        <v>127800</v>
      </c>
      <c r="N225" s="28">
        <v>149607</v>
      </c>
      <c r="O225" s="15">
        <f t="shared" si="10"/>
        <v>553114</v>
      </c>
      <c r="P225" s="2"/>
      <c r="Q225" s="1"/>
      <c r="R225" s="1"/>
      <c r="S225" s="18"/>
      <c r="T225" s="15">
        <f t="shared" si="11"/>
        <v>0</v>
      </c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2"/>
      <c r="CO225" s="1"/>
      <c r="CP225" s="1"/>
      <c r="CQ225" s="1"/>
      <c r="CR225" s="1"/>
      <c r="CS225" s="1"/>
      <c r="CT225" s="1"/>
      <c r="CU225" s="2"/>
      <c r="CV225" s="1"/>
      <c r="CW225" s="1"/>
      <c r="CX225" s="1"/>
      <c r="CY225" s="1"/>
      <c r="CZ225" s="1"/>
      <c r="DA225" s="1"/>
      <c r="DB225" s="1"/>
      <c r="DC225" s="2"/>
    </row>
    <row r="226" spans="1:107" ht="12" customHeight="1">
      <c r="A226" s="1" t="s">
        <v>536</v>
      </c>
      <c r="B226" s="9" t="s">
        <v>167</v>
      </c>
      <c r="C226" s="12" t="s">
        <v>581</v>
      </c>
      <c r="D226" s="12" t="s">
        <v>582</v>
      </c>
      <c r="E226" s="14">
        <v>8</v>
      </c>
      <c r="F226" s="1"/>
      <c r="G226" s="13"/>
      <c r="H226" s="13"/>
      <c r="I226" s="18"/>
      <c r="J226" s="15">
        <f t="shared" si="9"/>
        <v>0</v>
      </c>
      <c r="K226" s="27">
        <v>67973</v>
      </c>
      <c r="L226" s="27">
        <v>92141</v>
      </c>
      <c r="M226" s="27">
        <v>55224</v>
      </c>
      <c r="N226" s="28">
        <v>72981</v>
      </c>
      <c r="O226" s="15">
        <f t="shared" si="10"/>
        <v>288319</v>
      </c>
      <c r="P226" s="2"/>
      <c r="Q226" s="1"/>
      <c r="R226" s="1"/>
      <c r="S226" s="18"/>
      <c r="T226" s="15">
        <f t="shared" si="11"/>
        <v>0</v>
      </c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2"/>
      <c r="CO226" s="1"/>
      <c r="CP226" s="1"/>
      <c r="CQ226" s="1"/>
      <c r="CR226" s="1"/>
      <c r="CS226" s="1"/>
      <c r="CT226" s="1"/>
      <c r="CU226" s="2"/>
      <c r="CV226" s="1"/>
      <c r="CW226" s="1"/>
      <c r="CX226" s="1"/>
      <c r="CY226" s="1"/>
      <c r="CZ226" s="1"/>
      <c r="DA226" s="1"/>
      <c r="DB226" s="1"/>
      <c r="DC226" s="2"/>
    </row>
    <row r="227" spans="1:107" ht="12" customHeight="1">
      <c r="A227" s="1" t="s">
        <v>536</v>
      </c>
      <c r="B227" s="9" t="s">
        <v>167</v>
      </c>
      <c r="C227" s="12" t="s">
        <v>583</v>
      </c>
      <c r="D227" s="12" t="s">
        <v>584</v>
      </c>
      <c r="E227" s="14">
        <v>8</v>
      </c>
      <c r="F227" s="1"/>
      <c r="G227" s="13"/>
      <c r="H227" s="13"/>
      <c r="I227" s="18"/>
      <c r="J227" s="15">
        <f t="shared" si="9"/>
        <v>0</v>
      </c>
      <c r="K227" s="27">
        <v>297728</v>
      </c>
      <c r="L227" s="27">
        <v>266246</v>
      </c>
      <c r="M227" s="27">
        <v>156816</v>
      </c>
      <c r="N227" s="28">
        <v>234981</v>
      </c>
      <c r="O227" s="15">
        <f t="shared" si="10"/>
        <v>955771</v>
      </c>
      <c r="P227" s="2"/>
      <c r="Q227" s="1"/>
      <c r="R227" s="1"/>
      <c r="S227" s="18"/>
      <c r="T227" s="15">
        <f t="shared" si="11"/>
        <v>0</v>
      </c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2"/>
      <c r="CO227" s="1"/>
      <c r="CP227" s="1"/>
      <c r="CQ227" s="1"/>
      <c r="CR227" s="1"/>
      <c r="CS227" s="1"/>
      <c r="CT227" s="1"/>
      <c r="CU227" s="2"/>
      <c r="CV227" s="1"/>
      <c r="CW227" s="1"/>
      <c r="CX227" s="1"/>
      <c r="CY227" s="1"/>
      <c r="CZ227" s="1"/>
      <c r="DA227" s="1"/>
      <c r="DB227" s="1"/>
      <c r="DC227" s="2"/>
    </row>
    <row r="228" spans="1:107" ht="12" customHeight="1">
      <c r="A228" s="1" t="s">
        <v>536</v>
      </c>
      <c r="B228" s="9" t="s">
        <v>167</v>
      </c>
      <c r="C228" s="12" t="s">
        <v>585</v>
      </c>
      <c r="D228" s="12" t="s">
        <v>586</v>
      </c>
      <c r="E228" s="14">
        <v>8</v>
      </c>
      <c r="F228" s="1"/>
      <c r="G228" s="13"/>
      <c r="H228" s="13"/>
      <c r="I228" s="18"/>
      <c r="J228" s="15">
        <f t="shared" si="9"/>
        <v>0</v>
      </c>
      <c r="K228" s="27">
        <v>62408</v>
      </c>
      <c r="L228" s="27">
        <v>72027</v>
      </c>
      <c r="M228" s="27">
        <v>53208</v>
      </c>
      <c r="N228" s="28">
        <v>64719</v>
      </c>
      <c r="O228" s="15">
        <f t="shared" si="10"/>
        <v>252362</v>
      </c>
      <c r="P228" s="2"/>
      <c r="Q228" s="1"/>
      <c r="R228" s="1"/>
      <c r="S228" s="18"/>
      <c r="T228" s="15">
        <f t="shared" si="11"/>
        <v>0</v>
      </c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2"/>
      <c r="CO228" s="1"/>
      <c r="CP228" s="1"/>
      <c r="CQ228" s="1"/>
      <c r="CR228" s="1"/>
      <c r="CS228" s="1"/>
      <c r="CT228" s="1"/>
      <c r="CU228" s="2"/>
      <c r="CV228" s="1"/>
      <c r="CW228" s="1"/>
      <c r="CX228" s="1"/>
      <c r="CY228" s="1"/>
      <c r="CZ228" s="1"/>
      <c r="DA228" s="1"/>
      <c r="DB228" s="1"/>
      <c r="DC228" s="2"/>
    </row>
    <row r="229" spans="1:107" ht="12" customHeight="1">
      <c r="A229" s="1" t="s">
        <v>536</v>
      </c>
      <c r="B229" s="9" t="s">
        <v>167</v>
      </c>
      <c r="C229" s="12" t="s">
        <v>587</v>
      </c>
      <c r="D229" s="12" t="s">
        <v>588</v>
      </c>
      <c r="E229" s="14">
        <v>8</v>
      </c>
      <c r="F229" s="1"/>
      <c r="G229" s="13"/>
      <c r="H229" s="13"/>
      <c r="I229" s="18"/>
      <c r="J229" s="15">
        <f t="shared" si="9"/>
        <v>0</v>
      </c>
      <c r="K229" s="25">
        <v>59943</v>
      </c>
      <c r="L229" s="27">
        <v>72743</v>
      </c>
      <c r="M229" s="27">
        <v>53352</v>
      </c>
      <c r="N229" s="28">
        <v>60912</v>
      </c>
      <c r="O229" s="15">
        <f t="shared" si="10"/>
        <v>246950</v>
      </c>
      <c r="P229" s="2"/>
      <c r="Q229" s="1"/>
      <c r="R229" s="1"/>
      <c r="S229" s="18"/>
      <c r="T229" s="15">
        <f t="shared" si="11"/>
        <v>0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2"/>
      <c r="CO229" s="1"/>
      <c r="CP229" s="1"/>
      <c r="CQ229" s="1"/>
      <c r="CR229" s="1"/>
      <c r="CS229" s="1"/>
      <c r="CT229" s="1"/>
      <c r="CU229" s="2"/>
      <c r="CV229" s="1"/>
      <c r="CW229" s="1"/>
      <c r="CX229" s="1"/>
      <c r="CY229" s="1"/>
      <c r="CZ229" s="1"/>
      <c r="DA229" s="1"/>
      <c r="DB229" s="1"/>
      <c r="DC229" s="2"/>
    </row>
    <row r="230" spans="1:107" ht="12" customHeight="1">
      <c r="A230" s="1" t="s">
        <v>536</v>
      </c>
      <c r="B230" s="9" t="s">
        <v>167</v>
      </c>
      <c r="C230" s="12" t="s">
        <v>589</v>
      </c>
      <c r="D230" s="12" t="s">
        <v>298</v>
      </c>
      <c r="E230" s="14">
        <v>8</v>
      </c>
      <c r="F230" s="1"/>
      <c r="G230" s="13"/>
      <c r="H230" s="13"/>
      <c r="I230" s="18"/>
      <c r="J230" s="15">
        <f t="shared" si="9"/>
        <v>0</v>
      </c>
      <c r="K230" s="27">
        <v>71312</v>
      </c>
      <c r="L230" s="25">
        <v>66939</v>
      </c>
      <c r="M230" s="25">
        <v>36576</v>
      </c>
      <c r="N230" s="26">
        <v>64881</v>
      </c>
      <c r="O230" s="15">
        <f t="shared" si="10"/>
        <v>239708</v>
      </c>
      <c r="P230" s="2"/>
      <c r="Q230" s="1"/>
      <c r="R230" s="1"/>
      <c r="S230" s="18"/>
      <c r="T230" s="15">
        <f t="shared" si="11"/>
        <v>0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2"/>
      <c r="CO230" s="1"/>
      <c r="CP230" s="1"/>
      <c r="CQ230" s="1"/>
      <c r="CR230" s="1"/>
      <c r="CS230" s="1"/>
      <c r="CT230" s="1"/>
      <c r="CU230" s="2"/>
      <c r="CV230" s="1"/>
      <c r="CW230" s="1"/>
      <c r="CX230" s="1"/>
      <c r="CY230" s="1"/>
      <c r="CZ230" s="1"/>
      <c r="DA230" s="1"/>
      <c r="DB230" s="1"/>
      <c r="DC230" s="2"/>
    </row>
    <row r="231" spans="1:107" ht="12" customHeight="1">
      <c r="A231" s="1" t="s">
        <v>536</v>
      </c>
      <c r="B231" s="9" t="s">
        <v>167</v>
      </c>
      <c r="C231" s="12" t="s">
        <v>590</v>
      </c>
      <c r="D231" s="12" t="s">
        <v>591</v>
      </c>
      <c r="E231" s="14">
        <v>8</v>
      </c>
      <c r="F231" s="1"/>
      <c r="G231" s="13"/>
      <c r="H231" s="13"/>
      <c r="I231" s="18"/>
      <c r="J231" s="15">
        <f t="shared" si="9"/>
        <v>0</v>
      </c>
      <c r="K231" s="25">
        <v>153594</v>
      </c>
      <c r="L231" s="25">
        <v>153038</v>
      </c>
      <c r="M231" s="25">
        <v>123552</v>
      </c>
      <c r="N231" s="26">
        <v>145314</v>
      </c>
      <c r="O231" s="15">
        <f t="shared" si="10"/>
        <v>575498</v>
      </c>
      <c r="P231" s="2"/>
      <c r="Q231" s="1"/>
      <c r="R231" s="1"/>
      <c r="S231" s="18"/>
      <c r="T231" s="15">
        <f t="shared" si="11"/>
        <v>0</v>
      </c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2"/>
      <c r="CO231" s="1"/>
      <c r="CP231" s="1"/>
      <c r="CQ231" s="1"/>
      <c r="CR231" s="1"/>
      <c r="CS231" s="1"/>
      <c r="CT231" s="1"/>
      <c r="CU231" s="2"/>
      <c r="CV231" s="1"/>
      <c r="CW231" s="1"/>
      <c r="CX231" s="1"/>
      <c r="CY231" s="1"/>
      <c r="CZ231" s="1"/>
      <c r="DA231" s="1"/>
      <c r="DB231" s="1"/>
      <c r="DC231" s="2"/>
    </row>
    <row r="232" spans="1:107" ht="12" customHeight="1">
      <c r="A232" s="1" t="s">
        <v>536</v>
      </c>
      <c r="B232" s="9" t="s">
        <v>167</v>
      </c>
      <c r="C232" s="12" t="s">
        <v>592</v>
      </c>
      <c r="D232" s="12" t="s">
        <v>593</v>
      </c>
      <c r="E232" s="14">
        <v>8</v>
      </c>
      <c r="F232" s="1"/>
      <c r="G232" s="13"/>
      <c r="H232" s="13"/>
      <c r="I232" s="18"/>
      <c r="J232" s="15">
        <f t="shared" si="9"/>
        <v>0</v>
      </c>
      <c r="K232" s="27">
        <v>65906</v>
      </c>
      <c r="L232" s="27">
        <v>80136</v>
      </c>
      <c r="M232" s="27">
        <v>50472</v>
      </c>
      <c r="N232" s="28">
        <v>68121</v>
      </c>
      <c r="O232" s="15">
        <f t="shared" si="10"/>
        <v>264635</v>
      </c>
      <c r="P232" s="2"/>
      <c r="Q232" s="1"/>
      <c r="R232" s="1"/>
      <c r="S232" s="18"/>
      <c r="T232" s="15">
        <f t="shared" si="11"/>
        <v>0</v>
      </c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2"/>
      <c r="CO232" s="1"/>
      <c r="CP232" s="1"/>
      <c r="CQ232" s="1"/>
      <c r="CR232" s="1"/>
      <c r="CS232" s="1"/>
      <c r="CT232" s="1"/>
      <c r="CU232" s="2"/>
      <c r="CV232" s="1"/>
      <c r="CW232" s="1"/>
      <c r="CX232" s="1"/>
      <c r="CY232" s="1"/>
      <c r="CZ232" s="1"/>
      <c r="DA232" s="1"/>
      <c r="DB232" s="1"/>
      <c r="DC232" s="2"/>
    </row>
    <row r="233" spans="1:107" ht="12" customHeight="1">
      <c r="A233" s="1" t="s">
        <v>536</v>
      </c>
      <c r="B233" s="9" t="s">
        <v>167</v>
      </c>
      <c r="C233" s="12" t="s">
        <v>594</v>
      </c>
      <c r="D233" s="12" t="s">
        <v>595</v>
      </c>
      <c r="E233" s="14">
        <v>8</v>
      </c>
      <c r="F233" s="1"/>
      <c r="G233" s="13"/>
      <c r="H233" s="13"/>
      <c r="I233" s="18"/>
      <c r="J233" s="15">
        <f t="shared" si="9"/>
        <v>0</v>
      </c>
      <c r="K233" s="27">
        <v>31641</v>
      </c>
      <c r="L233" s="27">
        <v>31164</v>
      </c>
      <c r="M233" s="27">
        <v>25128</v>
      </c>
      <c r="N233" s="28">
        <v>30294</v>
      </c>
      <c r="O233" s="15">
        <f t="shared" si="10"/>
        <v>118227</v>
      </c>
      <c r="P233" s="2"/>
      <c r="Q233" s="1"/>
      <c r="R233" s="1"/>
      <c r="S233" s="18"/>
      <c r="T233" s="15">
        <f t="shared" si="11"/>
        <v>0</v>
      </c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2"/>
      <c r="CO233" s="1"/>
      <c r="CP233" s="1"/>
      <c r="CQ233" s="1"/>
      <c r="CR233" s="1"/>
      <c r="CS233" s="1"/>
      <c r="CT233" s="1"/>
      <c r="CU233" s="2"/>
      <c r="CV233" s="1"/>
      <c r="CW233" s="1"/>
      <c r="CX233" s="1"/>
      <c r="CY233" s="1"/>
      <c r="CZ233" s="1"/>
      <c r="DA233" s="1"/>
      <c r="DB233" s="1"/>
      <c r="DC233" s="2"/>
    </row>
    <row r="234" spans="1:107" ht="12" customHeight="1">
      <c r="A234" s="1" t="s">
        <v>536</v>
      </c>
      <c r="B234" s="9" t="s">
        <v>167</v>
      </c>
      <c r="C234" s="12" t="s">
        <v>596</v>
      </c>
      <c r="D234" s="12" t="s">
        <v>597</v>
      </c>
      <c r="E234" s="14">
        <v>8</v>
      </c>
      <c r="F234" s="1"/>
      <c r="G234" s="13"/>
      <c r="H234" s="13"/>
      <c r="I234" s="18"/>
      <c r="J234" s="15">
        <f t="shared" si="9"/>
        <v>0</v>
      </c>
      <c r="K234" s="27">
        <v>81011</v>
      </c>
      <c r="L234" s="27">
        <v>80295</v>
      </c>
      <c r="M234" s="27">
        <v>66024</v>
      </c>
      <c r="N234" s="28">
        <v>77112</v>
      </c>
      <c r="O234" s="15">
        <f t="shared" si="10"/>
        <v>304442</v>
      </c>
      <c r="P234" s="2"/>
      <c r="Q234" s="1"/>
      <c r="R234" s="1"/>
      <c r="S234" s="18"/>
      <c r="T234" s="15">
        <f t="shared" si="11"/>
        <v>0</v>
      </c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2"/>
      <c r="CO234" s="1"/>
      <c r="CP234" s="1"/>
      <c r="CQ234" s="1"/>
      <c r="CR234" s="1"/>
      <c r="CS234" s="1"/>
      <c r="CT234" s="1"/>
      <c r="CU234" s="2"/>
      <c r="CV234" s="1"/>
      <c r="CW234" s="1"/>
      <c r="CX234" s="1"/>
      <c r="CY234" s="1"/>
      <c r="CZ234" s="1"/>
      <c r="DA234" s="1"/>
      <c r="DB234" s="1"/>
      <c r="DC234" s="2"/>
    </row>
    <row r="235" spans="1:107" ht="12" customHeight="1">
      <c r="A235" s="1" t="s">
        <v>536</v>
      </c>
      <c r="B235" s="9" t="s">
        <v>167</v>
      </c>
      <c r="C235" s="12" t="s">
        <v>598</v>
      </c>
      <c r="D235" s="12" t="s">
        <v>599</v>
      </c>
      <c r="E235" s="14">
        <v>8</v>
      </c>
      <c r="F235" s="1"/>
      <c r="G235" s="13"/>
      <c r="H235" s="13"/>
      <c r="I235" s="18"/>
      <c r="J235" s="15">
        <f t="shared" si="9"/>
        <v>0</v>
      </c>
      <c r="K235" s="27">
        <v>86178</v>
      </c>
      <c r="L235" s="27">
        <v>80931</v>
      </c>
      <c r="M235" s="27">
        <v>78480</v>
      </c>
      <c r="N235" s="28">
        <v>84726</v>
      </c>
      <c r="O235" s="15">
        <f t="shared" si="10"/>
        <v>330315</v>
      </c>
      <c r="P235" s="2"/>
      <c r="Q235" s="1"/>
      <c r="R235" s="1"/>
      <c r="S235" s="18"/>
      <c r="T235" s="15">
        <f t="shared" si="11"/>
        <v>0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2"/>
      <c r="CO235" s="1"/>
      <c r="CP235" s="1"/>
      <c r="CQ235" s="1"/>
      <c r="CR235" s="1"/>
      <c r="CS235" s="1"/>
      <c r="CT235" s="1"/>
      <c r="CU235" s="2"/>
      <c r="CV235" s="1"/>
      <c r="CW235" s="1"/>
      <c r="CX235" s="1"/>
      <c r="CY235" s="1"/>
      <c r="CZ235" s="1"/>
      <c r="DA235" s="1"/>
      <c r="DB235" s="1"/>
      <c r="DC235" s="2"/>
    </row>
    <row r="236" spans="1:107" ht="12" customHeight="1">
      <c r="A236" s="1" t="s">
        <v>536</v>
      </c>
      <c r="B236" s="9" t="s">
        <v>167</v>
      </c>
      <c r="C236" s="12" t="s">
        <v>600</v>
      </c>
      <c r="D236" s="12" t="s">
        <v>601</v>
      </c>
      <c r="E236" s="14">
        <v>8</v>
      </c>
      <c r="F236" s="1"/>
      <c r="G236" s="13"/>
      <c r="H236" s="13"/>
      <c r="I236" s="18"/>
      <c r="J236" s="15">
        <f t="shared" si="9"/>
        <v>0</v>
      </c>
      <c r="K236" s="27">
        <v>58274</v>
      </c>
      <c r="L236" s="27">
        <v>58353</v>
      </c>
      <c r="M236" s="27">
        <v>41760</v>
      </c>
      <c r="N236" s="28">
        <v>58482</v>
      </c>
      <c r="O236" s="15">
        <f t="shared" si="10"/>
        <v>216869</v>
      </c>
      <c r="P236" s="2"/>
      <c r="Q236" s="1"/>
      <c r="R236" s="1"/>
      <c r="S236" s="18"/>
      <c r="T236" s="15">
        <f t="shared" si="11"/>
        <v>0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2"/>
      <c r="CO236" s="1"/>
      <c r="CP236" s="1"/>
      <c r="CQ236" s="1"/>
      <c r="CR236" s="1"/>
      <c r="CS236" s="1"/>
      <c r="CT236" s="1"/>
      <c r="CU236" s="2"/>
      <c r="CV236" s="1"/>
      <c r="CW236" s="1"/>
      <c r="CX236" s="1"/>
      <c r="CY236" s="1"/>
      <c r="CZ236" s="1"/>
      <c r="DA236" s="1"/>
      <c r="DB236" s="1"/>
      <c r="DC236" s="2"/>
    </row>
    <row r="237" spans="1:107" ht="12" customHeight="1">
      <c r="A237" s="1" t="s">
        <v>536</v>
      </c>
      <c r="B237" s="9" t="s">
        <v>167</v>
      </c>
      <c r="C237" s="12" t="s">
        <v>602</v>
      </c>
      <c r="D237" s="12" t="s">
        <v>603</v>
      </c>
      <c r="E237" s="14">
        <v>8</v>
      </c>
      <c r="F237" s="1"/>
      <c r="G237" s="13"/>
      <c r="H237" s="13"/>
      <c r="I237" s="18"/>
      <c r="J237" s="15">
        <f t="shared" si="9"/>
        <v>0</v>
      </c>
      <c r="K237" s="27">
        <v>117024</v>
      </c>
      <c r="L237" s="27">
        <v>131891</v>
      </c>
      <c r="M237" s="27">
        <v>94248</v>
      </c>
      <c r="N237" s="28">
        <v>134379</v>
      </c>
      <c r="O237" s="15">
        <f t="shared" si="10"/>
        <v>477542</v>
      </c>
      <c r="P237" s="2"/>
      <c r="Q237" s="1"/>
      <c r="R237" s="1"/>
      <c r="S237" s="18"/>
      <c r="T237" s="15">
        <f t="shared" si="11"/>
        <v>0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2"/>
      <c r="CO237" s="1"/>
      <c r="CP237" s="1"/>
      <c r="CQ237" s="1"/>
      <c r="CR237" s="1"/>
      <c r="CS237" s="1"/>
      <c r="CT237" s="1"/>
      <c r="CU237" s="2"/>
      <c r="CV237" s="1"/>
      <c r="CW237" s="1"/>
      <c r="CX237" s="1"/>
      <c r="CY237" s="1"/>
      <c r="CZ237" s="1"/>
      <c r="DA237" s="1"/>
      <c r="DB237" s="1"/>
      <c r="DC237" s="2"/>
    </row>
    <row r="238" spans="1:107" ht="12" customHeight="1">
      <c r="A238" s="1" t="s">
        <v>536</v>
      </c>
      <c r="B238" s="9" t="s">
        <v>167</v>
      </c>
      <c r="C238" s="12" t="s">
        <v>604</v>
      </c>
      <c r="D238" s="12" t="s">
        <v>605</v>
      </c>
      <c r="E238" s="14">
        <v>8</v>
      </c>
      <c r="F238" s="1"/>
      <c r="G238" s="13"/>
      <c r="H238" s="13"/>
      <c r="I238" s="18"/>
      <c r="J238" s="15">
        <f t="shared" si="9"/>
        <v>0</v>
      </c>
      <c r="K238" s="27">
        <v>227450</v>
      </c>
      <c r="L238" s="27">
        <v>172515</v>
      </c>
      <c r="M238" s="27">
        <v>127080</v>
      </c>
      <c r="N238" s="28">
        <v>244944</v>
      </c>
      <c r="O238" s="15">
        <f t="shared" si="10"/>
        <v>771989</v>
      </c>
      <c r="P238" s="2"/>
      <c r="Q238" s="1"/>
      <c r="R238" s="1"/>
      <c r="S238" s="18"/>
      <c r="T238" s="15">
        <f t="shared" si="11"/>
        <v>0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2"/>
      <c r="CO238" s="1"/>
      <c r="CP238" s="1"/>
      <c r="CQ238" s="1"/>
      <c r="CR238" s="1"/>
      <c r="CS238" s="1"/>
      <c r="CT238" s="1"/>
      <c r="CU238" s="2"/>
      <c r="CV238" s="1"/>
      <c r="CW238" s="1"/>
      <c r="CX238" s="1"/>
      <c r="CY238" s="1"/>
      <c r="CZ238" s="1"/>
      <c r="DA238" s="1"/>
      <c r="DB238" s="1"/>
      <c r="DC238" s="2"/>
    </row>
    <row r="239" spans="1:107" ht="12" customHeight="1">
      <c r="A239" s="1" t="s">
        <v>536</v>
      </c>
      <c r="B239" s="9" t="s">
        <v>167</v>
      </c>
      <c r="C239" s="12" t="s">
        <v>606</v>
      </c>
      <c r="D239" s="12" t="s">
        <v>607</v>
      </c>
      <c r="E239" s="14">
        <v>8</v>
      </c>
      <c r="F239" s="1"/>
      <c r="G239" s="13"/>
      <c r="H239" s="13"/>
      <c r="I239" s="18"/>
      <c r="J239" s="15">
        <f t="shared" si="9"/>
        <v>0</v>
      </c>
      <c r="K239" s="27">
        <v>130062</v>
      </c>
      <c r="L239" s="27">
        <v>167507</v>
      </c>
      <c r="M239" s="27">
        <v>128520</v>
      </c>
      <c r="N239" s="28">
        <v>155439</v>
      </c>
      <c r="O239" s="15">
        <f t="shared" si="10"/>
        <v>581528</v>
      </c>
      <c r="P239" s="2"/>
      <c r="Q239" s="1"/>
      <c r="R239" s="1"/>
      <c r="S239" s="18"/>
      <c r="T239" s="15">
        <f t="shared" si="11"/>
        <v>0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2"/>
      <c r="CO239" s="1"/>
      <c r="CP239" s="1"/>
      <c r="CQ239" s="1"/>
      <c r="CR239" s="1"/>
      <c r="CS239" s="1"/>
      <c r="CT239" s="1"/>
      <c r="CU239" s="2"/>
      <c r="CV239" s="1"/>
      <c r="CW239" s="1"/>
      <c r="CX239" s="1"/>
      <c r="CY239" s="1"/>
      <c r="CZ239" s="1"/>
      <c r="DA239" s="1"/>
      <c r="DB239" s="1"/>
      <c r="DC239" s="2"/>
    </row>
    <row r="240" spans="1:107" ht="12" customHeight="1">
      <c r="A240" s="1" t="s">
        <v>536</v>
      </c>
      <c r="B240" s="9" t="s">
        <v>167</v>
      </c>
      <c r="C240" s="12" t="s">
        <v>608</v>
      </c>
      <c r="D240" s="12" t="s">
        <v>609</v>
      </c>
      <c r="E240" s="14">
        <v>8</v>
      </c>
      <c r="F240" s="1"/>
      <c r="G240" s="13"/>
      <c r="H240" s="13"/>
      <c r="I240" s="18"/>
      <c r="J240" s="15">
        <f t="shared" si="9"/>
        <v>0</v>
      </c>
      <c r="K240" s="27">
        <v>84032</v>
      </c>
      <c r="L240" s="27">
        <v>86417</v>
      </c>
      <c r="M240" s="27">
        <v>63288</v>
      </c>
      <c r="N240" s="28">
        <v>84726</v>
      </c>
      <c r="O240" s="15">
        <f t="shared" si="10"/>
        <v>318463</v>
      </c>
      <c r="P240" s="2"/>
      <c r="Q240" s="1"/>
      <c r="R240" s="1"/>
      <c r="S240" s="18"/>
      <c r="T240" s="15">
        <f t="shared" si="11"/>
        <v>0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2"/>
      <c r="CO240" s="1"/>
      <c r="CP240" s="1"/>
      <c r="CQ240" s="1"/>
      <c r="CR240" s="1"/>
      <c r="CS240" s="1"/>
      <c r="CT240" s="1"/>
      <c r="CU240" s="2"/>
      <c r="CV240" s="1"/>
      <c r="CW240" s="1"/>
      <c r="CX240" s="1"/>
      <c r="CY240" s="1"/>
      <c r="CZ240" s="1"/>
      <c r="DA240" s="1"/>
      <c r="DB240" s="1"/>
      <c r="DC240" s="2"/>
    </row>
    <row r="241" spans="1:107" ht="12" customHeight="1">
      <c r="A241" s="1" t="s">
        <v>536</v>
      </c>
      <c r="B241" s="9" t="s">
        <v>167</v>
      </c>
      <c r="C241" s="12" t="s">
        <v>610</v>
      </c>
      <c r="D241" s="12" t="s">
        <v>611</v>
      </c>
      <c r="E241" s="14">
        <v>8</v>
      </c>
      <c r="F241" s="1"/>
      <c r="G241" s="13"/>
      <c r="H241" s="13"/>
      <c r="I241" s="18"/>
      <c r="J241" s="15">
        <f t="shared" si="9"/>
        <v>0</v>
      </c>
      <c r="K241" s="27">
        <v>64634</v>
      </c>
      <c r="L241" s="27">
        <v>56604</v>
      </c>
      <c r="M241" s="27">
        <v>46944</v>
      </c>
      <c r="N241" s="28">
        <v>56214</v>
      </c>
      <c r="O241" s="15">
        <f t="shared" si="10"/>
        <v>224396</v>
      </c>
      <c r="P241" s="2"/>
      <c r="Q241" s="1"/>
      <c r="R241" s="1"/>
      <c r="S241" s="18"/>
      <c r="T241" s="15">
        <f t="shared" si="11"/>
        <v>0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2"/>
      <c r="CO241" s="1"/>
      <c r="CP241" s="1"/>
      <c r="CQ241" s="1"/>
      <c r="CR241" s="1"/>
      <c r="CS241" s="1"/>
      <c r="CT241" s="1"/>
      <c r="CU241" s="2"/>
      <c r="CV241" s="1"/>
      <c r="CW241" s="1"/>
      <c r="CX241" s="1"/>
      <c r="CY241" s="1"/>
      <c r="CZ241" s="1"/>
      <c r="DA241" s="1"/>
      <c r="DB241" s="1"/>
      <c r="DC241" s="2"/>
    </row>
    <row r="242" spans="1:107" ht="12" customHeight="1">
      <c r="A242" s="1" t="s">
        <v>536</v>
      </c>
      <c r="B242" s="9" t="s">
        <v>167</v>
      </c>
      <c r="C242" s="12" t="s">
        <v>612</v>
      </c>
      <c r="D242" s="12" t="s">
        <v>613</v>
      </c>
      <c r="E242" s="14">
        <v>8</v>
      </c>
      <c r="F242" s="1"/>
      <c r="G242" s="13"/>
      <c r="H242" s="13"/>
      <c r="I242" s="18"/>
      <c r="J242" s="15">
        <f t="shared" si="9"/>
        <v>0</v>
      </c>
      <c r="K242" s="27">
        <v>101760</v>
      </c>
      <c r="L242" s="27">
        <v>91425</v>
      </c>
      <c r="M242" s="27">
        <v>69840</v>
      </c>
      <c r="N242" s="28">
        <v>95904</v>
      </c>
      <c r="O242" s="15">
        <f t="shared" si="10"/>
        <v>358929</v>
      </c>
      <c r="P242" s="2"/>
      <c r="Q242" s="1"/>
      <c r="R242" s="1"/>
      <c r="S242" s="18"/>
      <c r="T242" s="15">
        <f t="shared" si="11"/>
        <v>0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2"/>
      <c r="CO242" s="1"/>
      <c r="CP242" s="1"/>
      <c r="CQ242" s="1"/>
      <c r="CR242" s="1"/>
      <c r="CS242" s="1"/>
      <c r="CT242" s="1"/>
      <c r="CU242" s="2"/>
      <c r="CV242" s="1"/>
      <c r="CW242" s="1"/>
      <c r="CX242" s="1"/>
      <c r="CY242" s="1"/>
      <c r="CZ242" s="1"/>
      <c r="DA242" s="1"/>
      <c r="DB242" s="1"/>
      <c r="DC242" s="2"/>
    </row>
    <row r="243" spans="1:107" ht="12" customHeight="1">
      <c r="A243" s="1" t="s">
        <v>536</v>
      </c>
      <c r="B243" s="9" t="s">
        <v>167</v>
      </c>
      <c r="C243" s="12" t="s">
        <v>614</v>
      </c>
      <c r="D243" s="12" t="s">
        <v>615</v>
      </c>
      <c r="E243" s="14">
        <v>8</v>
      </c>
      <c r="F243" s="1"/>
      <c r="G243" s="13"/>
      <c r="H243" s="13"/>
      <c r="I243" s="18"/>
      <c r="J243" s="15">
        <f t="shared" si="9"/>
        <v>0</v>
      </c>
      <c r="K243" s="27">
        <v>139841</v>
      </c>
      <c r="L243" s="27">
        <v>140159</v>
      </c>
      <c r="M243" s="27">
        <v>101448</v>
      </c>
      <c r="N243" s="28">
        <v>134460</v>
      </c>
      <c r="O243" s="15">
        <f t="shared" si="10"/>
        <v>515908</v>
      </c>
      <c r="P243" s="2"/>
      <c r="Q243" s="1"/>
      <c r="R243" s="1"/>
      <c r="S243" s="18"/>
      <c r="T243" s="15">
        <f t="shared" si="11"/>
        <v>0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2"/>
      <c r="CO243" s="1"/>
      <c r="CP243" s="1"/>
      <c r="CQ243" s="1"/>
      <c r="CR243" s="1"/>
      <c r="CS243" s="1"/>
      <c r="CT243" s="1"/>
      <c r="CU243" s="2"/>
      <c r="CV243" s="1"/>
      <c r="CW243" s="1"/>
      <c r="CX243" s="1"/>
      <c r="CY243" s="1"/>
      <c r="CZ243" s="1"/>
      <c r="DA243" s="1"/>
      <c r="DB243" s="1"/>
      <c r="DC243" s="2"/>
    </row>
    <row r="244" spans="1:107" ht="12" customHeight="1">
      <c r="A244" s="1" t="s">
        <v>536</v>
      </c>
      <c r="B244" s="9" t="s">
        <v>167</v>
      </c>
      <c r="C244" s="12" t="s">
        <v>616</v>
      </c>
      <c r="D244" s="12" t="s">
        <v>617</v>
      </c>
      <c r="E244" s="14">
        <v>8</v>
      </c>
      <c r="F244" s="1"/>
      <c r="G244" s="13"/>
      <c r="H244" s="13"/>
      <c r="I244" s="18"/>
      <c r="J244" s="15">
        <f t="shared" si="9"/>
        <v>0</v>
      </c>
      <c r="K244" s="27">
        <v>44282</v>
      </c>
      <c r="L244" s="27">
        <v>33390</v>
      </c>
      <c r="M244" s="27">
        <v>36072</v>
      </c>
      <c r="N244" s="28">
        <v>38232</v>
      </c>
      <c r="O244" s="15">
        <f t="shared" si="10"/>
        <v>151976</v>
      </c>
      <c r="P244" s="2"/>
      <c r="Q244" s="1"/>
      <c r="R244" s="1"/>
      <c r="S244" s="18"/>
      <c r="T244" s="15">
        <f t="shared" si="11"/>
        <v>0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2"/>
      <c r="CO244" s="1"/>
      <c r="CP244" s="1"/>
      <c r="CQ244" s="1"/>
      <c r="CR244" s="1"/>
      <c r="CS244" s="1"/>
      <c r="CT244" s="1"/>
      <c r="CU244" s="2"/>
      <c r="CV244" s="1"/>
      <c r="CW244" s="1"/>
      <c r="CX244" s="1"/>
      <c r="CY244" s="1"/>
      <c r="CZ244" s="1"/>
      <c r="DA244" s="1"/>
      <c r="DB244" s="1"/>
      <c r="DC244" s="2"/>
    </row>
    <row r="245" spans="1:107" ht="12" customHeight="1">
      <c r="A245" s="1" t="s">
        <v>536</v>
      </c>
      <c r="B245" s="9" t="s">
        <v>167</v>
      </c>
      <c r="C245" s="12" t="s">
        <v>618</v>
      </c>
      <c r="D245" s="12" t="s">
        <v>619</v>
      </c>
      <c r="E245" s="14">
        <v>8</v>
      </c>
      <c r="F245" s="1"/>
      <c r="G245" s="13"/>
      <c r="H245" s="13"/>
      <c r="I245" s="18"/>
      <c r="J245" s="15">
        <f t="shared" si="9"/>
        <v>0</v>
      </c>
      <c r="K245" s="27">
        <v>60420</v>
      </c>
      <c r="L245" s="27">
        <v>53822</v>
      </c>
      <c r="M245" s="27">
        <v>53712</v>
      </c>
      <c r="N245" s="28">
        <v>55485</v>
      </c>
      <c r="O245" s="15">
        <f t="shared" si="10"/>
        <v>223439</v>
      </c>
      <c r="P245" s="2"/>
      <c r="Q245" s="1"/>
      <c r="R245" s="1"/>
      <c r="S245" s="18"/>
      <c r="T245" s="15">
        <f t="shared" si="11"/>
        <v>0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2"/>
      <c r="CO245" s="1"/>
      <c r="CP245" s="1"/>
      <c r="CQ245" s="1"/>
      <c r="CR245" s="1"/>
      <c r="CS245" s="1"/>
      <c r="CT245" s="1"/>
      <c r="CU245" s="2"/>
      <c r="CV245" s="1"/>
      <c r="CW245" s="1"/>
      <c r="CX245" s="1"/>
      <c r="CY245" s="1"/>
      <c r="CZ245" s="1"/>
      <c r="DA245" s="1"/>
      <c r="DB245" s="1"/>
      <c r="DC245" s="2"/>
    </row>
    <row r="246" spans="1:107" ht="12" customHeight="1">
      <c r="A246" s="1" t="s">
        <v>536</v>
      </c>
      <c r="B246" s="9" t="s">
        <v>167</v>
      </c>
      <c r="C246" s="12" t="s">
        <v>620</v>
      </c>
      <c r="D246" s="12" t="s">
        <v>621</v>
      </c>
      <c r="E246" s="14">
        <v>8</v>
      </c>
      <c r="F246" s="1"/>
      <c r="G246" s="13"/>
      <c r="H246" s="13"/>
      <c r="I246" s="18"/>
      <c r="J246" s="15">
        <f t="shared" si="9"/>
        <v>0</v>
      </c>
      <c r="K246" s="27">
        <v>109869</v>
      </c>
      <c r="L246" s="27">
        <v>107087</v>
      </c>
      <c r="M246" s="27">
        <v>84240</v>
      </c>
      <c r="N246" s="28">
        <v>94284</v>
      </c>
      <c r="O246" s="15">
        <f t="shared" si="10"/>
        <v>395480</v>
      </c>
      <c r="P246" s="2"/>
      <c r="Q246" s="1"/>
      <c r="R246" s="1"/>
      <c r="S246" s="18"/>
      <c r="T246" s="15">
        <f t="shared" si="11"/>
        <v>0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2"/>
      <c r="CO246" s="1"/>
      <c r="CP246" s="1"/>
      <c r="CQ246" s="1"/>
      <c r="CR246" s="1"/>
      <c r="CS246" s="1"/>
      <c r="CT246" s="1"/>
      <c r="CU246" s="2"/>
      <c r="CV246" s="1"/>
      <c r="CW246" s="1"/>
      <c r="CX246" s="1"/>
      <c r="CY246" s="1"/>
      <c r="CZ246" s="1"/>
      <c r="DA246" s="1"/>
      <c r="DB246" s="1"/>
      <c r="DC246" s="2"/>
    </row>
    <row r="247" spans="1:107" ht="12" customHeight="1">
      <c r="A247" s="1" t="s">
        <v>536</v>
      </c>
      <c r="B247" s="9" t="s">
        <v>167</v>
      </c>
      <c r="C247" s="12" t="s">
        <v>622</v>
      </c>
      <c r="D247" s="12" t="s">
        <v>623</v>
      </c>
      <c r="E247" s="14">
        <v>8</v>
      </c>
      <c r="F247" s="1"/>
      <c r="G247" s="13"/>
      <c r="H247" s="13"/>
      <c r="I247" s="18"/>
      <c r="J247" s="15">
        <f t="shared" si="9"/>
        <v>0</v>
      </c>
      <c r="K247" s="27">
        <v>58751</v>
      </c>
      <c r="L247" s="27">
        <v>79898</v>
      </c>
      <c r="M247" s="27">
        <v>33336</v>
      </c>
      <c r="N247" s="28">
        <v>41877</v>
      </c>
      <c r="O247" s="15">
        <f t="shared" si="10"/>
        <v>213862</v>
      </c>
      <c r="P247" s="2"/>
      <c r="Q247" s="1"/>
      <c r="R247" s="1"/>
      <c r="S247" s="18"/>
      <c r="T247" s="15">
        <f t="shared" si="11"/>
        <v>0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2"/>
      <c r="CO247" s="1"/>
      <c r="CP247" s="1"/>
      <c r="CQ247" s="1"/>
      <c r="CR247" s="1"/>
      <c r="CS247" s="1"/>
      <c r="CT247" s="1"/>
      <c r="CU247" s="2"/>
      <c r="CV247" s="1"/>
      <c r="CW247" s="1"/>
      <c r="CX247" s="1"/>
      <c r="CY247" s="1"/>
      <c r="CZ247" s="1"/>
      <c r="DA247" s="1"/>
      <c r="DB247" s="1"/>
      <c r="DC247" s="2"/>
    </row>
    <row r="248" spans="1:107" ht="12" customHeight="1">
      <c r="A248" s="1" t="s">
        <v>536</v>
      </c>
      <c r="B248" s="9" t="s">
        <v>167</v>
      </c>
      <c r="C248" s="12" t="s">
        <v>624</v>
      </c>
      <c r="D248" s="12" t="s">
        <v>625</v>
      </c>
      <c r="E248" s="14">
        <v>8</v>
      </c>
      <c r="F248" s="1"/>
      <c r="G248" s="13"/>
      <c r="H248" s="13"/>
      <c r="I248" s="18"/>
      <c r="J248" s="15">
        <f t="shared" si="9"/>
        <v>0</v>
      </c>
      <c r="K248" s="29"/>
      <c r="L248" s="29"/>
      <c r="M248" s="29"/>
      <c r="N248" s="26"/>
      <c r="O248" s="15">
        <f t="shared" si="10"/>
        <v>0</v>
      </c>
      <c r="P248" s="2"/>
      <c r="Q248" s="1"/>
      <c r="R248" s="1"/>
      <c r="S248" s="18"/>
      <c r="T248" s="15">
        <f t="shared" si="11"/>
        <v>0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2"/>
      <c r="CO248" s="1"/>
      <c r="CP248" s="1"/>
      <c r="CQ248" s="1"/>
      <c r="CR248" s="1"/>
      <c r="CS248" s="1"/>
      <c r="CT248" s="1"/>
      <c r="CU248" s="2"/>
      <c r="CV248" s="1"/>
      <c r="CW248" s="1"/>
      <c r="CX248" s="1"/>
      <c r="CY248" s="1"/>
      <c r="CZ248" s="1"/>
      <c r="DA248" s="1"/>
      <c r="DB248" s="1"/>
      <c r="DC248" s="2"/>
    </row>
    <row r="249" spans="1:107" ht="12" customHeight="1">
      <c r="A249" s="1" t="s">
        <v>536</v>
      </c>
      <c r="B249" s="9" t="s">
        <v>167</v>
      </c>
      <c r="C249" s="12" t="s">
        <v>626</v>
      </c>
      <c r="D249" s="12" t="s">
        <v>627</v>
      </c>
      <c r="E249" s="14">
        <v>8</v>
      </c>
      <c r="F249" s="1"/>
      <c r="G249" s="13"/>
      <c r="H249" s="13"/>
      <c r="I249" s="18"/>
      <c r="J249" s="15">
        <f t="shared" si="9"/>
        <v>0</v>
      </c>
      <c r="K249" s="27">
        <v>73538</v>
      </c>
      <c r="L249" s="27">
        <v>67098</v>
      </c>
      <c r="M249" s="27">
        <v>54216</v>
      </c>
      <c r="N249" s="28">
        <v>58968</v>
      </c>
      <c r="O249" s="15">
        <f t="shared" si="10"/>
        <v>253820</v>
      </c>
      <c r="P249" s="2"/>
      <c r="Q249" s="1"/>
      <c r="R249" s="1"/>
      <c r="S249" s="18"/>
      <c r="T249" s="15">
        <f t="shared" si="11"/>
        <v>0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2"/>
      <c r="CO249" s="1"/>
      <c r="CP249" s="1"/>
      <c r="CQ249" s="1"/>
      <c r="CR249" s="1"/>
      <c r="CS249" s="1"/>
      <c r="CT249" s="1"/>
      <c r="CU249" s="2"/>
      <c r="CV249" s="1"/>
      <c r="CW249" s="1"/>
      <c r="CX249" s="1"/>
      <c r="CY249" s="1"/>
      <c r="CZ249" s="1"/>
      <c r="DA249" s="1"/>
      <c r="DB249" s="1"/>
      <c r="DC249" s="2"/>
    </row>
    <row r="250" spans="1:107" ht="12" customHeight="1">
      <c r="A250" s="1" t="s">
        <v>536</v>
      </c>
      <c r="B250" s="9" t="s">
        <v>167</v>
      </c>
      <c r="C250" s="12" t="s">
        <v>628</v>
      </c>
      <c r="D250" s="12" t="s">
        <v>629</v>
      </c>
      <c r="E250" s="14">
        <v>8</v>
      </c>
      <c r="F250" s="1"/>
      <c r="G250" s="13"/>
      <c r="H250" s="13"/>
      <c r="I250" s="18"/>
      <c r="J250" s="15">
        <f t="shared" si="9"/>
        <v>0</v>
      </c>
      <c r="K250" s="27">
        <v>55332</v>
      </c>
      <c r="L250" s="27">
        <v>52391</v>
      </c>
      <c r="M250" s="27">
        <v>44928</v>
      </c>
      <c r="N250" s="28">
        <v>51921</v>
      </c>
      <c r="O250" s="15">
        <f t="shared" si="10"/>
        <v>204572</v>
      </c>
      <c r="P250" s="2"/>
      <c r="Q250" s="1"/>
      <c r="R250" s="1"/>
      <c r="S250" s="18"/>
      <c r="T250" s="15">
        <f t="shared" si="11"/>
        <v>0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2"/>
      <c r="CO250" s="1"/>
      <c r="CP250" s="1"/>
      <c r="CQ250" s="1"/>
      <c r="CR250" s="1"/>
      <c r="CS250" s="1"/>
      <c r="CT250" s="1"/>
      <c r="CU250" s="2"/>
      <c r="CV250" s="1"/>
      <c r="CW250" s="1"/>
      <c r="CX250" s="1"/>
      <c r="CY250" s="1"/>
      <c r="CZ250" s="1"/>
      <c r="DA250" s="1"/>
      <c r="DB250" s="1"/>
      <c r="DC250" s="2"/>
    </row>
    <row r="251" spans="1:107" ht="12" customHeight="1">
      <c r="A251" s="1" t="s">
        <v>536</v>
      </c>
      <c r="B251" s="9" t="s">
        <v>167</v>
      </c>
      <c r="C251" s="12" t="s">
        <v>630</v>
      </c>
      <c r="D251" s="12" t="s">
        <v>631</v>
      </c>
      <c r="E251" s="14">
        <v>8</v>
      </c>
      <c r="F251" s="1"/>
      <c r="G251" s="13"/>
      <c r="H251" s="13"/>
      <c r="I251" s="18"/>
      <c r="J251" s="15">
        <f t="shared" si="9"/>
        <v>0</v>
      </c>
      <c r="K251" s="27">
        <v>43248</v>
      </c>
      <c r="L251" s="27">
        <v>36809</v>
      </c>
      <c r="M251" s="27">
        <v>37152</v>
      </c>
      <c r="N251" s="28">
        <v>46899</v>
      </c>
      <c r="O251" s="15">
        <f t="shared" si="10"/>
        <v>164108</v>
      </c>
      <c r="P251" s="2"/>
      <c r="Q251" s="1"/>
      <c r="R251" s="1"/>
      <c r="S251" s="18"/>
      <c r="T251" s="15">
        <f t="shared" si="11"/>
        <v>0</v>
      </c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2"/>
      <c r="CO251" s="1"/>
      <c r="CP251" s="1"/>
      <c r="CQ251" s="1"/>
      <c r="CR251" s="1"/>
      <c r="CS251" s="1"/>
      <c r="CT251" s="1"/>
      <c r="CU251" s="2"/>
      <c r="CV251" s="1"/>
      <c r="CW251" s="1"/>
      <c r="CX251" s="1"/>
      <c r="CY251" s="1"/>
      <c r="CZ251" s="1"/>
      <c r="DA251" s="1"/>
      <c r="DB251" s="1"/>
      <c r="DC251" s="2"/>
    </row>
    <row r="252" spans="1:107" ht="12" customHeight="1">
      <c r="A252" s="1" t="s">
        <v>536</v>
      </c>
      <c r="B252" s="9" t="s">
        <v>167</v>
      </c>
      <c r="C252" s="12" t="s">
        <v>632</v>
      </c>
      <c r="D252" s="12" t="s">
        <v>633</v>
      </c>
      <c r="E252" s="14">
        <v>8</v>
      </c>
      <c r="F252" s="1"/>
      <c r="G252" s="13"/>
      <c r="H252" s="13"/>
      <c r="I252" s="18"/>
      <c r="J252" s="15">
        <f t="shared" si="9"/>
        <v>0</v>
      </c>
      <c r="K252" s="27">
        <v>197001</v>
      </c>
      <c r="L252" s="27">
        <v>193106</v>
      </c>
      <c r="M252" s="27">
        <v>163224</v>
      </c>
      <c r="N252" s="28">
        <v>200718</v>
      </c>
      <c r="O252" s="15">
        <f t="shared" si="10"/>
        <v>754049</v>
      </c>
      <c r="P252" s="2"/>
      <c r="Q252" s="1"/>
      <c r="R252" s="1"/>
      <c r="S252" s="18"/>
      <c r="T252" s="15">
        <f t="shared" si="11"/>
        <v>0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2"/>
      <c r="CO252" s="1"/>
      <c r="CP252" s="1"/>
      <c r="CQ252" s="1"/>
      <c r="CR252" s="1"/>
      <c r="CS252" s="1"/>
      <c r="CT252" s="1"/>
      <c r="CU252" s="2"/>
      <c r="CV252" s="1"/>
      <c r="CW252" s="1"/>
      <c r="CX252" s="1"/>
      <c r="CY252" s="1"/>
      <c r="CZ252" s="1"/>
      <c r="DA252" s="1"/>
      <c r="DB252" s="1"/>
      <c r="DC252" s="2"/>
    </row>
    <row r="253" spans="1:107" ht="12" customHeight="1">
      <c r="A253" s="1" t="s">
        <v>536</v>
      </c>
      <c r="B253" s="9" t="s">
        <v>167</v>
      </c>
      <c r="C253" s="12" t="s">
        <v>634</v>
      </c>
      <c r="D253" s="12" t="s">
        <v>635</v>
      </c>
      <c r="E253" s="14">
        <v>8</v>
      </c>
      <c r="F253" s="1"/>
      <c r="G253" s="13"/>
      <c r="H253" s="13"/>
      <c r="I253" s="18"/>
      <c r="J253" s="15">
        <f t="shared" si="9"/>
        <v>0</v>
      </c>
      <c r="K253" s="27">
        <v>99773</v>
      </c>
      <c r="L253" s="27">
        <v>112811</v>
      </c>
      <c r="M253" s="27">
        <v>78912</v>
      </c>
      <c r="N253" s="28">
        <v>103032</v>
      </c>
      <c r="O253" s="15">
        <f t="shared" si="10"/>
        <v>394528</v>
      </c>
      <c r="P253" s="2"/>
      <c r="Q253" s="1"/>
      <c r="R253" s="1"/>
      <c r="S253" s="18"/>
      <c r="T253" s="15">
        <f t="shared" si="11"/>
        <v>0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2"/>
      <c r="CO253" s="1"/>
      <c r="CP253" s="1"/>
      <c r="CQ253" s="1"/>
      <c r="CR253" s="1"/>
      <c r="CS253" s="1"/>
      <c r="CT253" s="1"/>
      <c r="CU253" s="2"/>
      <c r="CV253" s="1"/>
      <c r="CW253" s="1"/>
      <c r="CX253" s="1"/>
      <c r="CY253" s="1"/>
      <c r="CZ253" s="1"/>
      <c r="DA253" s="1"/>
      <c r="DB253" s="1"/>
      <c r="DC253" s="2"/>
    </row>
    <row r="254" spans="1:107" ht="12" customHeight="1">
      <c r="A254" s="1" t="s">
        <v>536</v>
      </c>
      <c r="B254" s="9" t="s">
        <v>167</v>
      </c>
      <c r="C254" s="12" t="s">
        <v>636</v>
      </c>
      <c r="D254" s="12" t="s">
        <v>637</v>
      </c>
      <c r="E254" s="14">
        <v>8</v>
      </c>
      <c r="F254" s="1"/>
      <c r="G254" s="13"/>
      <c r="H254" s="13"/>
      <c r="I254" s="18"/>
      <c r="J254" s="15">
        <f t="shared" si="9"/>
        <v>0</v>
      </c>
      <c r="K254" s="27">
        <v>88086</v>
      </c>
      <c r="L254" s="27">
        <v>95162</v>
      </c>
      <c r="M254" s="27">
        <v>57672</v>
      </c>
      <c r="N254" s="28">
        <v>87561</v>
      </c>
      <c r="O254" s="15">
        <f t="shared" si="10"/>
        <v>328481</v>
      </c>
      <c r="P254" s="2"/>
      <c r="Q254" s="1"/>
      <c r="R254" s="1"/>
      <c r="S254" s="18"/>
      <c r="T254" s="15">
        <f t="shared" si="11"/>
        <v>0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2"/>
      <c r="CO254" s="1"/>
      <c r="CP254" s="1"/>
      <c r="CQ254" s="1"/>
      <c r="CR254" s="1"/>
      <c r="CS254" s="1"/>
      <c r="CT254" s="1"/>
      <c r="CU254" s="2"/>
      <c r="CV254" s="1"/>
      <c r="CW254" s="1"/>
      <c r="CX254" s="1"/>
      <c r="CY254" s="1"/>
      <c r="CZ254" s="1"/>
      <c r="DA254" s="1"/>
      <c r="DB254" s="1"/>
      <c r="DC254" s="2"/>
    </row>
    <row r="255" spans="1:107" ht="12" customHeight="1">
      <c r="A255" s="1" t="s">
        <v>536</v>
      </c>
      <c r="B255" s="9" t="s">
        <v>167</v>
      </c>
      <c r="C255" s="12" t="s">
        <v>638</v>
      </c>
      <c r="D255" s="12" t="s">
        <v>639</v>
      </c>
      <c r="E255" s="14">
        <v>8</v>
      </c>
      <c r="F255" s="1"/>
      <c r="G255" s="13"/>
      <c r="H255" s="13"/>
      <c r="I255" s="18"/>
      <c r="J255" s="15">
        <f t="shared" si="9"/>
        <v>0</v>
      </c>
      <c r="K255" s="27">
        <v>171720</v>
      </c>
      <c r="L255" s="27">
        <v>131016</v>
      </c>
      <c r="M255" s="27">
        <v>108864</v>
      </c>
      <c r="N255" s="28">
        <v>115992</v>
      </c>
      <c r="O255" s="15">
        <f t="shared" si="10"/>
        <v>527592</v>
      </c>
      <c r="P255" s="2"/>
      <c r="Q255" s="1"/>
      <c r="R255" s="1"/>
      <c r="S255" s="18"/>
      <c r="T255" s="15">
        <f t="shared" si="11"/>
        <v>0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2"/>
      <c r="CO255" s="1"/>
      <c r="CP255" s="1"/>
      <c r="CQ255" s="1"/>
      <c r="CR255" s="1"/>
      <c r="CS255" s="1"/>
      <c r="CT255" s="1"/>
      <c r="CU255" s="2"/>
      <c r="CV255" s="1"/>
      <c r="CW255" s="1"/>
      <c r="CX255" s="1"/>
      <c r="CY255" s="1"/>
      <c r="CZ255" s="1"/>
      <c r="DA255" s="1"/>
      <c r="DB255" s="1"/>
      <c r="DC255" s="2"/>
    </row>
    <row r="256" spans="1:107" ht="12" customHeight="1">
      <c r="A256" s="1" t="s">
        <v>536</v>
      </c>
      <c r="B256" s="9" t="s">
        <v>167</v>
      </c>
      <c r="C256" s="12" t="s">
        <v>640</v>
      </c>
      <c r="D256" s="12" t="s">
        <v>641</v>
      </c>
      <c r="E256" s="14">
        <v>8</v>
      </c>
      <c r="F256" s="1"/>
      <c r="G256" s="13"/>
      <c r="H256" s="13"/>
      <c r="I256" s="18"/>
      <c r="J256" s="15">
        <f t="shared" si="9"/>
        <v>0</v>
      </c>
      <c r="K256" s="27">
        <v>351231</v>
      </c>
      <c r="L256" s="27">
        <v>301544</v>
      </c>
      <c r="M256" s="27">
        <v>223200</v>
      </c>
      <c r="N256" s="28">
        <v>425817</v>
      </c>
      <c r="O256" s="15">
        <f t="shared" si="10"/>
        <v>1301792</v>
      </c>
      <c r="P256" s="2"/>
      <c r="Q256" s="1"/>
      <c r="R256" s="1"/>
      <c r="S256" s="18"/>
      <c r="T256" s="15">
        <f t="shared" si="11"/>
        <v>0</v>
      </c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2"/>
      <c r="CO256" s="1"/>
      <c r="CP256" s="1"/>
      <c r="CQ256" s="1"/>
      <c r="CR256" s="1"/>
      <c r="CS256" s="1"/>
      <c r="CT256" s="1"/>
      <c r="CU256" s="2"/>
      <c r="CV256" s="1"/>
      <c r="CW256" s="1"/>
      <c r="CX256" s="1"/>
      <c r="CY256" s="1"/>
      <c r="CZ256" s="1"/>
      <c r="DA256" s="1"/>
      <c r="DB256" s="1"/>
      <c r="DC256" s="2"/>
    </row>
    <row r="257" spans="1:107" ht="12" customHeight="1">
      <c r="A257" s="1" t="s">
        <v>536</v>
      </c>
      <c r="B257" s="9" t="s">
        <v>167</v>
      </c>
      <c r="C257" s="12" t="s">
        <v>642</v>
      </c>
      <c r="D257" s="12" t="s">
        <v>643</v>
      </c>
      <c r="E257" s="14">
        <v>8</v>
      </c>
      <c r="F257" s="1"/>
      <c r="G257" s="13"/>
      <c r="H257" s="13"/>
      <c r="I257" s="18"/>
      <c r="J257" s="15">
        <f t="shared" si="9"/>
        <v>0</v>
      </c>
      <c r="K257" s="27">
        <v>161624</v>
      </c>
      <c r="L257" s="27">
        <v>132050</v>
      </c>
      <c r="M257" s="27">
        <v>92160</v>
      </c>
      <c r="N257" s="28">
        <v>157788</v>
      </c>
      <c r="O257" s="15">
        <f t="shared" si="10"/>
        <v>543622</v>
      </c>
      <c r="P257" s="2"/>
      <c r="Q257" s="1"/>
      <c r="R257" s="1"/>
      <c r="S257" s="18"/>
      <c r="T257" s="15">
        <f t="shared" si="11"/>
        <v>0</v>
      </c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2"/>
      <c r="CO257" s="1"/>
      <c r="CP257" s="1"/>
      <c r="CQ257" s="1"/>
      <c r="CR257" s="1"/>
      <c r="CS257" s="1"/>
      <c r="CT257" s="1"/>
      <c r="CU257" s="2"/>
      <c r="CV257" s="1"/>
      <c r="CW257" s="1"/>
      <c r="CX257" s="1"/>
      <c r="CY257" s="1"/>
      <c r="CZ257" s="1"/>
      <c r="DA257" s="1"/>
      <c r="DB257" s="1"/>
      <c r="DC257" s="2"/>
    </row>
    <row r="258" spans="1:107" ht="12" customHeight="1">
      <c r="A258" s="1" t="s">
        <v>536</v>
      </c>
      <c r="B258" s="9" t="s">
        <v>167</v>
      </c>
      <c r="C258" s="12" t="s">
        <v>644</v>
      </c>
      <c r="D258" s="12" t="s">
        <v>645</v>
      </c>
      <c r="E258" s="14">
        <v>8</v>
      </c>
      <c r="F258" s="1"/>
      <c r="G258" s="13"/>
      <c r="H258" s="13"/>
      <c r="I258" s="18"/>
      <c r="J258" s="15">
        <f t="shared" si="9"/>
        <v>0</v>
      </c>
      <c r="K258" s="27">
        <v>86178</v>
      </c>
      <c r="L258" s="27">
        <v>102476</v>
      </c>
      <c r="M258" s="27">
        <v>69264</v>
      </c>
      <c r="N258" s="28">
        <v>96471</v>
      </c>
      <c r="O258" s="15">
        <f t="shared" si="10"/>
        <v>354389</v>
      </c>
      <c r="P258" s="2"/>
      <c r="Q258" s="1"/>
      <c r="R258" s="1"/>
      <c r="S258" s="18"/>
      <c r="T258" s="15">
        <f t="shared" si="11"/>
        <v>0</v>
      </c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2"/>
      <c r="CO258" s="1"/>
      <c r="CP258" s="1"/>
      <c r="CQ258" s="1"/>
      <c r="CR258" s="1"/>
      <c r="CS258" s="1"/>
      <c r="CT258" s="1"/>
      <c r="CU258" s="2"/>
      <c r="CV258" s="1"/>
      <c r="CW258" s="1"/>
      <c r="CX258" s="1"/>
      <c r="CY258" s="1"/>
      <c r="CZ258" s="1"/>
      <c r="DA258" s="1"/>
      <c r="DB258" s="1"/>
      <c r="DC258" s="2"/>
    </row>
    <row r="259" spans="1:107" ht="12" customHeight="1">
      <c r="A259" s="1" t="s">
        <v>536</v>
      </c>
      <c r="B259" s="9" t="s">
        <v>167</v>
      </c>
      <c r="C259" s="12" t="s">
        <v>646</v>
      </c>
      <c r="D259" s="12" t="s">
        <v>647</v>
      </c>
      <c r="E259" s="14">
        <v>8</v>
      </c>
      <c r="F259" s="1"/>
      <c r="G259" s="13"/>
      <c r="H259" s="13"/>
      <c r="I259" s="18"/>
      <c r="J259" s="15">
        <f t="shared" si="9"/>
        <v>0</v>
      </c>
      <c r="K259" s="27">
        <v>98978</v>
      </c>
      <c r="L259" s="27">
        <v>91664</v>
      </c>
      <c r="M259" s="27">
        <v>82512</v>
      </c>
      <c r="N259" s="28">
        <v>93069</v>
      </c>
      <c r="O259" s="15">
        <f t="shared" si="10"/>
        <v>366223</v>
      </c>
      <c r="P259" s="2"/>
      <c r="Q259" s="1"/>
      <c r="R259" s="1"/>
      <c r="S259" s="18"/>
      <c r="T259" s="15">
        <f t="shared" si="11"/>
        <v>0</v>
      </c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2"/>
      <c r="CO259" s="1"/>
      <c r="CP259" s="1"/>
      <c r="CQ259" s="1"/>
      <c r="CR259" s="1"/>
      <c r="CS259" s="1"/>
      <c r="CT259" s="1"/>
      <c r="CU259" s="2"/>
      <c r="CV259" s="1"/>
      <c r="CW259" s="1"/>
      <c r="CX259" s="1"/>
      <c r="CY259" s="1"/>
      <c r="CZ259" s="1"/>
      <c r="DA259" s="1"/>
      <c r="DB259" s="1"/>
      <c r="DC259" s="2"/>
    </row>
    <row r="260" spans="1:107" ht="12" customHeight="1">
      <c r="A260" s="1" t="s">
        <v>536</v>
      </c>
      <c r="B260" s="9" t="s">
        <v>167</v>
      </c>
      <c r="C260" s="12" t="s">
        <v>648</v>
      </c>
      <c r="D260" s="12" t="s">
        <v>649</v>
      </c>
      <c r="E260" s="14">
        <v>8</v>
      </c>
      <c r="F260" s="1"/>
      <c r="G260" s="13"/>
      <c r="H260" s="13"/>
      <c r="I260" s="18"/>
      <c r="J260" s="15">
        <f t="shared" si="9"/>
        <v>0</v>
      </c>
      <c r="K260" s="27">
        <v>71153</v>
      </c>
      <c r="L260" s="27">
        <v>72027</v>
      </c>
      <c r="M260" s="27">
        <v>54144</v>
      </c>
      <c r="N260" s="28">
        <v>67716</v>
      </c>
      <c r="O260" s="15">
        <f t="shared" si="10"/>
        <v>265040</v>
      </c>
      <c r="P260" s="2"/>
      <c r="Q260" s="1"/>
      <c r="R260" s="1"/>
      <c r="S260" s="18"/>
      <c r="T260" s="15">
        <f t="shared" si="11"/>
        <v>0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2"/>
      <c r="CO260" s="1"/>
      <c r="CP260" s="1"/>
      <c r="CQ260" s="1"/>
      <c r="CR260" s="1"/>
      <c r="CS260" s="1"/>
      <c r="CT260" s="1"/>
      <c r="CU260" s="2"/>
      <c r="CV260" s="1"/>
      <c r="CW260" s="1"/>
      <c r="CX260" s="1"/>
      <c r="CY260" s="1"/>
      <c r="CZ260" s="1"/>
      <c r="DA260" s="1"/>
      <c r="DB260" s="1"/>
      <c r="DC260" s="2"/>
    </row>
    <row r="261" spans="1:107" ht="12" customHeight="1">
      <c r="A261" s="1" t="s">
        <v>536</v>
      </c>
      <c r="B261" s="9" t="s">
        <v>167</v>
      </c>
      <c r="C261" s="12" t="s">
        <v>650</v>
      </c>
      <c r="D261" s="12" t="s">
        <v>651</v>
      </c>
      <c r="E261" s="14">
        <v>8</v>
      </c>
      <c r="F261" s="1"/>
      <c r="G261" s="13"/>
      <c r="H261" s="13"/>
      <c r="I261" s="18"/>
      <c r="J261" s="15">
        <f t="shared" si="9"/>
        <v>0</v>
      </c>
      <c r="K261" s="27">
        <v>184758</v>
      </c>
      <c r="L261" s="27">
        <v>193901</v>
      </c>
      <c r="M261" s="27">
        <v>155448</v>
      </c>
      <c r="N261" s="28">
        <v>192456</v>
      </c>
      <c r="O261" s="15">
        <f t="shared" si="10"/>
        <v>726563</v>
      </c>
      <c r="P261" s="2"/>
      <c r="Q261" s="1"/>
      <c r="R261" s="1"/>
      <c r="S261" s="18"/>
      <c r="T261" s="15">
        <f t="shared" si="11"/>
        <v>0</v>
      </c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2"/>
      <c r="CO261" s="1"/>
      <c r="CP261" s="1"/>
      <c r="CQ261" s="1"/>
      <c r="CR261" s="1"/>
      <c r="CS261" s="1"/>
      <c r="CT261" s="1"/>
      <c r="CU261" s="2"/>
      <c r="CV261" s="1"/>
      <c r="CW261" s="1"/>
      <c r="CX261" s="1"/>
      <c r="CY261" s="1"/>
      <c r="CZ261" s="1"/>
      <c r="DA261" s="1"/>
      <c r="DB261" s="1"/>
      <c r="DC261" s="2"/>
    </row>
    <row r="262" spans="1:107" ht="12" customHeight="1">
      <c r="A262" s="1" t="s">
        <v>536</v>
      </c>
      <c r="B262" s="9" t="s">
        <v>167</v>
      </c>
      <c r="C262" s="12" t="s">
        <v>652</v>
      </c>
      <c r="D262" s="12" t="s">
        <v>653</v>
      </c>
      <c r="E262" s="14">
        <v>8</v>
      </c>
      <c r="F262" s="1"/>
      <c r="G262" s="13"/>
      <c r="H262" s="13"/>
      <c r="I262" s="18"/>
      <c r="J262" s="15">
        <f aca="true" t="shared" si="12" ref="J262:J325">SUM(F262:I262)</f>
        <v>0</v>
      </c>
      <c r="K262" s="29"/>
      <c r="L262" s="27">
        <v>71948</v>
      </c>
      <c r="M262" s="27">
        <v>50688</v>
      </c>
      <c r="N262" s="28">
        <v>77517</v>
      </c>
      <c r="O262" s="15">
        <f aca="true" t="shared" si="13" ref="O262:O325">SUM(K262:N262)</f>
        <v>200153</v>
      </c>
      <c r="P262" s="2"/>
      <c r="Q262" s="1"/>
      <c r="R262" s="1"/>
      <c r="S262" s="18"/>
      <c r="T262" s="15">
        <f aca="true" t="shared" si="14" ref="T262:T325">SUM(P262:S262)</f>
        <v>0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2"/>
      <c r="CO262" s="1"/>
      <c r="CP262" s="1"/>
      <c r="CQ262" s="1"/>
      <c r="CR262" s="1"/>
      <c r="CS262" s="1"/>
      <c r="CT262" s="1"/>
      <c r="CU262" s="2"/>
      <c r="CV262" s="1"/>
      <c r="CW262" s="1"/>
      <c r="CX262" s="1"/>
      <c r="CY262" s="1"/>
      <c r="CZ262" s="1"/>
      <c r="DA262" s="1"/>
      <c r="DB262" s="1"/>
      <c r="DC262" s="2"/>
    </row>
    <row r="263" spans="1:107" ht="12" customHeight="1">
      <c r="A263" s="1" t="s">
        <v>536</v>
      </c>
      <c r="B263" s="9" t="s">
        <v>167</v>
      </c>
      <c r="C263" s="12" t="s">
        <v>654</v>
      </c>
      <c r="D263" s="12" t="s">
        <v>655</v>
      </c>
      <c r="E263" s="14">
        <v>8</v>
      </c>
      <c r="F263" s="1"/>
      <c r="G263" s="13"/>
      <c r="H263" s="13"/>
      <c r="I263" s="18"/>
      <c r="J263" s="15">
        <f t="shared" si="12"/>
        <v>0</v>
      </c>
      <c r="K263" s="27">
        <v>73617</v>
      </c>
      <c r="L263" s="27">
        <v>73776</v>
      </c>
      <c r="M263" s="27">
        <v>39960</v>
      </c>
      <c r="N263" s="28">
        <v>38394</v>
      </c>
      <c r="O263" s="15">
        <f t="shared" si="13"/>
        <v>225747</v>
      </c>
      <c r="P263" s="2"/>
      <c r="Q263" s="1"/>
      <c r="R263" s="1"/>
      <c r="S263" s="18"/>
      <c r="T263" s="15">
        <f t="shared" si="14"/>
        <v>0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2"/>
      <c r="CO263" s="1"/>
      <c r="CP263" s="1"/>
      <c r="CQ263" s="1"/>
      <c r="CR263" s="1"/>
      <c r="CS263" s="1"/>
      <c r="CT263" s="1"/>
      <c r="CU263" s="2"/>
      <c r="CV263" s="1"/>
      <c r="CW263" s="1"/>
      <c r="CX263" s="1"/>
      <c r="CY263" s="1"/>
      <c r="CZ263" s="1"/>
      <c r="DA263" s="1"/>
      <c r="DB263" s="1"/>
      <c r="DC263" s="2"/>
    </row>
    <row r="264" spans="1:107" ht="12" customHeight="1">
      <c r="A264" s="1" t="s">
        <v>536</v>
      </c>
      <c r="B264" s="9" t="s">
        <v>167</v>
      </c>
      <c r="C264" s="12" t="s">
        <v>656</v>
      </c>
      <c r="D264" s="12" t="s">
        <v>657</v>
      </c>
      <c r="E264" s="14">
        <v>8</v>
      </c>
      <c r="F264" s="1"/>
      <c r="G264" s="13"/>
      <c r="H264" s="13"/>
      <c r="I264" s="18"/>
      <c r="J264" s="15">
        <f t="shared" si="12"/>
        <v>0</v>
      </c>
      <c r="K264" s="27">
        <v>156615</v>
      </c>
      <c r="L264" s="27">
        <v>153992</v>
      </c>
      <c r="M264" s="27">
        <v>113328</v>
      </c>
      <c r="N264" s="28">
        <v>130572</v>
      </c>
      <c r="O264" s="15">
        <f t="shared" si="13"/>
        <v>554507</v>
      </c>
      <c r="P264" s="2"/>
      <c r="Q264" s="1"/>
      <c r="R264" s="1"/>
      <c r="S264" s="18"/>
      <c r="T264" s="15">
        <f t="shared" si="14"/>
        <v>0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2"/>
      <c r="CO264" s="1"/>
      <c r="CP264" s="1"/>
      <c r="CQ264" s="1"/>
      <c r="CR264" s="1"/>
      <c r="CS264" s="1"/>
      <c r="CT264" s="1"/>
      <c r="CU264" s="2"/>
      <c r="CV264" s="1"/>
      <c r="CW264" s="1"/>
      <c r="CX264" s="1"/>
      <c r="CY264" s="1"/>
      <c r="CZ264" s="1"/>
      <c r="DA264" s="1"/>
      <c r="DB264" s="1"/>
      <c r="DC264" s="2"/>
    </row>
    <row r="265" spans="1:107" ht="12" customHeight="1">
      <c r="A265" s="1" t="s">
        <v>536</v>
      </c>
      <c r="B265" s="9" t="s">
        <v>128</v>
      </c>
      <c r="C265" s="12" t="s">
        <v>658</v>
      </c>
      <c r="D265" s="165" t="s">
        <v>538</v>
      </c>
      <c r="E265" s="20" t="s">
        <v>305</v>
      </c>
      <c r="F265" s="1"/>
      <c r="G265" s="13">
        <v>9000</v>
      </c>
      <c r="H265" s="13">
        <v>1760</v>
      </c>
      <c r="I265" s="18">
        <v>10013</v>
      </c>
      <c r="J265" s="15">
        <f t="shared" si="12"/>
        <v>20773</v>
      </c>
      <c r="K265" s="1"/>
      <c r="L265" s="1"/>
      <c r="M265" s="1"/>
      <c r="N265" s="18"/>
      <c r="O265" s="15">
        <f t="shared" si="13"/>
        <v>0</v>
      </c>
      <c r="P265" s="2"/>
      <c r="Q265" s="1"/>
      <c r="R265" s="1"/>
      <c r="S265" s="18"/>
      <c r="T265" s="15">
        <f t="shared" si="14"/>
        <v>0</v>
      </c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2"/>
      <c r="CO265" s="1"/>
      <c r="CP265" s="1"/>
      <c r="CQ265" s="1"/>
      <c r="CR265" s="1"/>
      <c r="CS265" s="1"/>
      <c r="CT265" s="1"/>
      <c r="CU265" s="2"/>
      <c r="CV265" s="1"/>
      <c r="CW265" s="1"/>
      <c r="CX265" s="1"/>
      <c r="CY265" s="1"/>
      <c r="CZ265" s="1"/>
      <c r="DA265" s="1"/>
      <c r="DB265" s="1"/>
      <c r="DC265" s="2"/>
    </row>
    <row r="266" spans="1:107" ht="12.75">
      <c r="A266" s="1" t="s">
        <v>536</v>
      </c>
      <c r="B266" s="9" t="s">
        <v>128</v>
      </c>
      <c r="C266" s="12" t="s">
        <v>659</v>
      </c>
      <c r="D266" s="165" t="s">
        <v>660</v>
      </c>
      <c r="E266" s="20" t="s">
        <v>305</v>
      </c>
      <c r="F266" s="1"/>
      <c r="G266" s="1"/>
      <c r="H266" s="1"/>
      <c r="I266" s="18"/>
      <c r="J266" s="15">
        <f t="shared" si="12"/>
        <v>0</v>
      </c>
      <c r="K266" s="1"/>
      <c r="L266" s="1"/>
      <c r="M266" s="1"/>
      <c r="N266" s="18"/>
      <c r="O266" s="15">
        <f t="shared" si="13"/>
        <v>0</v>
      </c>
      <c r="P266" s="1"/>
      <c r="Q266" s="1"/>
      <c r="R266" s="1"/>
      <c r="S266" s="18"/>
      <c r="T266" s="15">
        <f t="shared" si="14"/>
        <v>0</v>
      </c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2"/>
      <c r="CO266" s="1"/>
      <c r="CP266" s="1"/>
      <c r="CQ266" s="1"/>
      <c r="CR266" s="1"/>
      <c r="CS266" s="1"/>
      <c r="CT266" s="1"/>
      <c r="CU266" s="2"/>
      <c r="CV266" s="1"/>
      <c r="CW266" s="1"/>
      <c r="CX266" s="1"/>
      <c r="CY266" s="1"/>
      <c r="CZ266" s="1"/>
      <c r="DA266" s="1"/>
      <c r="DB266" s="1"/>
      <c r="DC266" s="2"/>
    </row>
    <row r="267" spans="1:107" ht="12.75">
      <c r="A267" s="1" t="s">
        <v>661</v>
      </c>
      <c r="B267" s="9" t="s">
        <v>128</v>
      </c>
      <c r="C267" s="12" t="s">
        <v>662</v>
      </c>
      <c r="D267" s="165" t="s">
        <v>663</v>
      </c>
      <c r="E267" s="14" t="s">
        <v>131</v>
      </c>
      <c r="F267" s="13">
        <v>0</v>
      </c>
      <c r="G267" s="13">
        <v>292139</v>
      </c>
      <c r="H267" s="13">
        <v>47418</v>
      </c>
      <c r="I267" s="18">
        <v>319584</v>
      </c>
      <c r="J267" s="15">
        <f t="shared" si="12"/>
        <v>659141</v>
      </c>
      <c r="K267" s="1"/>
      <c r="L267" s="1"/>
      <c r="M267" s="1"/>
      <c r="N267" s="18"/>
      <c r="O267" s="15">
        <f t="shared" si="13"/>
        <v>0</v>
      </c>
      <c r="P267" s="13">
        <v>0</v>
      </c>
      <c r="Q267" s="13">
        <v>49339</v>
      </c>
      <c r="R267" s="13">
        <v>10099</v>
      </c>
      <c r="S267" s="18">
        <v>44442</v>
      </c>
      <c r="T267" s="15">
        <f t="shared" si="14"/>
        <v>103880</v>
      </c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2"/>
      <c r="CO267" s="1"/>
      <c r="CP267" s="1"/>
      <c r="CQ267" s="1"/>
      <c r="CR267" s="1"/>
      <c r="CS267" s="1"/>
      <c r="CT267" s="1"/>
      <c r="CU267" s="2"/>
      <c r="CV267" s="1"/>
      <c r="CW267" s="1"/>
      <c r="CX267" s="1"/>
      <c r="CY267" s="1"/>
      <c r="CZ267" s="1"/>
      <c r="DA267" s="1"/>
      <c r="DB267" s="1"/>
      <c r="DC267" s="2"/>
    </row>
    <row r="268" spans="1:107" ht="12.75">
      <c r="A268" s="1" t="s">
        <v>661</v>
      </c>
      <c r="B268" s="9" t="s">
        <v>128</v>
      </c>
      <c r="C268" s="12" t="s">
        <v>664</v>
      </c>
      <c r="D268" s="165" t="s">
        <v>665</v>
      </c>
      <c r="E268" s="14" t="s">
        <v>136</v>
      </c>
      <c r="F268" s="12">
        <v>4626</v>
      </c>
      <c r="G268" s="13">
        <v>101823</v>
      </c>
      <c r="H268" s="13">
        <v>15673</v>
      </c>
      <c r="I268" s="18">
        <v>107980</v>
      </c>
      <c r="J268" s="15">
        <f t="shared" si="12"/>
        <v>230102</v>
      </c>
      <c r="K268" s="1"/>
      <c r="L268" s="1"/>
      <c r="M268" s="1"/>
      <c r="N268" s="18"/>
      <c r="O268" s="15">
        <f t="shared" si="13"/>
        <v>0</v>
      </c>
      <c r="P268" s="13">
        <v>69</v>
      </c>
      <c r="Q268" s="13">
        <v>7594</v>
      </c>
      <c r="R268" s="13">
        <v>1725</v>
      </c>
      <c r="S268" s="18">
        <v>7754</v>
      </c>
      <c r="T268" s="15">
        <f t="shared" si="14"/>
        <v>17142</v>
      </c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2"/>
      <c r="CO268" s="1"/>
      <c r="CP268" s="1"/>
      <c r="CQ268" s="1"/>
      <c r="CR268" s="1"/>
      <c r="CS268" s="1"/>
      <c r="CT268" s="1"/>
      <c r="CU268" s="2"/>
      <c r="CV268" s="1"/>
      <c r="CW268" s="1"/>
      <c r="CX268" s="1"/>
      <c r="CY268" s="1"/>
      <c r="CZ268" s="1"/>
      <c r="DA268" s="1"/>
      <c r="DB268" s="1"/>
      <c r="DC268" s="2"/>
    </row>
    <row r="269" spans="1:107" ht="12.75">
      <c r="A269" s="1" t="s">
        <v>661</v>
      </c>
      <c r="B269" s="9" t="s">
        <v>128</v>
      </c>
      <c r="C269" s="12" t="s">
        <v>666</v>
      </c>
      <c r="D269" s="165" t="s">
        <v>667</v>
      </c>
      <c r="E269" s="14" t="s">
        <v>148</v>
      </c>
      <c r="F269" s="12">
        <v>0</v>
      </c>
      <c r="G269" s="13">
        <v>37327</v>
      </c>
      <c r="H269" s="13">
        <v>3841</v>
      </c>
      <c r="I269" s="18">
        <v>40981</v>
      </c>
      <c r="J269" s="15">
        <f t="shared" si="12"/>
        <v>82149</v>
      </c>
      <c r="K269" s="1"/>
      <c r="L269" s="1"/>
      <c r="M269" s="1"/>
      <c r="N269" s="18"/>
      <c r="O269" s="15">
        <f t="shared" si="13"/>
        <v>0</v>
      </c>
      <c r="P269" s="13">
        <v>0</v>
      </c>
      <c r="Q269" s="13">
        <v>8836</v>
      </c>
      <c r="R269" s="13">
        <v>3644</v>
      </c>
      <c r="S269" s="18">
        <v>9895</v>
      </c>
      <c r="T269" s="15">
        <f t="shared" si="14"/>
        <v>22375</v>
      </c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2"/>
      <c r="CO269" s="1"/>
      <c r="CP269" s="1"/>
      <c r="CQ269" s="1"/>
      <c r="CR269" s="1"/>
      <c r="CS269" s="1"/>
      <c r="CT269" s="1"/>
      <c r="CU269" s="2"/>
      <c r="CV269" s="1"/>
      <c r="CW269" s="1"/>
      <c r="CX269" s="1"/>
      <c r="CY269" s="1"/>
      <c r="CZ269" s="1"/>
      <c r="DA269" s="1"/>
      <c r="DB269" s="1"/>
      <c r="DC269" s="2"/>
    </row>
    <row r="270" spans="1:93" ht="12.75">
      <c r="A270" s="1" t="s">
        <v>661</v>
      </c>
      <c r="B270" s="9" t="s">
        <v>128</v>
      </c>
      <c r="C270" s="12" t="s">
        <v>668</v>
      </c>
      <c r="D270" s="165" t="s">
        <v>669</v>
      </c>
      <c r="E270" s="14" t="s">
        <v>148</v>
      </c>
      <c r="F270" s="13">
        <v>1723</v>
      </c>
      <c r="G270" s="13">
        <v>57033</v>
      </c>
      <c r="H270" s="13">
        <v>5465</v>
      </c>
      <c r="I270" s="18">
        <v>62319</v>
      </c>
      <c r="J270" s="15">
        <f t="shared" si="12"/>
        <v>126540</v>
      </c>
      <c r="K270" s="1"/>
      <c r="L270" s="1"/>
      <c r="M270" s="1"/>
      <c r="N270" s="18"/>
      <c r="O270" s="15">
        <f t="shared" si="13"/>
        <v>0</v>
      </c>
      <c r="P270" s="13">
        <v>59</v>
      </c>
      <c r="Q270" s="13">
        <v>4487</v>
      </c>
      <c r="R270" s="13">
        <v>2943</v>
      </c>
      <c r="S270" s="18">
        <v>4239</v>
      </c>
      <c r="T270" s="15">
        <f t="shared" si="14"/>
        <v>11728</v>
      </c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30"/>
    </row>
    <row r="271" spans="1:109" ht="12.75">
      <c r="A271" s="1" t="s">
        <v>661</v>
      </c>
      <c r="B271" s="9" t="s">
        <v>128</v>
      </c>
      <c r="C271" s="12" t="s">
        <v>670</v>
      </c>
      <c r="D271" s="165" t="s">
        <v>671</v>
      </c>
      <c r="E271" s="14" t="s">
        <v>148</v>
      </c>
      <c r="F271" s="13">
        <v>0</v>
      </c>
      <c r="G271" s="13">
        <v>71638</v>
      </c>
      <c r="H271" s="13">
        <v>5655</v>
      </c>
      <c r="I271" s="18">
        <v>74647</v>
      </c>
      <c r="J271" s="15">
        <f t="shared" si="12"/>
        <v>151940</v>
      </c>
      <c r="K271" s="1"/>
      <c r="L271" s="1"/>
      <c r="M271" s="1"/>
      <c r="N271" s="18"/>
      <c r="O271" s="15">
        <f t="shared" si="13"/>
        <v>0</v>
      </c>
      <c r="P271" s="13">
        <v>0</v>
      </c>
      <c r="Q271" s="13">
        <v>2854</v>
      </c>
      <c r="R271" s="13">
        <v>220</v>
      </c>
      <c r="S271" s="18">
        <v>2864</v>
      </c>
      <c r="T271" s="15">
        <f t="shared" si="14"/>
        <v>5938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2"/>
      <c r="CV271" s="1"/>
      <c r="CW271" s="1"/>
      <c r="CX271" s="1"/>
      <c r="CY271" s="1"/>
      <c r="CZ271" s="1"/>
      <c r="DA271" s="1"/>
      <c r="DB271" s="1"/>
      <c r="DC271" s="2"/>
      <c r="DD271" s="1"/>
      <c r="DE271" s="2"/>
    </row>
    <row r="272" spans="1:92" ht="12.75">
      <c r="A272" s="1" t="s">
        <v>661</v>
      </c>
      <c r="B272" s="9" t="s">
        <v>128</v>
      </c>
      <c r="C272" s="12" t="s">
        <v>672</v>
      </c>
      <c r="D272" s="165" t="s">
        <v>673</v>
      </c>
      <c r="E272" s="14" t="s">
        <v>148</v>
      </c>
      <c r="F272" s="12">
        <v>4570</v>
      </c>
      <c r="G272" s="13">
        <v>69777</v>
      </c>
      <c r="H272" s="13">
        <v>3462</v>
      </c>
      <c r="I272" s="18">
        <v>70995</v>
      </c>
      <c r="J272" s="15">
        <f t="shared" si="12"/>
        <v>148804</v>
      </c>
      <c r="K272" s="1"/>
      <c r="L272" s="1"/>
      <c r="M272" s="1"/>
      <c r="N272" s="18"/>
      <c r="O272" s="15">
        <f t="shared" si="13"/>
        <v>0</v>
      </c>
      <c r="P272" s="13">
        <v>148</v>
      </c>
      <c r="Q272" s="13">
        <v>2755</v>
      </c>
      <c r="R272" s="13">
        <v>1247</v>
      </c>
      <c r="S272" s="18">
        <v>2748</v>
      </c>
      <c r="T272" s="15">
        <f t="shared" si="14"/>
        <v>6898</v>
      </c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2"/>
    </row>
    <row r="273" spans="1:92" ht="12.75">
      <c r="A273" s="1" t="s">
        <v>661</v>
      </c>
      <c r="B273" s="9" t="s">
        <v>128</v>
      </c>
      <c r="C273" s="12" t="s">
        <v>674</v>
      </c>
      <c r="D273" s="165" t="s">
        <v>675</v>
      </c>
      <c r="E273" s="14" t="s">
        <v>148</v>
      </c>
      <c r="F273" s="12">
        <v>2933</v>
      </c>
      <c r="G273" s="13">
        <v>143972</v>
      </c>
      <c r="H273" s="13">
        <v>21080</v>
      </c>
      <c r="I273" s="18">
        <v>156052</v>
      </c>
      <c r="J273" s="15">
        <f t="shared" si="12"/>
        <v>324037</v>
      </c>
      <c r="K273" s="1"/>
      <c r="L273" s="1"/>
      <c r="M273" s="1"/>
      <c r="N273" s="18"/>
      <c r="O273" s="15">
        <f t="shared" si="13"/>
        <v>0</v>
      </c>
      <c r="P273" s="13">
        <v>123</v>
      </c>
      <c r="Q273" s="13">
        <v>8065</v>
      </c>
      <c r="R273" s="13">
        <v>3797</v>
      </c>
      <c r="S273" s="18">
        <v>8916</v>
      </c>
      <c r="T273" s="15">
        <f t="shared" si="14"/>
        <v>20901</v>
      </c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2"/>
    </row>
    <row r="274" spans="1:20" ht="12.75">
      <c r="A274" s="1" t="s">
        <v>661</v>
      </c>
      <c r="B274" s="9" t="s">
        <v>128</v>
      </c>
      <c r="C274" s="12" t="s">
        <v>676</v>
      </c>
      <c r="D274" s="165" t="s">
        <v>677</v>
      </c>
      <c r="E274" s="14" t="s">
        <v>148</v>
      </c>
      <c r="F274" s="12">
        <v>0</v>
      </c>
      <c r="G274" s="13">
        <v>19313</v>
      </c>
      <c r="H274" s="13">
        <v>4426</v>
      </c>
      <c r="I274" s="18">
        <v>19213</v>
      </c>
      <c r="J274" s="15">
        <f t="shared" si="12"/>
        <v>42952</v>
      </c>
      <c r="K274" s="1"/>
      <c r="L274" s="1"/>
      <c r="M274" s="1"/>
      <c r="N274" s="18"/>
      <c r="O274" s="15">
        <f t="shared" si="13"/>
        <v>0</v>
      </c>
      <c r="P274" s="13">
        <v>0</v>
      </c>
      <c r="Q274" s="13">
        <v>21105</v>
      </c>
      <c r="R274" s="13">
        <v>4092</v>
      </c>
      <c r="S274" s="18">
        <v>22773</v>
      </c>
      <c r="T274" s="15">
        <f t="shared" si="14"/>
        <v>47970</v>
      </c>
    </row>
    <row r="275" spans="1:92" ht="12.75">
      <c r="A275" s="1" t="s">
        <v>661</v>
      </c>
      <c r="B275" s="9" t="s">
        <v>128</v>
      </c>
      <c r="C275" s="12" t="s">
        <v>678</v>
      </c>
      <c r="D275" s="165" t="s">
        <v>679</v>
      </c>
      <c r="E275" s="14" t="s">
        <v>157</v>
      </c>
      <c r="F275" s="12">
        <v>0</v>
      </c>
      <c r="G275" s="13">
        <v>35417</v>
      </c>
      <c r="H275" s="13">
        <v>2691</v>
      </c>
      <c r="I275" s="18">
        <v>35733</v>
      </c>
      <c r="J275" s="15">
        <f t="shared" si="12"/>
        <v>73841</v>
      </c>
      <c r="K275" s="1"/>
      <c r="L275" s="1"/>
      <c r="M275" s="1"/>
      <c r="N275" s="18"/>
      <c r="O275" s="15">
        <f t="shared" si="13"/>
        <v>0</v>
      </c>
      <c r="P275" s="13">
        <v>0</v>
      </c>
      <c r="Q275" s="13">
        <v>2974</v>
      </c>
      <c r="R275" s="13">
        <v>1813</v>
      </c>
      <c r="S275" s="18">
        <v>3061</v>
      </c>
      <c r="T275" s="15">
        <f t="shared" si="14"/>
        <v>7848</v>
      </c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2"/>
    </row>
    <row r="276" spans="1:92" ht="12.75">
      <c r="A276" s="1" t="s">
        <v>661</v>
      </c>
      <c r="B276" s="9" t="s">
        <v>128</v>
      </c>
      <c r="C276" s="12" t="s">
        <v>680</v>
      </c>
      <c r="D276" s="165" t="s">
        <v>681</v>
      </c>
      <c r="E276" s="14" t="s">
        <v>157</v>
      </c>
      <c r="F276" s="12">
        <v>571</v>
      </c>
      <c r="G276" s="13">
        <v>36452</v>
      </c>
      <c r="H276" s="13">
        <v>1612</v>
      </c>
      <c r="I276" s="18">
        <v>37644</v>
      </c>
      <c r="J276" s="15">
        <f t="shared" si="12"/>
        <v>76279</v>
      </c>
      <c r="K276" s="1"/>
      <c r="L276" s="1"/>
      <c r="M276" s="1"/>
      <c r="N276" s="18"/>
      <c r="O276" s="15">
        <f t="shared" si="13"/>
        <v>0</v>
      </c>
      <c r="P276" s="13">
        <v>39</v>
      </c>
      <c r="Q276" s="13">
        <v>1709</v>
      </c>
      <c r="R276" s="13">
        <v>410</v>
      </c>
      <c r="S276" s="18">
        <v>2123</v>
      </c>
      <c r="T276" s="15">
        <f t="shared" si="14"/>
        <v>4281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2"/>
    </row>
    <row r="277" spans="1:92" ht="12.75">
      <c r="A277" s="1" t="s">
        <v>661</v>
      </c>
      <c r="B277" s="9" t="s">
        <v>128</v>
      </c>
      <c r="C277" s="12" t="s">
        <v>682</v>
      </c>
      <c r="D277" s="165" t="s">
        <v>683</v>
      </c>
      <c r="E277" s="14" t="s">
        <v>166</v>
      </c>
      <c r="F277" s="12">
        <v>0</v>
      </c>
      <c r="G277" s="13">
        <v>22331</v>
      </c>
      <c r="H277" s="13">
        <v>1038</v>
      </c>
      <c r="I277" s="18">
        <v>23962</v>
      </c>
      <c r="J277" s="15">
        <f t="shared" si="12"/>
        <v>47331</v>
      </c>
      <c r="K277" s="1"/>
      <c r="L277" s="1"/>
      <c r="M277" s="1"/>
      <c r="N277" s="18"/>
      <c r="O277" s="15">
        <f t="shared" si="13"/>
        <v>0</v>
      </c>
      <c r="P277" s="13">
        <v>0</v>
      </c>
      <c r="Q277" s="13">
        <v>0</v>
      </c>
      <c r="R277" s="13">
        <v>0</v>
      </c>
      <c r="S277" s="18">
        <v>0</v>
      </c>
      <c r="T277" s="15">
        <f t="shared" si="14"/>
        <v>0</v>
      </c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31"/>
    </row>
    <row r="278" spans="1:20" ht="12.75">
      <c r="A278" s="1" t="s">
        <v>661</v>
      </c>
      <c r="B278" s="9" t="s">
        <v>128</v>
      </c>
      <c r="C278" s="13" t="s">
        <v>684</v>
      </c>
      <c r="D278" s="166" t="s">
        <v>685</v>
      </c>
      <c r="E278" s="14" t="s">
        <v>170</v>
      </c>
      <c r="F278" s="13">
        <v>0</v>
      </c>
      <c r="G278" s="13">
        <f>570+110</f>
        <v>680</v>
      </c>
      <c r="H278" s="13">
        <f>67+240</f>
        <v>307</v>
      </c>
      <c r="I278" s="18">
        <v>20729</v>
      </c>
      <c r="J278" s="15">
        <f t="shared" si="12"/>
        <v>21716</v>
      </c>
      <c r="K278" s="12"/>
      <c r="L278" s="12"/>
      <c r="M278" s="12"/>
      <c r="N278" s="18"/>
      <c r="O278" s="15">
        <f t="shared" si="13"/>
        <v>0</v>
      </c>
      <c r="P278" s="12"/>
      <c r="Q278" s="12"/>
      <c r="R278" s="12"/>
      <c r="S278" s="18"/>
      <c r="T278" s="15">
        <f t="shared" si="14"/>
        <v>0</v>
      </c>
    </row>
    <row r="279" spans="1:20" ht="12.75">
      <c r="A279" s="1" t="s">
        <v>661</v>
      </c>
      <c r="B279" s="9" t="s">
        <v>128</v>
      </c>
      <c r="C279" s="12" t="s">
        <v>686</v>
      </c>
      <c r="D279" s="165" t="s">
        <v>687</v>
      </c>
      <c r="E279" s="14" t="s">
        <v>170</v>
      </c>
      <c r="F279" s="12">
        <v>0</v>
      </c>
      <c r="G279" s="13">
        <v>78060</v>
      </c>
      <c r="H279" s="13">
        <v>15577</v>
      </c>
      <c r="I279" s="18">
        <v>106980</v>
      </c>
      <c r="J279" s="15">
        <f t="shared" si="12"/>
        <v>200617</v>
      </c>
      <c r="K279" s="1"/>
      <c r="L279" s="1"/>
      <c r="M279" s="1"/>
      <c r="N279" s="18"/>
      <c r="O279" s="15">
        <f t="shared" si="13"/>
        <v>0</v>
      </c>
      <c r="P279" s="1"/>
      <c r="Q279" s="1"/>
      <c r="R279" s="1"/>
      <c r="S279" s="18"/>
      <c r="T279" s="15">
        <f t="shared" si="14"/>
        <v>0</v>
      </c>
    </row>
    <row r="280" spans="1:92" ht="12.75">
      <c r="A280" s="1" t="s">
        <v>661</v>
      </c>
      <c r="B280" s="9" t="s">
        <v>128</v>
      </c>
      <c r="C280" s="12" t="s">
        <v>688</v>
      </c>
      <c r="D280" s="165" t="s">
        <v>689</v>
      </c>
      <c r="E280" s="14" t="s">
        <v>170</v>
      </c>
      <c r="F280" s="12">
        <v>0</v>
      </c>
      <c r="G280" s="13">
        <v>59188</v>
      </c>
      <c r="H280" s="13">
        <v>10580</v>
      </c>
      <c r="I280" s="18">
        <v>56003</v>
      </c>
      <c r="J280" s="15">
        <f t="shared" si="12"/>
        <v>125771</v>
      </c>
      <c r="K280" s="1"/>
      <c r="L280" s="1"/>
      <c r="M280" s="1"/>
      <c r="N280" s="18"/>
      <c r="O280" s="15">
        <f t="shared" si="13"/>
        <v>0</v>
      </c>
      <c r="P280" s="1"/>
      <c r="Q280" s="1"/>
      <c r="R280" s="1"/>
      <c r="S280" s="18"/>
      <c r="T280" s="15">
        <f t="shared" si="14"/>
        <v>0</v>
      </c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2"/>
    </row>
    <row r="281" spans="1:92" ht="12.75">
      <c r="A281" s="1" t="s">
        <v>661</v>
      </c>
      <c r="B281" s="9" t="s">
        <v>128</v>
      </c>
      <c r="C281" s="12" t="s">
        <v>690</v>
      </c>
      <c r="D281" s="165" t="s">
        <v>691</v>
      </c>
      <c r="E281" s="14" t="s">
        <v>170</v>
      </c>
      <c r="F281" s="12">
        <v>0</v>
      </c>
      <c r="G281" s="13">
        <v>16910</v>
      </c>
      <c r="H281" s="13">
        <v>2586</v>
      </c>
      <c r="I281" s="18">
        <v>23820</v>
      </c>
      <c r="J281" s="15">
        <f t="shared" si="12"/>
        <v>43316</v>
      </c>
      <c r="K281" s="1"/>
      <c r="L281" s="1"/>
      <c r="M281" s="1"/>
      <c r="N281" s="18"/>
      <c r="O281" s="15">
        <f t="shared" si="13"/>
        <v>0</v>
      </c>
      <c r="P281" s="1"/>
      <c r="Q281" s="1"/>
      <c r="R281" s="1"/>
      <c r="S281" s="18"/>
      <c r="T281" s="15">
        <f t="shared" si="14"/>
        <v>0</v>
      </c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2"/>
    </row>
    <row r="282" spans="1:92" ht="12.75">
      <c r="A282" s="1" t="s">
        <v>661</v>
      </c>
      <c r="B282" s="9" t="s">
        <v>128</v>
      </c>
      <c r="C282" s="12" t="s">
        <v>692</v>
      </c>
      <c r="D282" s="165" t="s">
        <v>693</v>
      </c>
      <c r="E282" s="14" t="s">
        <v>170</v>
      </c>
      <c r="F282" s="12">
        <v>0</v>
      </c>
      <c r="G282" s="13">
        <v>66382</v>
      </c>
      <c r="H282" s="13">
        <v>15608</v>
      </c>
      <c r="I282" s="18">
        <v>106710</v>
      </c>
      <c r="J282" s="15">
        <f t="shared" si="12"/>
        <v>188700</v>
      </c>
      <c r="K282" s="1"/>
      <c r="L282" s="1"/>
      <c r="M282" s="1"/>
      <c r="N282" s="18"/>
      <c r="O282" s="15">
        <f t="shared" si="13"/>
        <v>0</v>
      </c>
      <c r="P282" s="1"/>
      <c r="Q282" s="1"/>
      <c r="R282" s="1"/>
      <c r="S282" s="18"/>
      <c r="T282" s="15">
        <f t="shared" si="14"/>
        <v>0</v>
      </c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2"/>
    </row>
    <row r="283" spans="1:20" ht="12.75">
      <c r="A283" s="1" t="s">
        <v>661</v>
      </c>
      <c r="B283" s="9" t="s">
        <v>128</v>
      </c>
      <c r="C283" s="12" t="s">
        <v>694</v>
      </c>
      <c r="D283" s="165" t="s">
        <v>695</v>
      </c>
      <c r="E283" s="14" t="s">
        <v>170</v>
      </c>
      <c r="F283" s="12">
        <v>0</v>
      </c>
      <c r="G283" s="13">
        <v>8531</v>
      </c>
      <c r="H283" s="13">
        <v>1528</v>
      </c>
      <c r="I283" s="18">
        <v>17730</v>
      </c>
      <c r="J283" s="15">
        <f t="shared" si="12"/>
        <v>27789</v>
      </c>
      <c r="K283" s="1"/>
      <c r="L283" s="1"/>
      <c r="M283" s="1"/>
      <c r="N283" s="18"/>
      <c r="O283" s="15">
        <f t="shared" si="13"/>
        <v>0</v>
      </c>
      <c r="P283" s="1"/>
      <c r="Q283" s="1"/>
      <c r="R283" s="1"/>
      <c r="S283" s="18"/>
      <c r="T283" s="15">
        <f t="shared" si="14"/>
        <v>0</v>
      </c>
    </row>
    <row r="284" spans="1:92" ht="12.75">
      <c r="A284" s="1" t="s">
        <v>661</v>
      </c>
      <c r="B284" s="9" t="s">
        <v>128</v>
      </c>
      <c r="C284" s="12" t="s">
        <v>696</v>
      </c>
      <c r="D284" s="165" t="s">
        <v>697</v>
      </c>
      <c r="E284" s="14" t="s">
        <v>170</v>
      </c>
      <c r="F284" s="12">
        <v>0</v>
      </c>
      <c r="G284" s="13">
        <v>36132</v>
      </c>
      <c r="H284" s="13">
        <v>8557</v>
      </c>
      <c r="I284" s="18">
        <v>53946</v>
      </c>
      <c r="J284" s="15">
        <f t="shared" si="12"/>
        <v>98635</v>
      </c>
      <c r="K284" s="1"/>
      <c r="L284" s="1"/>
      <c r="M284" s="1"/>
      <c r="N284" s="18"/>
      <c r="O284" s="15">
        <f t="shared" si="13"/>
        <v>0</v>
      </c>
      <c r="P284" s="1"/>
      <c r="Q284" s="1"/>
      <c r="R284" s="1"/>
      <c r="S284" s="18"/>
      <c r="T284" s="15">
        <f t="shared" si="14"/>
        <v>0</v>
      </c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2"/>
    </row>
    <row r="285" spans="1:92" ht="12.75">
      <c r="A285" s="1" t="s">
        <v>661</v>
      </c>
      <c r="B285" s="9" t="s">
        <v>128</v>
      </c>
      <c r="C285" s="12" t="s">
        <v>698</v>
      </c>
      <c r="D285" s="165" t="s">
        <v>699</v>
      </c>
      <c r="E285" s="14" t="s">
        <v>170</v>
      </c>
      <c r="F285" s="12">
        <v>0</v>
      </c>
      <c r="G285" s="13">
        <v>12558</v>
      </c>
      <c r="H285" s="13">
        <v>2002</v>
      </c>
      <c r="I285" s="18">
        <v>15210</v>
      </c>
      <c r="J285" s="15">
        <f t="shared" si="12"/>
        <v>29770</v>
      </c>
      <c r="K285" s="1"/>
      <c r="L285" s="1"/>
      <c r="M285" s="1"/>
      <c r="N285" s="18"/>
      <c r="O285" s="15">
        <f t="shared" si="13"/>
        <v>0</v>
      </c>
      <c r="P285" s="1"/>
      <c r="Q285" s="1"/>
      <c r="R285" s="1"/>
      <c r="S285" s="18"/>
      <c r="T285" s="15">
        <f t="shared" si="14"/>
        <v>0</v>
      </c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2"/>
    </row>
    <row r="286" spans="1:92" ht="12.75">
      <c r="A286" s="1" t="s">
        <v>661</v>
      </c>
      <c r="B286" s="9" t="s">
        <v>128</v>
      </c>
      <c r="C286" s="12" t="s">
        <v>700</v>
      </c>
      <c r="D286" s="165" t="s">
        <v>701</v>
      </c>
      <c r="E286" s="14" t="s">
        <v>170</v>
      </c>
      <c r="F286" s="12">
        <v>0</v>
      </c>
      <c r="G286" s="13">
        <v>20456</v>
      </c>
      <c r="H286" s="13">
        <v>3199</v>
      </c>
      <c r="I286" s="18">
        <v>27300</v>
      </c>
      <c r="J286" s="15">
        <f t="shared" si="12"/>
        <v>50955</v>
      </c>
      <c r="K286" s="1"/>
      <c r="L286" s="1"/>
      <c r="M286" s="1"/>
      <c r="N286" s="18"/>
      <c r="O286" s="15">
        <f t="shared" si="13"/>
        <v>0</v>
      </c>
      <c r="P286" s="1"/>
      <c r="Q286" s="1"/>
      <c r="R286" s="1"/>
      <c r="S286" s="18"/>
      <c r="T286" s="15">
        <f t="shared" si="14"/>
        <v>0</v>
      </c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2"/>
    </row>
    <row r="287" spans="1:92" ht="12.75">
      <c r="A287" s="1" t="s">
        <v>661</v>
      </c>
      <c r="B287" s="9" t="s">
        <v>128</v>
      </c>
      <c r="C287" s="12" t="s">
        <v>702</v>
      </c>
      <c r="D287" s="165" t="s">
        <v>703</v>
      </c>
      <c r="E287" s="14" t="s">
        <v>170</v>
      </c>
      <c r="F287" s="12">
        <v>0</v>
      </c>
      <c r="G287" s="13">
        <v>62221</v>
      </c>
      <c r="H287" s="13">
        <v>9368</v>
      </c>
      <c r="I287" s="18">
        <v>89730</v>
      </c>
      <c r="J287" s="15">
        <f t="shared" si="12"/>
        <v>161319</v>
      </c>
      <c r="K287" s="1"/>
      <c r="L287" s="1"/>
      <c r="M287" s="1"/>
      <c r="N287" s="18"/>
      <c r="O287" s="15">
        <f t="shared" si="13"/>
        <v>0</v>
      </c>
      <c r="P287" s="1"/>
      <c r="Q287" s="1"/>
      <c r="R287" s="1"/>
      <c r="S287" s="18"/>
      <c r="T287" s="15">
        <f t="shared" si="14"/>
        <v>0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2"/>
    </row>
    <row r="288" spans="1:92" ht="12" customHeight="1">
      <c r="A288" s="1" t="s">
        <v>661</v>
      </c>
      <c r="B288" s="9" t="s">
        <v>128</v>
      </c>
      <c r="C288" s="12" t="s">
        <v>704</v>
      </c>
      <c r="D288" s="165" t="s">
        <v>705</v>
      </c>
      <c r="E288" s="14" t="s">
        <v>170</v>
      </c>
      <c r="F288" s="12">
        <v>0</v>
      </c>
      <c r="G288" s="13">
        <v>29842</v>
      </c>
      <c r="H288" s="13">
        <v>5902</v>
      </c>
      <c r="I288" s="18">
        <v>35280</v>
      </c>
      <c r="J288" s="15">
        <f t="shared" si="12"/>
        <v>71024</v>
      </c>
      <c r="K288" s="1"/>
      <c r="L288" s="1"/>
      <c r="M288" s="1"/>
      <c r="N288" s="18"/>
      <c r="O288" s="15">
        <f t="shared" si="13"/>
        <v>0</v>
      </c>
      <c r="P288" s="1"/>
      <c r="Q288" s="1"/>
      <c r="R288" s="1"/>
      <c r="S288" s="18"/>
      <c r="T288" s="15">
        <f t="shared" si="14"/>
        <v>0</v>
      </c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2"/>
    </row>
    <row r="289" spans="1:92" ht="12" customHeight="1">
      <c r="A289" s="1" t="s">
        <v>661</v>
      </c>
      <c r="B289" s="9" t="s">
        <v>128</v>
      </c>
      <c r="C289" s="12" t="s">
        <v>706</v>
      </c>
      <c r="D289" s="165" t="s">
        <v>707</v>
      </c>
      <c r="E289" s="14" t="s">
        <v>170</v>
      </c>
      <c r="F289" s="12">
        <v>0</v>
      </c>
      <c r="G289" s="12">
        <v>5026</v>
      </c>
      <c r="H289" s="13">
        <v>287</v>
      </c>
      <c r="I289" s="18">
        <v>9986</v>
      </c>
      <c r="J289" s="15">
        <f t="shared" si="12"/>
        <v>15299</v>
      </c>
      <c r="K289" s="1"/>
      <c r="L289" s="1"/>
      <c r="M289" s="1"/>
      <c r="N289" s="18"/>
      <c r="O289" s="15">
        <f t="shared" si="13"/>
        <v>0</v>
      </c>
      <c r="P289" s="1"/>
      <c r="Q289" s="1"/>
      <c r="R289" s="1"/>
      <c r="S289" s="18"/>
      <c r="T289" s="15">
        <f t="shared" si="14"/>
        <v>0</v>
      </c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2"/>
    </row>
    <row r="290" spans="1:92" ht="12" customHeight="1">
      <c r="A290" s="1" t="s">
        <v>661</v>
      </c>
      <c r="B290" s="9" t="s">
        <v>128</v>
      </c>
      <c r="C290" s="12" t="s">
        <v>708</v>
      </c>
      <c r="D290" s="165" t="s">
        <v>709</v>
      </c>
      <c r="E290" s="14" t="s">
        <v>170</v>
      </c>
      <c r="F290" s="12">
        <v>0</v>
      </c>
      <c r="G290" s="12">
        <v>18420</v>
      </c>
      <c r="H290" s="13">
        <v>2927</v>
      </c>
      <c r="I290" s="18">
        <v>27120</v>
      </c>
      <c r="J290" s="15">
        <f t="shared" si="12"/>
        <v>48467</v>
      </c>
      <c r="K290" s="1"/>
      <c r="L290" s="1"/>
      <c r="M290" s="1"/>
      <c r="N290" s="18"/>
      <c r="O290" s="15">
        <f t="shared" si="13"/>
        <v>0</v>
      </c>
      <c r="P290" s="1"/>
      <c r="Q290" s="1"/>
      <c r="R290" s="1"/>
      <c r="S290" s="18"/>
      <c r="T290" s="15">
        <f t="shared" si="14"/>
        <v>0</v>
      </c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2"/>
    </row>
    <row r="291" spans="1:92" ht="12" customHeight="1">
      <c r="A291" s="1" t="s">
        <v>661</v>
      </c>
      <c r="B291" s="9" t="s">
        <v>128</v>
      </c>
      <c r="C291" s="12" t="s">
        <v>710</v>
      </c>
      <c r="D291" s="165" t="s">
        <v>711</v>
      </c>
      <c r="E291" s="14" t="s">
        <v>170</v>
      </c>
      <c r="F291" s="12">
        <v>0</v>
      </c>
      <c r="G291" s="12">
        <v>30524</v>
      </c>
      <c r="H291" s="13">
        <v>6341</v>
      </c>
      <c r="I291" s="18">
        <v>52170</v>
      </c>
      <c r="J291" s="15">
        <f t="shared" si="12"/>
        <v>89035</v>
      </c>
      <c r="K291" s="1"/>
      <c r="L291" s="1"/>
      <c r="M291" s="1"/>
      <c r="N291" s="18"/>
      <c r="O291" s="15">
        <f t="shared" si="13"/>
        <v>0</v>
      </c>
      <c r="P291" s="1"/>
      <c r="Q291" s="1"/>
      <c r="R291" s="1"/>
      <c r="S291" s="18"/>
      <c r="T291" s="15">
        <f t="shared" si="14"/>
        <v>0</v>
      </c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2"/>
    </row>
    <row r="292" spans="1:92" ht="12" customHeight="1">
      <c r="A292" s="1" t="s">
        <v>661</v>
      </c>
      <c r="B292" s="9" t="s">
        <v>128</v>
      </c>
      <c r="C292" s="12" t="s">
        <v>712</v>
      </c>
      <c r="D292" s="165" t="s">
        <v>713</v>
      </c>
      <c r="E292" s="14" t="s">
        <v>170</v>
      </c>
      <c r="F292" s="12">
        <v>0</v>
      </c>
      <c r="G292" s="12">
        <v>34097</v>
      </c>
      <c r="H292" s="13">
        <v>6039</v>
      </c>
      <c r="I292" s="18">
        <v>46950</v>
      </c>
      <c r="J292" s="15">
        <f t="shared" si="12"/>
        <v>87086</v>
      </c>
      <c r="K292" s="1"/>
      <c r="L292" s="1"/>
      <c r="M292" s="1"/>
      <c r="N292" s="18"/>
      <c r="O292" s="15">
        <f t="shared" si="13"/>
        <v>0</v>
      </c>
      <c r="P292" s="1"/>
      <c r="Q292" s="1"/>
      <c r="R292" s="1"/>
      <c r="S292" s="18"/>
      <c r="T292" s="15">
        <f t="shared" si="14"/>
        <v>0</v>
      </c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2"/>
    </row>
    <row r="293" spans="1:92" ht="12" customHeight="1">
      <c r="A293" s="1" t="s">
        <v>661</v>
      </c>
      <c r="B293" s="9" t="s">
        <v>128</v>
      </c>
      <c r="C293" s="12" t="s">
        <v>714</v>
      </c>
      <c r="D293" s="165" t="s">
        <v>715</v>
      </c>
      <c r="E293" s="14" t="s">
        <v>170</v>
      </c>
      <c r="F293" s="1"/>
      <c r="G293" s="12" t="s">
        <v>716</v>
      </c>
      <c r="H293" s="1"/>
      <c r="I293" s="16"/>
      <c r="J293" s="15">
        <f t="shared" si="12"/>
        <v>0</v>
      </c>
      <c r="K293" s="1"/>
      <c r="L293" s="1"/>
      <c r="M293" s="1"/>
      <c r="N293" s="16"/>
      <c r="O293" s="15">
        <f t="shared" si="13"/>
        <v>0</v>
      </c>
      <c r="P293" s="1"/>
      <c r="Q293" s="1"/>
      <c r="R293" s="1"/>
      <c r="S293" s="16"/>
      <c r="T293" s="15">
        <f t="shared" si="14"/>
        <v>0</v>
      </c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2"/>
    </row>
    <row r="294" spans="1:92" ht="12.75">
      <c r="A294" s="1" t="s">
        <v>661</v>
      </c>
      <c r="B294" s="9" t="s">
        <v>128</v>
      </c>
      <c r="C294" s="12" t="s">
        <v>717</v>
      </c>
      <c r="D294" s="165" t="s">
        <v>718</v>
      </c>
      <c r="E294" s="14" t="s">
        <v>170</v>
      </c>
      <c r="F294" s="1"/>
      <c r="G294" s="12" t="s">
        <v>719</v>
      </c>
      <c r="H294" s="1"/>
      <c r="I294" s="16"/>
      <c r="J294" s="15">
        <f t="shared" si="12"/>
        <v>0</v>
      </c>
      <c r="K294" s="1"/>
      <c r="L294" s="1"/>
      <c r="M294" s="1"/>
      <c r="N294" s="16"/>
      <c r="O294" s="15">
        <f t="shared" si="13"/>
        <v>0</v>
      </c>
      <c r="P294" s="1"/>
      <c r="Q294" s="1"/>
      <c r="R294" s="1"/>
      <c r="S294" s="16"/>
      <c r="T294" s="15">
        <f t="shared" si="14"/>
        <v>0</v>
      </c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2"/>
    </row>
    <row r="295" spans="1:92" ht="12.75">
      <c r="A295" s="1" t="s">
        <v>661</v>
      </c>
      <c r="B295" s="9" t="s">
        <v>128</v>
      </c>
      <c r="C295" s="12" t="s">
        <v>720</v>
      </c>
      <c r="D295" s="165" t="s">
        <v>721</v>
      </c>
      <c r="E295" s="14" t="s">
        <v>170</v>
      </c>
      <c r="F295" s="12">
        <v>0</v>
      </c>
      <c r="G295" s="12">
        <v>143660</v>
      </c>
      <c r="H295" s="13">
        <v>39051</v>
      </c>
      <c r="I295" s="18">
        <v>175519</v>
      </c>
      <c r="J295" s="15">
        <f t="shared" si="12"/>
        <v>358230</v>
      </c>
      <c r="K295" s="1"/>
      <c r="L295" s="1"/>
      <c r="M295" s="1"/>
      <c r="N295" s="18"/>
      <c r="O295" s="15">
        <f t="shared" si="13"/>
        <v>0</v>
      </c>
      <c r="P295" s="1"/>
      <c r="Q295" s="1"/>
      <c r="R295" s="1"/>
      <c r="S295" s="18"/>
      <c r="T295" s="15">
        <f t="shared" si="14"/>
        <v>0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2"/>
    </row>
    <row r="296" spans="1:92" ht="12.75">
      <c r="A296" s="1" t="s">
        <v>661</v>
      </c>
      <c r="B296" s="9" t="s">
        <v>128</v>
      </c>
      <c r="C296" s="12" t="s">
        <v>722</v>
      </c>
      <c r="D296" s="165" t="s">
        <v>723</v>
      </c>
      <c r="E296" s="14" t="s">
        <v>170</v>
      </c>
      <c r="F296" s="12">
        <v>0</v>
      </c>
      <c r="G296" s="12">
        <v>74935</v>
      </c>
      <c r="H296" s="13">
        <v>16751</v>
      </c>
      <c r="I296" s="18">
        <v>116010</v>
      </c>
      <c r="J296" s="15">
        <f t="shared" si="12"/>
        <v>207696</v>
      </c>
      <c r="K296" s="1"/>
      <c r="L296" s="1"/>
      <c r="M296" s="1"/>
      <c r="N296" s="18"/>
      <c r="O296" s="15">
        <f t="shared" si="13"/>
        <v>0</v>
      </c>
      <c r="P296" s="1"/>
      <c r="Q296" s="1"/>
      <c r="R296" s="1"/>
      <c r="S296" s="18"/>
      <c r="T296" s="15">
        <f t="shared" si="14"/>
        <v>0</v>
      </c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2"/>
    </row>
    <row r="297" spans="1:92" ht="12.75">
      <c r="A297" s="1" t="s">
        <v>661</v>
      </c>
      <c r="B297" s="9" t="s">
        <v>128</v>
      </c>
      <c r="C297" s="12" t="s">
        <v>724</v>
      </c>
      <c r="D297" s="165" t="s">
        <v>725</v>
      </c>
      <c r="E297" s="14" t="s">
        <v>170</v>
      </c>
      <c r="F297" s="12">
        <v>0</v>
      </c>
      <c r="G297" s="12">
        <v>5931</v>
      </c>
      <c r="H297" s="13">
        <v>884</v>
      </c>
      <c r="I297" s="18">
        <v>19920</v>
      </c>
      <c r="J297" s="15">
        <f t="shared" si="12"/>
        <v>26735</v>
      </c>
      <c r="K297" s="1"/>
      <c r="L297" s="1"/>
      <c r="M297" s="1"/>
      <c r="N297" s="18"/>
      <c r="O297" s="15">
        <f t="shared" si="13"/>
        <v>0</v>
      </c>
      <c r="P297" s="1"/>
      <c r="Q297" s="1"/>
      <c r="R297" s="1"/>
      <c r="S297" s="18"/>
      <c r="T297" s="15">
        <f t="shared" si="14"/>
        <v>0</v>
      </c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2"/>
    </row>
    <row r="298" spans="1:92" ht="12.75">
      <c r="A298" s="1" t="s">
        <v>661</v>
      </c>
      <c r="B298" s="9" t="s">
        <v>128</v>
      </c>
      <c r="C298" s="12" t="s">
        <v>726</v>
      </c>
      <c r="D298" s="165" t="s">
        <v>727</v>
      </c>
      <c r="E298" s="14" t="s">
        <v>305</v>
      </c>
      <c r="F298" s="12" t="s">
        <v>728</v>
      </c>
      <c r="G298" s="12"/>
      <c r="H298" s="1"/>
      <c r="I298" s="16"/>
      <c r="J298" s="15">
        <f t="shared" si="12"/>
        <v>0</v>
      </c>
      <c r="K298" s="1"/>
      <c r="L298" s="1"/>
      <c r="M298" s="1"/>
      <c r="N298" s="16"/>
      <c r="O298" s="15">
        <f t="shared" si="13"/>
        <v>0</v>
      </c>
      <c r="P298" s="1"/>
      <c r="Q298" s="1"/>
      <c r="R298" s="1"/>
      <c r="S298" s="16"/>
      <c r="T298" s="15">
        <f t="shared" si="14"/>
        <v>0</v>
      </c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2"/>
    </row>
    <row r="299" spans="1:92" ht="12.75">
      <c r="A299" s="1" t="s">
        <v>661</v>
      </c>
      <c r="B299" s="9" t="s">
        <v>128</v>
      </c>
      <c r="C299" s="12" t="s">
        <v>729</v>
      </c>
      <c r="D299" s="165" t="s">
        <v>730</v>
      </c>
      <c r="E299" s="14" t="s">
        <v>305</v>
      </c>
      <c r="F299" s="12">
        <v>571</v>
      </c>
      <c r="G299" s="12">
        <v>61812</v>
      </c>
      <c r="H299" s="13">
        <v>31674</v>
      </c>
      <c r="I299" s="18">
        <v>63977</v>
      </c>
      <c r="J299" s="15">
        <f t="shared" si="12"/>
        <v>158034</v>
      </c>
      <c r="K299" s="1"/>
      <c r="L299" s="1"/>
      <c r="M299" s="1"/>
      <c r="N299" s="18"/>
      <c r="O299" s="15">
        <f t="shared" si="13"/>
        <v>0</v>
      </c>
      <c r="P299" s="13">
        <v>0</v>
      </c>
      <c r="Q299" s="13">
        <v>13284</v>
      </c>
      <c r="R299" s="13">
        <v>5550</v>
      </c>
      <c r="S299" s="18">
        <v>16303</v>
      </c>
      <c r="T299" s="15">
        <f t="shared" si="14"/>
        <v>35137</v>
      </c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2"/>
    </row>
    <row r="300" spans="1:92" ht="12.75">
      <c r="A300" s="1" t="s">
        <v>731</v>
      </c>
      <c r="B300" s="9" t="s">
        <v>128</v>
      </c>
      <c r="C300" s="12" t="s">
        <v>732</v>
      </c>
      <c r="D300" s="165" t="s">
        <v>733</v>
      </c>
      <c r="E300" s="14" t="s">
        <v>131</v>
      </c>
      <c r="F300" s="167" t="s">
        <v>734</v>
      </c>
      <c r="G300" s="13">
        <v>140100</v>
      </c>
      <c r="H300" s="13">
        <v>34000</v>
      </c>
      <c r="I300" s="15">
        <v>155500</v>
      </c>
      <c r="J300" s="15">
        <f t="shared" si="12"/>
        <v>329600</v>
      </c>
      <c r="K300" s="12"/>
      <c r="L300" s="1"/>
      <c r="M300" s="1"/>
      <c r="N300" s="16"/>
      <c r="O300" s="15">
        <f t="shared" si="13"/>
        <v>0</v>
      </c>
      <c r="P300" s="168" t="s">
        <v>734</v>
      </c>
      <c r="Q300" s="13">
        <v>18132</v>
      </c>
      <c r="R300" s="13">
        <v>11913</v>
      </c>
      <c r="S300" s="18">
        <v>18476</v>
      </c>
      <c r="T300" s="15">
        <f t="shared" si="14"/>
        <v>48521</v>
      </c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2"/>
    </row>
    <row r="301" spans="1:92" ht="12.75">
      <c r="A301" s="1" t="s">
        <v>731</v>
      </c>
      <c r="B301" s="9" t="s">
        <v>128</v>
      </c>
      <c r="C301" s="12" t="s">
        <v>735</v>
      </c>
      <c r="D301" s="165" t="s">
        <v>736</v>
      </c>
      <c r="E301" s="14" t="s">
        <v>136</v>
      </c>
      <c r="F301" s="168" t="s">
        <v>734</v>
      </c>
      <c r="G301" s="13">
        <v>104604</v>
      </c>
      <c r="H301" s="13">
        <v>23725</v>
      </c>
      <c r="I301" s="15">
        <v>113491</v>
      </c>
      <c r="J301" s="15">
        <f t="shared" si="12"/>
        <v>241820</v>
      </c>
      <c r="K301" s="1"/>
      <c r="L301" s="1"/>
      <c r="M301" s="1"/>
      <c r="N301" s="16"/>
      <c r="O301" s="15">
        <f t="shared" si="13"/>
        <v>0</v>
      </c>
      <c r="P301" s="168" t="s">
        <v>734</v>
      </c>
      <c r="Q301" s="13">
        <v>21605</v>
      </c>
      <c r="R301" s="13">
        <v>7198</v>
      </c>
      <c r="S301" s="18">
        <v>22598</v>
      </c>
      <c r="T301" s="15">
        <f t="shared" si="14"/>
        <v>51401</v>
      </c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2"/>
    </row>
    <row r="302" spans="1:92" ht="12.75">
      <c r="A302" s="1" t="s">
        <v>731</v>
      </c>
      <c r="B302" s="9" t="s">
        <v>128</v>
      </c>
      <c r="C302" s="12" t="s">
        <v>737</v>
      </c>
      <c r="D302" s="165" t="s">
        <v>738</v>
      </c>
      <c r="E302" s="14" t="s">
        <v>136</v>
      </c>
      <c r="F302" s="168" t="s">
        <v>734</v>
      </c>
      <c r="G302" s="13">
        <v>132811</v>
      </c>
      <c r="H302" s="13">
        <v>40433</v>
      </c>
      <c r="I302" s="15">
        <v>148826</v>
      </c>
      <c r="J302" s="15">
        <f t="shared" si="12"/>
        <v>322070</v>
      </c>
      <c r="K302" s="1"/>
      <c r="L302" s="1"/>
      <c r="M302" s="1"/>
      <c r="N302" s="16"/>
      <c r="O302" s="15">
        <f t="shared" si="13"/>
        <v>0</v>
      </c>
      <c r="P302" s="168" t="s">
        <v>734</v>
      </c>
      <c r="Q302" s="13">
        <v>19692</v>
      </c>
      <c r="R302" s="13">
        <v>23616</v>
      </c>
      <c r="S302" s="18">
        <v>21204</v>
      </c>
      <c r="T302" s="15">
        <f t="shared" si="14"/>
        <v>64512</v>
      </c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2"/>
    </row>
    <row r="303" spans="1:92" ht="12.75">
      <c r="A303" s="1" t="s">
        <v>731</v>
      </c>
      <c r="B303" s="9" t="s">
        <v>128</v>
      </c>
      <c r="C303" s="12" t="s">
        <v>739</v>
      </c>
      <c r="D303" s="165" t="s">
        <v>740</v>
      </c>
      <c r="E303" s="14" t="s">
        <v>139</v>
      </c>
      <c r="F303" s="167" t="s">
        <v>734</v>
      </c>
      <c r="G303" s="13">
        <v>68887</v>
      </c>
      <c r="H303" s="13">
        <v>12357</v>
      </c>
      <c r="I303" s="15">
        <v>74808</v>
      </c>
      <c r="J303" s="15">
        <f t="shared" si="12"/>
        <v>156052</v>
      </c>
      <c r="K303" s="1"/>
      <c r="L303" s="1"/>
      <c r="M303" s="1"/>
      <c r="N303" s="16"/>
      <c r="O303" s="15">
        <f t="shared" si="13"/>
        <v>0</v>
      </c>
      <c r="P303" s="168" t="s">
        <v>734</v>
      </c>
      <c r="Q303" s="13">
        <v>4979</v>
      </c>
      <c r="R303" s="13">
        <v>2158</v>
      </c>
      <c r="S303" s="18">
        <v>5904</v>
      </c>
      <c r="T303" s="15">
        <f t="shared" si="14"/>
        <v>13041</v>
      </c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2"/>
    </row>
    <row r="304" spans="1:92" ht="12.75">
      <c r="A304" s="1" t="s">
        <v>731</v>
      </c>
      <c r="B304" s="9" t="s">
        <v>128</v>
      </c>
      <c r="C304" s="12" t="s">
        <v>741</v>
      </c>
      <c r="D304" s="165" t="s">
        <v>742</v>
      </c>
      <c r="E304" s="14" t="s">
        <v>157</v>
      </c>
      <c r="F304" s="167" t="s">
        <v>734</v>
      </c>
      <c r="G304" s="13">
        <v>38405</v>
      </c>
      <c r="H304" s="13">
        <v>7989</v>
      </c>
      <c r="I304" s="15">
        <v>42735</v>
      </c>
      <c r="J304" s="15">
        <f t="shared" si="12"/>
        <v>89129</v>
      </c>
      <c r="K304" s="1"/>
      <c r="L304" s="1"/>
      <c r="M304" s="1"/>
      <c r="N304" s="16"/>
      <c r="O304" s="15">
        <f t="shared" si="13"/>
        <v>0</v>
      </c>
      <c r="P304" s="168" t="s">
        <v>734</v>
      </c>
      <c r="Q304" s="13">
        <v>1367</v>
      </c>
      <c r="R304" s="13">
        <v>1744</v>
      </c>
      <c r="S304" s="18">
        <v>1682</v>
      </c>
      <c r="T304" s="15">
        <f t="shared" si="14"/>
        <v>4793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2"/>
    </row>
    <row r="305" spans="1:92" ht="12.75">
      <c r="A305" s="1" t="s">
        <v>731</v>
      </c>
      <c r="B305" s="9" t="s">
        <v>128</v>
      </c>
      <c r="C305" s="12" t="s">
        <v>743</v>
      </c>
      <c r="D305" s="165" t="s">
        <v>744</v>
      </c>
      <c r="E305" s="14" t="s">
        <v>157</v>
      </c>
      <c r="F305" s="168" t="s">
        <v>734</v>
      </c>
      <c r="G305" s="13">
        <v>42061</v>
      </c>
      <c r="H305" s="13">
        <v>8466</v>
      </c>
      <c r="I305" s="15">
        <v>44459</v>
      </c>
      <c r="J305" s="15">
        <f t="shared" si="12"/>
        <v>94986</v>
      </c>
      <c r="K305" s="1"/>
      <c r="L305" s="1"/>
      <c r="M305" s="1"/>
      <c r="N305" s="16"/>
      <c r="O305" s="15">
        <f t="shared" si="13"/>
        <v>0</v>
      </c>
      <c r="P305" s="168" t="s">
        <v>734</v>
      </c>
      <c r="Q305" s="13">
        <v>3382</v>
      </c>
      <c r="R305" s="13">
        <v>3472</v>
      </c>
      <c r="S305" s="18">
        <v>3894</v>
      </c>
      <c r="T305" s="15">
        <f t="shared" si="14"/>
        <v>10748</v>
      </c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2"/>
    </row>
    <row r="306" spans="1:92" ht="12.75">
      <c r="A306" s="1" t="s">
        <v>731</v>
      </c>
      <c r="B306" s="9" t="s">
        <v>128</v>
      </c>
      <c r="C306" s="12" t="s">
        <v>745</v>
      </c>
      <c r="D306" s="165" t="s">
        <v>746</v>
      </c>
      <c r="E306" s="14" t="s">
        <v>166</v>
      </c>
      <c r="F306" s="168" t="s">
        <v>734</v>
      </c>
      <c r="G306" s="13">
        <v>28286</v>
      </c>
      <c r="H306" s="13">
        <v>6270</v>
      </c>
      <c r="I306" s="15">
        <v>29521</v>
      </c>
      <c r="J306" s="15">
        <f t="shared" si="12"/>
        <v>64077</v>
      </c>
      <c r="K306" s="1"/>
      <c r="L306" s="1"/>
      <c r="M306" s="1"/>
      <c r="N306" s="16"/>
      <c r="O306" s="15">
        <f t="shared" si="13"/>
        <v>0</v>
      </c>
      <c r="P306" s="168" t="s">
        <v>734</v>
      </c>
      <c r="Q306" s="13">
        <v>627</v>
      </c>
      <c r="R306" s="13">
        <v>1015</v>
      </c>
      <c r="S306" s="18">
        <v>1042</v>
      </c>
      <c r="T306" s="15">
        <f t="shared" si="14"/>
        <v>2684</v>
      </c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2"/>
    </row>
    <row r="307" spans="1:92" ht="12.75">
      <c r="A307" s="1" t="s">
        <v>731</v>
      </c>
      <c r="B307" s="9" t="s">
        <v>128</v>
      </c>
      <c r="C307" s="12" t="s">
        <v>747</v>
      </c>
      <c r="D307" s="165" t="s">
        <v>748</v>
      </c>
      <c r="E307" s="14" t="s">
        <v>166</v>
      </c>
      <c r="F307" s="168" t="s">
        <v>734</v>
      </c>
      <c r="G307" s="13">
        <v>30602</v>
      </c>
      <c r="H307" s="13">
        <v>0</v>
      </c>
      <c r="I307" s="15">
        <v>32032</v>
      </c>
      <c r="J307" s="15">
        <f t="shared" si="12"/>
        <v>62634</v>
      </c>
      <c r="K307" s="1"/>
      <c r="L307" s="1"/>
      <c r="M307" s="1"/>
      <c r="N307" s="16"/>
      <c r="O307" s="15">
        <f t="shared" si="13"/>
        <v>0</v>
      </c>
      <c r="P307" s="168" t="s">
        <v>734</v>
      </c>
      <c r="Q307" s="13">
        <v>107</v>
      </c>
      <c r="R307" s="13">
        <v>0</v>
      </c>
      <c r="S307" s="18">
        <v>118</v>
      </c>
      <c r="T307" s="15">
        <f t="shared" si="14"/>
        <v>225</v>
      </c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2"/>
    </row>
    <row r="308" spans="1:92" ht="12.75">
      <c r="A308" s="1" t="s">
        <v>731</v>
      </c>
      <c r="B308" s="9" t="s">
        <v>128</v>
      </c>
      <c r="C308" s="12" t="s">
        <v>749</v>
      </c>
      <c r="D308" s="165" t="s">
        <v>750</v>
      </c>
      <c r="E308" s="20" t="s">
        <v>170</v>
      </c>
      <c r="F308" s="13" t="s">
        <v>306</v>
      </c>
      <c r="G308" s="13"/>
      <c r="H308" s="13"/>
      <c r="I308" s="18">
        <f>6107+816+567+3602</f>
        <v>11092</v>
      </c>
      <c r="J308" s="15">
        <f t="shared" si="12"/>
        <v>11092</v>
      </c>
      <c r="K308" s="1"/>
      <c r="L308" s="1"/>
      <c r="M308" s="1"/>
      <c r="N308" s="16"/>
      <c r="O308" s="15">
        <f t="shared" si="13"/>
        <v>0</v>
      </c>
      <c r="P308" s="12"/>
      <c r="Q308" s="13"/>
      <c r="R308" s="13"/>
      <c r="S308" s="18"/>
      <c r="T308" s="15">
        <f t="shared" si="14"/>
        <v>0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2"/>
    </row>
    <row r="309" spans="1:92" ht="12.75">
      <c r="A309" s="1" t="s">
        <v>731</v>
      </c>
      <c r="B309" s="9" t="s">
        <v>128</v>
      </c>
      <c r="C309" s="13" t="s">
        <v>751</v>
      </c>
      <c r="D309" s="166" t="s">
        <v>752</v>
      </c>
      <c r="E309" s="20" t="s">
        <v>170</v>
      </c>
      <c r="F309" s="12"/>
      <c r="G309" s="13"/>
      <c r="H309" s="13"/>
      <c r="I309" s="18">
        <f>22826+6742</f>
        <v>29568</v>
      </c>
      <c r="J309" s="15">
        <f t="shared" si="12"/>
        <v>29568</v>
      </c>
      <c r="K309" s="1"/>
      <c r="L309" s="1"/>
      <c r="M309" s="1"/>
      <c r="N309" s="16"/>
      <c r="O309" s="15">
        <f t="shared" si="13"/>
        <v>0</v>
      </c>
      <c r="P309" s="12"/>
      <c r="Q309" s="13"/>
      <c r="R309" s="13"/>
      <c r="S309" s="18"/>
      <c r="T309" s="15">
        <f t="shared" si="14"/>
        <v>0</v>
      </c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2"/>
    </row>
    <row r="310" spans="1:92" ht="12.75">
      <c r="A310" s="1" t="s">
        <v>731</v>
      </c>
      <c r="B310" s="9" t="s">
        <v>128</v>
      </c>
      <c r="C310" s="12" t="s">
        <v>753</v>
      </c>
      <c r="D310" s="165" t="s">
        <v>754</v>
      </c>
      <c r="E310" s="20" t="s">
        <v>170</v>
      </c>
      <c r="F310" s="12"/>
      <c r="G310" s="13"/>
      <c r="H310" s="13"/>
      <c r="I310" s="18">
        <f>13734+1964+4060+1254</f>
        <v>21012</v>
      </c>
      <c r="J310" s="15">
        <f t="shared" si="12"/>
        <v>21012</v>
      </c>
      <c r="K310" s="1"/>
      <c r="L310" s="1"/>
      <c r="M310" s="1"/>
      <c r="N310" s="16"/>
      <c r="O310" s="15">
        <f t="shared" si="13"/>
        <v>0</v>
      </c>
      <c r="P310" s="12"/>
      <c r="Q310" s="13"/>
      <c r="R310" s="13"/>
      <c r="S310" s="18"/>
      <c r="T310" s="15">
        <f t="shared" si="14"/>
        <v>0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2"/>
    </row>
    <row r="311" spans="1:92" ht="12.75">
      <c r="A311" s="1" t="s">
        <v>731</v>
      </c>
      <c r="B311" s="9" t="s">
        <v>128</v>
      </c>
      <c r="C311" s="12" t="s">
        <v>755</v>
      </c>
      <c r="D311" s="165" t="s">
        <v>756</v>
      </c>
      <c r="E311" s="20" t="s">
        <v>170</v>
      </c>
      <c r="F311" s="12"/>
      <c r="G311" s="13"/>
      <c r="H311" s="13"/>
      <c r="I311" s="18">
        <f>4899+4284+5824+3278</f>
        <v>18285</v>
      </c>
      <c r="J311" s="15">
        <f t="shared" si="12"/>
        <v>18285</v>
      </c>
      <c r="K311" s="1"/>
      <c r="L311" s="1"/>
      <c r="M311" s="1"/>
      <c r="N311" s="16"/>
      <c r="O311" s="15">
        <f t="shared" si="13"/>
        <v>0</v>
      </c>
      <c r="P311" s="12"/>
      <c r="Q311" s="13"/>
      <c r="R311" s="13"/>
      <c r="S311" s="18"/>
      <c r="T311" s="15">
        <f t="shared" si="14"/>
        <v>0</v>
      </c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2"/>
    </row>
    <row r="312" spans="1:92" ht="12.75">
      <c r="A312" s="1" t="s">
        <v>731</v>
      </c>
      <c r="B312" s="9" t="s">
        <v>128</v>
      </c>
      <c r="C312" s="12" t="s">
        <v>757</v>
      </c>
      <c r="D312" s="165" t="s">
        <v>758</v>
      </c>
      <c r="E312" s="20" t="s">
        <v>170</v>
      </c>
      <c r="F312" s="12"/>
      <c r="G312" s="13"/>
      <c r="H312" s="13"/>
      <c r="I312" s="18">
        <f>49895+12536+14959+9365</f>
        <v>86755</v>
      </c>
      <c r="J312" s="15">
        <f t="shared" si="12"/>
        <v>86755</v>
      </c>
      <c r="K312" s="1"/>
      <c r="L312" s="1"/>
      <c r="M312" s="1"/>
      <c r="N312" s="16"/>
      <c r="O312" s="15">
        <f t="shared" si="13"/>
        <v>0</v>
      </c>
      <c r="P312" s="12"/>
      <c r="Q312" s="13"/>
      <c r="R312" s="13"/>
      <c r="S312" s="18"/>
      <c r="T312" s="15">
        <f t="shared" si="14"/>
        <v>0</v>
      </c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2"/>
    </row>
    <row r="313" spans="1:92" ht="12.75">
      <c r="A313" s="1" t="s">
        <v>731</v>
      </c>
      <c r="B313" s="9" t="s">
        <v>128</v>
      </c>
      <c r="C313" s="12" t="s">
        <v>759</v>
      </c>
      <c r="D313" s="165" t="s">
        <v>760</v>
      </c>
      <c r="E313" s="20" t="s">
        <v>170</v>
      </c>
      <c r="F313" s="12"/>
      <c r="G313" s="13"/>
      <c r="H313" s="13"/>
      <c r="I313" s="18">
        <f>13786+7069+3913+2150</f>
        <v>26918</v>
      </c>
      <c r="J313" s="15">
        <f t="shared" si="12"/>
        <v>26918</v>
      </c>
      <c r="K313" s="1"/>
      <c r="L313" s="1"/>
      <c r="M313" s="1"/>
      <c r="N313" s="16"/>
      <c r="O313" s="15">
        <f t="shared" si="13"/>
        <v>0</v>
      </c>
      <c r="P313" s="12"/>
      <c r="Q313" s="13"/>
      <c r="R313" s="13"/>
      <c r="S313" s="18"/>
      <c r="T313" s="15">
        <f t="shared" si="14"/>
        <v>0</v>
      </c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2"/>
    </row>
    <row r="314" spans="1:92" ht="12.75">
      <c r="A314" s="1" t="s">
        <v>731</v>
      </c>
      <c r="B314" s="9" t="s">
        <v>128</v>
      </c>
      <c r="C314" s="12" t="s">
        <v>761</v>
      </c>
      <c r="D314" s="165" t="s">
        <v>762</v>
      </c>
      <c r="E314" s="20" t="s">
        <v>170</v>
      </c>
      <c r="F314" s="12" t="s">
        <v>306</v>
      </c>
      <c r="G314" s="13"/>
      <c r="H314" s="13"/>
      <c r="I314" s="18">
        <v>33400</v>
      </c>
      <c r="J314" s="15">
        <f t="shared" si="12"/>
        <v>33400</v>
      </c>
      <c r="K314" s="1"/>
      <c r="L314" s="1"/>
      <c r="M314" s="1"/>
      <c r="N314" s="16"/>
      <c r="O314" s="15">
        <f t="shared" si="13"/>
        <v>0</v>
      </c>
      <c r="P314" s="12"/>
      <c r="Q314" s="13"/>
      <c r="R314" s="13"/>
      <c r="S314" s="18"/>
      <c r="T314" s="15">
        <f t="shared" si="14"/>
        <v>0</v>
      </c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2"/>
    </row>
    <row r="315" spans="1:92" ht="12.75">
      <c r="A315" s="1" t="s">
        <v>731</v>
      </c>
      <c r="B315" s="9" t="s">
        <v>128</v>
      </c>
      <c r="C315" s="12" t="s">
        <v>763</v>
      </c>
      <c r="D315" s="165" t="s">
        <v>764</v>
      </c>
      <c r="E315" s="20" t="s">
        <v>170</v>
      </c>
      <c r="F315" s="13" t="s">
        <v>306</v>
      </c>
      <c r="G315" s="13"/>
      <c r="H315" s="13"/>
      <c r="I315" s="18">
        <f>40185+3370+5963+3684</f>
        <v>53202</v>
      </c>
      <c r="J315" s="15">
        <f t="shared" si="12"/>
        <v>53202</v>
      </c>
      <c r="K315" s="1"/>
      <c r="L315" s="1"/>
      <c r="M315" s="1"/>
      <c r="N315" s="16"/>
      <c r="O315" s="15">
        <f t="shared" si="13"/>
        <v>0</v>
      </c>
      <c r="P315" s="12"/>
      <c r="Q315" s="13"/>
      <c r="R315" s="13"/>
      <c r="S315" s="18"/>
      <c r="T315" s="15">
        <f t="shared" si="14"/>
        <v>0</v>
      </c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2"/>
    </row>
    <row r="316" spans="1:92" ht="12.75">
      <c r="A316" s="1" t="s">
        <v>731</v>
      </c>
      <c r="B316" s="9" t="s">
        <v>128</v>
      </c>
      <c r="C316" s="12" t="s">
        <v>765</v>
      </c>
      <c r="D316" s="165" t="s">
        <v>766</v>
      </c>
      <c r="E316" s="20" t="s">
        <v>170</v>
      </c>
      <c r="F316" s="12"/>
      <c r="G316" s="13"/>
      <c r="H316" s="13"/>
      <c r="I316" s="18">
        <f>14735+3929+6442+1159</f>
        <v>26265</v>
      </c>
      <c r="J316" s="15">
        <f t="shared" si="12"/>
        <v>26265</v>
      </c>
      <c r="K316" s="1"/>
      <c r="L316" s="1"/>
      <c r="M316" s="1"/>
      <c r="N316" s="16"/>
      <c r="O316" s="15">
        <f t="shared" si="13"/>
        <v>0</v>
      </c>
      <c r="P316" s="12"/>
      <c r="Q316" s="13"/>
      <c r="R316" s="13"/>
      <c r="S316" s="18"/>
      <c r="T316" s="15">
        <f t="shared" si="14"/>
        <v>0</v>
      </c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2"/>
    </row>
    <row r="317" spans="1:108" ht="12.75">
      <c r="A317" s="1" t="s">
        <v>731</v>
      </c>
      <c r="B317" s="9" t="s">
        <v>128</v>
      </c>
      <c r="C317" s="12" t="s">
        <v>767</v>
      </c>
      <c r="D317" s="165" t="s">
        <v>768</v>
      </c>
      <c r="E317" s="20" t="s">
        <v>170</v>
      </c>
      <c r="F317" s="12"/>
      <c r="G317" s="13"/>
      <c r="H317" s="13"/>
      <c r="I317" s="18">
        <f>19552+2031+4290+4196</f>
        <v>30069</v>
      </c>
      <c r="J317" s="15">
        <f t="shared" si="12"/>
        <v>30069</v>
      </c>
      <c r="K317" s="1"/>
      <c r="L317" s="1"/>
      <c r="M317" s="1"/>
      <c r="N317" s="16"/>
      <c r="O317" s="15">
        <f t="shared" si="13"/>
        <v>0</v>
      </c>
      <c r="P317" s="12"/>
      <c r="Q317" s="13"/>
      <c r="R317" s="13"/>
      <c r="S317" s="18"/>
      <c r="T317" s="15">
        <f t="shared" si="14"/>
        <v>0</v>
      </c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2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24"/>
      <c r="DD317" s="24"/>
    </row>
    <row r="318" spans="1:92" ht="12.75">
      <c r="A318" s="1" t="s">
        <v>731</v>
      </c>
      <c r="B318" s="9" t="s">
        <v>128</v>
      </c>
      <c r="C318" s="12" t="s">
        <v>769</v>
      </c>
      <c r="D318" s="165" t="s">
        <v>770</v>
      </c>
      <c r="E318" s="20" t="s">
        <v>170</v>
      </c>
      <c r="F318" s="12"/>
      <c r="G318" s="13"/>
      <c r="H318" s="13"/>
      <c r="I318" s="18">
        <f>14878+34248+39599+3300+192+1857+1618</f>
        <v>95692</v>
      </c>
      <c r="J318" s="15">
        <f t="shared" si="12"/>
        <v>95692</v>
      </c>
      <c r="K318" s="1"/>
      <c r="L318" s="1"/>
      <c r="M318" s="1"/>
      <c r="N318" s="16"/>
      <c r="O318" s="15">
        <f t="shared" si="13"/>
        <v>0</v>
      </c>
      <c r="P318" s="12"/>
      <c r="Q318" s="13"/>
      <c r="R318" s="13"/>
      <c r="S318" s="18"/>
      <c r="T318" s="15">
        <f t="shared" si="14"/>
        <v>0</v>
      </c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2"/>
    </row>
    <row r="319" spans="1:92" ht="12.75">
      <c r="A319" s="1" t="s">
        <v>731</v>
      </c>
      <c r="B319" s="9" t="s">
        <v>128</v>
      </c>
      <c r="C319" s="12" t="s">
        <v>771</v>
      </c>
      <c r="D319" s="165" t="s">
        <v>772</v>
      </c>
      <c r="E319" s="20" t="s">
        <v>170</v>
      </c>
      <c r="F319" s="12"/>
      <c r="G319" s="13"/>
      <c r="H319" s="13"/>
      <c r="I319" s="18">
        <f>25282+979+8961+1524</f>
        <v>36746</v>
      </c>
      <c r="J319" s="15">
        <f t="shared" si="12"/>
        <v>36746</v>
      </c>
      <c r="K319" s="1"/>
      <c r="L319" s="1"/>
      <c r="M319" s="1"/>
      <c r="N319" s="16"/>
      <c r="O319" s="15">
        <f t="shared" si="13"/>
        <v>0</v>
      </c>
      <c r="P319" s="12"/>
      <c r="Q319" s="13"/>
      <c r="R319" s="13"/>
      <c r="S319" s="18"/>
      <c r="T319" s="15">
        <f t="shared" si="14"/>
        <v>0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2"/>
    </row>
    <row r="320" spans="1:92" ht="12.75">
      <c r="A320" s="1" t="s">
        <v>731</v>
      </c>
      <c r="B320" s="9" t="s">
        <v>128</v>
      </c>
      <c r="C320" s="12" t="s">
        <v>773</v>
      </c>
      <c r="D320" s="165" t="s">
        <v>774</v>
      </c>
      <c r="E320" s="20" t="s">
        <v>170</v>
      </c>
      <c r="F320" s="12"/>
      <c r="G320" s="13"/>
      <c r="H320" s="13"/>
      <c r="I320" s="18">
        <f>27095+7321+6518+4217</f>
        <v>45151</v>
      </c>
      <c r="J320" s="15">
        <f t="shared" si="12"/>
        <v>45151</v>
      </c>
      <c r="K320" s="1"/>
      <c r="L320" s="1"/>
      <c r="M320" s="1"/>
      <c r="N320" s="16"/>
      <c r="O320" s="15">
        <f t="shared" si="13"/>
        <v>0</v>
      </c>
      <c r="P320" s="12"/>
      <c r="Q320" s="13"/>
      <c r="R320" s="13"/>
      <c r="S320" s="18"/>
      <c r="T320" s="15">
        <f t="shared" si="14"/>
        <v>0</v>
      </c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2"/>
    </row>
    <row r="321" spans="1:92" ht="12.75">
      <c r="A321" s="1" t="s">
        <v>731</v>
      </c>
      <c r="B321" s="9" t="s">
        <v>128</v>
      </c>
      <c r="C321" s="12" t="s">
        <v>775</v>
      </c>
      <c r="D321" s="165" t="s">
        <v>776</v>
      </c>
      <c r="E321" s="20" t="s">
        <v>170</v>
      </c>
      <c r="F321" s="12"/>
      <c r="G321" s="13"/>
      <c r="H321" s="13"/>
      <c r="I321" s="18">
        <f>17621+3658+5445+4208</f>
        <v>30932</v>
      </c>
      <c r="J321" s="15">
        <f t="shared" si="12"/>
        <v>30932</v>
      </c>
      <c r="K321" s="1"/>
      <c r="L321" s="1"/>
      <c r="M321" s="1"/>
      <c r="N321" s="16"/>
      <c r="O321" s="15">
        <f t="shared" si="13"/>
        <v>0</v>
      </c>
      <c r="P321" s="12"/>
      <c r="Q321" s="13"/>
      <c r="R321" s="13"/>
      <c r="S321" s="18"/>
      <c r="T321" s="15">
        <f t="shared" si="14"/>
        <v>0</v>
      </c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2"/>
    </row>
    <row r="322" spans="1:92" ht="12.75">
      <c r="A322" s="1" t="s">
        <v>731</v>
      </c>
      <c r="B322" s="9" t="s">
        <v>128</v>
      </c>
      <c r="C322" s="12" t="s">
        <v>777</v>
      </c>
      <c r="D322" s="165" t="s">
        <v>778</v>
      </c>
      <c r="E322" s="20" t="s">
        <v>170</v>
      </c>
      <c r="F322" s="12"/>
      <c r="G322" s="13"/>
      <c r="H322" s="13"/>
      <c r="I322" s="18">
        <f>11446+1187+3474+2016</f>
        <v>18123</v>
      </c>
      <c r="J322" s="15">
        <f t="shared" si="12"/>
        <v>18123</v>
      </c>
      <c r="K322" s="1"/>
      <c r="L322" s="1"/>
      <c r="M322" s="1"/>
      <c r="N322" s="16"/>
      <c r="O322" s="15">
        <f t="shared" si="13"/>
        <v>0</v>
      </c>
      <c r="P322" s="12"/>
      <c r="Q322" s="13"/>
      <c r="R322" s="13"/>
      <c r="S322" s="18"/>
      <c r="T322" s="15">
        <f t="shared" si="14"/>
        <v>0</v>
      </c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2"/>
    </row>
    <row r="323" spans="1:92" ht="12.75">
      <c r="A323" s="1" t="s">
        <v>731</v>
      </c>
      <c r="B323" s="9" t="s">
        <v>128</v>
      </c>
      <c r="C323" s="12" t="s">
        <v>779</v>
      </c>
      <c r="D323" s="165" t="s">
        <v>780</v>
      </c>
      <c r="E323" s="14" t="s">
        <v>305</v>
      </c>
      <c r="F323" s="168" t="s">
        <v>734</v>
      </c>
      <c r="G323" s="13">
        <v>9009</v>
      </c>
      <c r="H323" s="13">
        <v>3689</v>
      </c>
      <c r="I323" s="15">
        <v>9639</v>
      </c>
      <c r="J323" s="15">
        <f t="shared" si="12"/>
        <v>22337</v>
      </c>
      <c r="K323" s="1"/>
      <c r="L323" s="1"/>
      <c r="M323" s="1"/>
      <c r="N323" s="16"/>
      <c r="O323" s="15">
        <f t="shared" si="13"/>
        <v>0</v>
      </c>
      <c r="P323" s="12"/>
      <c r="Q323" s="13">
        <v>21303</v>
      </c>
      <c r="R323" s="13">
        <v>14145</v>
      </c>
      <c r="S323" s="18">
        <v>21682</v>
      </c>
      <c r="T323" s="15">
        <f t="shared" si="14"/>
        <v>57130</v>
      </c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2"/>
    </row>
    <row r="324" spans="1:92" ht="12.75">
      <c r="A324" s="1" t="s">
        <v>781</v>
      </c>
      <c r="B324" s="9" t="s">
        <v>128</v>
      </c>
      <c r="C324" s="12" t="s">
        <v>782</v>
      </c>
      <c r="D324" s="165" t="s">
        <v>783</v>
      </c>
      <c r="E324" s="14" t="s">
        <v>131</v>
      </c>
      <c r="F324" s="1"/>
      <c r="G324" s="13">
        <v>250548</v>
      </c>
      <c r="H324" s="13">
        <v>52905</v>
      </c>
      <c r="I324" s="18">
        <v>272843</v>
      </c>
      <c r="J324" s="15">
        <f t="shared" si="12"/>
        <v>576296</v>
      </c>
      <c r="K324" s="1"/>
      <c r="L324" s="1"/>
      <c r="M324" s="1"/>
      <c r="N324" s="18"/>
      <c r="O324" s="15">
        <f t="shared" si="13"/>
        <v>0</v>
      </c>
      <c r="P324" s="1"/>
      <c r="Q324" s="13">
        <v>30544</v>
      </c>
      <c r="R324" s="13">
        <v>6371</v>
      </c>
      <c r="S324" s="18">
        <v>34087</v>
      </c>
      <c r="T324" s="15">
        <f t="shared" si="14"/>
        <v>71002</v>
      </c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2"/>
    </row>
    <row r="325" spans="1:92" ht="12.75">
      <c r="A325" s="1" t="s">
        <v>781</v>
      </c>
      <c r="B325" s="9" t="s">
        <v>128</v>
      </c>
      <c r="C325" s="12" t="s">
        <v>784</v>
      </c>
      <c r="D325" s="165" t="s">
        <v>785</v>
      </c>
      <c r="E325" s="14" t="s">
        <v>131</v>
      </c>
      <c r="F325" s="1"/>
      <c r="G325" s="13">
        <v>192166</v>
      </c>
      <c r="H325" s="13">
        <v>34377</v>
      </c>
      <c r="I325" s="18">
        <v>207048</v>
      </c>
      <c r="J325" s="15">
        <f t="shared" si="12"/>
        <v>433591</v>
      </c>
      <c r="K325" s="1"/>
      <c r="L325" s="1"/>
      <c r="M325" s="1"/>
      <c r="N325" s="18"/>
      <c r="O325" s="15">
        <f t="shared" si="13"/>
        <v>0</v>
      </c>
      <c r="P325" s="1"/>
      <c r="Q325" s="13">
        <v>44237</v>
      </c>
      <c r="R325" s="13">
        <v>8644</v>
      </c>
      <c r="S325" s="18">
        <v>49178</v>
      </c>
      <c r="T325" s="15">
        <f t="shared" si="14"/>
        <v>102059</v>
      </c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2"/>
    </row>
    <row r="326" spans="1:92" ht="12.75">
      <c r="A326" s="1" t="s">
        <v>781</v>
      </c>
      <c r="B326" s="9" t="s">
        <v>128</v>
      </c>
      <c r="C326" s="12" t="s">
        <v>786</v>
      </c>
      <c r="D326" s="165" t="s">
        <v>787</v>
      </c>
      <c r="E326" s="20" t="s">
        <v>136</v>
      </c>
      <c r="F326" s="1"/>
      <c r="G326" s="13">
        <v>119567</v>
      </c>
      <c r="H326" s="13">
        <v>23412</v>
      </c>
      <c r="I326" s="18">
        <v>134679</v>
      </c>
      <c r="J326" s="15">
        <f aca="true" t="shared" si="15" ref="J326:J389">SUM(F326:I326)</f>
        <v>277658</v>
      </c>
      <c r="K326" s="1"/>
      <c r="L326" s="1"/>
      <c r="M326" s="1"/>
      <c r="N326" s="18"/>
      <c r="O326" s="15">
        <f aca="true" t="shared" si="16" ref="O326:O389">SUM(K326:N326)</f>
        <v>0</v>
      </c>
      <c r="P326" s="1"/>
      <c r="Q326" s="13">
        <v>18041</v>
      </c>
      <c r="R326" s="13">
        <v>7037</v>
      </c>
      <c r="S326" s="18">
        <v>18319</v>
      </c>
      <c r="T326" s="15">
        <f aca="true" t="shared" si="17" ref="T326:T389">SUM(P326:S326)</f>
        <v>43397</v>
      </c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2"/>
    </row>
    <row r="327" spans="1:100" ht="12.75">
      <c r="A327" s="1" t="s">
        <v>781</v>
      </c>
      <c r="B327" s="9" t="s">
        <v>128</v>
      </c>
      <c r="C327" s="12" t="s">
        <v>788</v>
      </c>
      <c r="D327" s="165" t="s">
        <v>789</v>
      </c>
      <c r="E327" s="14" t="s">
        <v>139</v>
      </c>
      <c r="F327" s="2"/>
      <c r="G327" s="13">
        <v>141233</v>
      </c>
      <c r="H327" s="13">
        <v>27739</v>
      </c>
      <c r="I327" s="18">
        <v>156113</v>
      </c>
      <c r="J327" s="15">
        <f t="shared" si="15"/>
        <v>325085</v>
      </c>
      <c r="K327" s="2"/>
      <c r="L327" s="2"/>
      <c r="M327" s="1"/>
      <c r="N327" s="18"/>
      <c r="O327" s="15">
        <f t="shared" si="16"/>
        <v>0</v>
      </c>
      <c r="P327" s="1"/>
      <c r="Q327" s="13">
        <v>8848</v>
      </c>
      <c r="R327" s="13">
        <v>6911</v>
      </c>
      <c r="S327" s="18">
        <v>9440</v>
      </c>
      <c r="T327" s="15">
        <f t="shared" si="17"/>
        <v>25199</v>
      </c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2"/>
    </row>
    <row r="328" spans="1:21" ht="12.75">
      <c r="A328" s="1" t="s">
        <v>781</v>
      </c>
      <c r="B328" s="9" t="s">
        <v>128</v>
      </c>
      <c r="C328" s="12" t="s">
        <v>790</v>
      </c>
      <c r="D328" s="165" t="s">
        <v>791</v>
      </c>
      <c r="E328" s="14" t="s">
        <v>139</v>
      </c>
      <c r="F328" s="2"/>
      <c r="G328" s="13">
        <v>185585</v>
      </c>
      <c r="H328" s="13">
        <v>48848</v>
      </c>
      <c r="I328" s="18">
        <v>198919</v>
      </c>
      <c r="J328" s="15">
        <f t="shared" si="15"/>
        <v>433352</v>
      </c>
      <c r="K328" s="2"/>
      <c r="L328" s="2"/>
      <c r="M328" s="1"/>
      <c r="N328" s="18"/>
      <c r="O328" s="15">
        <f t="shared" si="16"/>
        <v>0</v>
      </c>
      <c r="P328" s="2"/>
      <c r="Q328" s="13">
        <v>20145</v>
      </c>
      <c r="R328" s="13">
        <v>11113</v>
      </c>
      <c r="S328" s="18">
        <v>20821</v>
      </c>
      <c r="T328" s="15">
        <f t="shared" si="17"/>
        <v>52079</v>
      </c>
      <c r="U328" s="1"/>
    </row>
    <row r="329" spans="1:21" ht="12.75">
      <c r="A329" s="1" t="s">
        <v>781</v>
      </c>
      <c r="B329" s="9" t="s">
        <v>128</v>
      </c>
      <c r="C329" s="12" t="s">
        <v>792</v>
      </c>
      <c r="D329" s="165" t="s">
        <v>793</v>
      </c>
      <c r="E329" s="14" t="s">
        <v>139</v>
      </c>
      <c r="F329" s="1"/>
      <c r="G329" s="13">
        <v>94417</v>
      </c>
      <c r="H329" s="13">
        <v>19466</v>
      </c>
      <c r="I329" s="18">
        <v>99372</v>
      </c>
      <c r="J329" s="15">
        <f t="shared" si="15"/>
        <v>213255</v>
      </c>
      <c r="K329" s="1"/>
      <c r="L329" s="1"/>
      <c r="M329" s="1"/>
      <c r="N329" s="18"/>
      <c r="O329" s="15">
        <f t="shared" si="16"/>
        <v>0</v>
      </c>
      <c r="P329" s="1"/>
      <c r="Q329" s="13">
        <v>6352</v>
      </c>
      <c r="R329" s="13">
        <v>2569</v>
      </c>
      <c r="S329" s="18">
        <v>7154</v>
      </c>
      <c r="T329" s="15">
        <f t="shared" si="17"/>
        <v>16075</v>
      </c>
      <c r="U329" s="1"/>
    </row>
    <row r="330" spans="1:21" ht="12.75">
      <c r="A330" s="1" t="s">
        <v>781</v>
      </c>
      <c r="B330" s="9" t="s">
        <v>128</v>
      </c>
      <c r="C330" s="12" t="s">
        <v>794</v>
      </c>
      <c r="D330" s="165" t="s">
        <v>795</v>
      </c>
      <c r="E330" s="14" t="s">
        <v>139</v>
      </c>
      <c r="F330" s="1"/>
      <c r="G330" s="13">
        <v>55072</v>
      </c>
      <c r="H330" s="13">
        <v>16274</v>
      </c>
      <c r="I330" s="18">
        <v>55835</v>
      </c>
      <c r="J330" s="15">
        <f t="shared" si="15"/>
        <v>127181</v>
      </c>
      <c r="K330" s="13"/>
      <c r="L330" s="13"/>
      <c r="M330" s="1"/>
      <c r="N330" s="18"/>
      <c r="O330" s="15">
        <f t="shared" si="16"/>
        <v>0</v>
      </c>
      <c r="P330" s="13"/>
      <c r="Q330" s="13">
        <v>10586</v>
      </c>
      <c r="R330" s="13">
        <v>3511</v>
      </c>
      <c r="S330" s="18">
        <v>10902</v>
      </c>
      <c r="T330" s="15">
        <f t="shared" si="17"/>
        <v>24999</v>
      </c>
      <c r="U330" s="1"/>
    </row>
    <row r="331" spans="1:21" ht="12" customHeight="1">
      <c r="A331" s="1" t="s">
        <v>781</v>
      </c>
      <c r="B331" s="9" t="s">
        <v>128</v>
      </c>
      <c r="C331" s="12" t="s">
        <v>796</v>
      </c>
      <c r="D331" s="165" t="s">
        <v>797</v>
      </c>
      <c r="E331" s="14" t="s">
        <v>139</v>
      </c>
      <c r="F331" s="1"/>
      <c r="G331" s="13">
        <v>152349</v>
      </c>
      <c r="H331" s="13">
        <v>42076</v>
      </c>
      <c r="I331" s="18">
        <v>164965</v>
      </c>
      <c r="J331" s="15">
        <f t="shared" si="15"/>
        <v>359390</v>
      </c>
      <c r="K331" s="13"/>
      <c r="L331" s="13"/>
      <c r="M331" s="1"/>
      <c r="N331" s="18"/>
      <c r="O331" s="15">
        <f t="shared" si="16"/>
        <v>0</v>
      </c>
      <c r="P331" s="13"/>
      <c r="Q331" s="13">
        <v>13915</v>
      </c>
      <c r="R331" s="13">
        <v>6806</v>
      </c>
      <c r="S331" s="18">
        <v>14564</v>
      </c>
      <c r="T331" s="15">
        <f t="shared" si="17"/>
        <v>35285</v>
      </c>
      <c r="U331" s="1"/>
    </row>
    <row r="332" spans="1:21" ht="12.75">
      <c r="A332" s="1" t="s">
        <v>781</v>
      </c>
      <c r="B332" s="9" t="s">
        <v>128</v>
      </c>
      <c r="C332" s="12" t="s">
        <v>798</v>
      </c>
      <c r="D332" s="165" t="s">
        <v>799</v>
      </c>
      <c r="E332" s="14" t="s">
        <v>139</v>
      </c>
      <c r="F332" s="1"/>
      <c r="G332" s="13">
        <v>75544</v>
      </c>
      <c r="H332" s="13">
        <v>12949</v>
      </c>
      <c r="I332" s="18">
        <v>81840</v>
      </c>
      <c r="J332" s="15">
        <f t="shared" si="15"/>
        <v>170333</v>
      </c>
      <c r="K332" s="13"/>
      <c r="L332" s="13"/>
      <c r="M332" s="1"/>
      <c r="N332" s="18"/>
      <c r="O332" s="15">
        <f t="shared" si="16"/>
        <v>0</v>
      </c>
      <c r="P332" s="13"/>
      <c r="Q332" s="13">
        <v>5634</v>
      </c>
      <c r="R332" s="13">
        <v>2317</v>
      </c>
      <c r="S332" s="18">
        <v>5666</v>
      </c>
      <c r="T332" s="15">
        <f t="shared" si="17"/>
        <v>13617</v>
      </c>
      <c r="U332" s="1"/>
    </row>
    <row r="333" spans="1:21" ht="12.75">
      <c r="A333" s="1" t="s">
        <v>781</v>
      </c>
      <c r="B333" s="9" t="s">
        <v>128</v>
      </c>
      <c r="C333" s="12" t="s">
        <v>800</v>
      </c>
      <c r="D333" s="165" t="s">
        <v>801</v>
      </c>
      <c r="E333" s="14" t="s">
        <v>148</v>
      </c>
      <c r="F333" s="1"/>
      <c r="G333" s="13">
        <v>98344</v>
      </c>
      <c r="H333" s="13">
        <v>23136</v>
      </c>
      <c r="I333" s="18">
        <v>107235</v>
      </c>
      <c r="J333" s="15">
        <f t="shared" si="15"/>
        <v>228715</v>
      </c>
      <c r="K333" s="13"/>
      <c r="L333" s="13"/>
      <c r="M333" s="1"/>
      <c r="N333" s="18"/>
      <c r="O333" s="15">
        <f t="shared" si="16"/>
        <v>0</v>
      </c>
      <c r="P333" s="13"/>
      <c r="Q333" s="13">
        <v>2750</v>
      </c>
      <c r="R333" s="13">
        <v>1241</v>
      </c>
      <c r="S333" s="18">
        <v>3572</v>
      </c>
      <c r="T333" s="15">
        <f t="shared" si="17"/>
        <v>7563</v>
      </c>
      <c r="U333" s="1"/>
    </row>
    <row r="334" spans="1:21" ht="12.75">
      <c r="A334" s="1" t="s">
        <v>781</v>
      </c>
      <c r="B334" s="9" t="s">
        <v>128</v>
      </c>
      <c r="C334" s="12" t="s">
        <v>802</v>
      </c>
      <c r="D334" s="165" t="s">
        <v>803</v>
      </c>
      <c r="E334" s="14" t="s">
        <v>157</v>
      </c>
      <c r="F334" s="1"/>
      <c r="G334" s="13">
        <v>44194</v>
      </c>
      <c r="H334" s="13">
        <v>13259</v>
      </c>
      <c r="I334" s="18">
        <v>45296</v>
      </c>
      <c r="J334" s="15">
        <f t="shared" si="15"/>
        <v>102749</v>
      </c>
      <c r="K334" s="13"/>
      <c r="L334" s="13"/>
      <c r="M334" s="1"/>
      <c r="N334" s="18"/>
      <c r="O334" s="15">
        <f t="shared" si="16"/>
        <v>0</v>
      </c>
      <c r="P334" s="13"/>
      <c r="Q334" s="13">
        <v>4768</v>
      </c>
      <c r="R334" s="13">
        <v>2087</v>
      </c>
      <c r="S334" s="18">
        <v>4432</v>
      </c>
      <c r="T334" s="15">
        <f t="shared" si="17"/>
        <v>11287</v>
      </c>
      <c r="U334" s="1"/>
    </row>
    <row r="335" spans="1:21" ht="12.75">
      <c r="A335" s="1" t="s">
        <v>781</v>
      </c>
      <c r="B335" s="9" t="s">
        <v>128</v>
      </c>
      <c r="C335" s="12" t="s">
        <v>804</v>
      </c>
      <c r="D335" s="165" t="s">
        <v>805</v>
      </c>
      <c r="E335" s="14" t="s">
        <v>157</v>
      </c>
      <c r="F335" s="1"/>
      <c r="G335" s="13">
        <v>32214</v>
      </c>
      <c r="H335" s="13">
        <v>6774</v>
      </c>
      <c r="I335" s="18">
        <v>34597</v>
      </c>
      <c r="J335" s="15">
        <f t="shared" si="15"/>
        <v>73585</v>
      </c>
      <c r="K335" s="1"/>
      <c r="L335" s="1"/>
      <c r="M335" s="1"/>
      <c r="N335" s="18"/>
      <c r="O335" s="15">
        <f t="shared" si="16"/>
        <v>0</v>
      </c>
      <c r="P335" s="1"/>
      <c r="Q335" s="13">
        <v>1553</v>
      </c>
      <c r="R335" s="13">
        <v>1341</v>
      </c>
      <c r="S335" s="18">
        <v>1615</v>
      </c>
      <c r="T335" s="15">
        <f t="shared" si="17"/>
        <v>4509</v>
      </c>
      <c r="U335" s="1"/>
    </row>
    <row r="336" spans="1:21" ht="9.75" customHeight="1">
      <c r="A336" s="1" t="s">
        <v>781</v>
      </c>
      <c r="B336" s="9" t="s">
        <v>128</v>
      </c>
      <c r="C336" s="12" t="s">
        <v>806</v>
      </c>
      <c r="D336" s="165" t="s">
        <v>807</v>
      </c>
      <c r="E336" s="14" t="s">
        <v>166</v>
      </c>
      <c r="F336" s="1"/>
      <c r="G336" s="13">
        <v>30217</v>
      </c>
      <c r="H336" s="13">
        <v>3204</v>
      </c>
      <c r="I336" s="18">
        <v>29974</v>
      </c>
      <c r="J336" s="15">
        <f t="shared" si="15"/>
        <v>63395</v>
      </c>
      <c r="K336" s="1"/>
      <c r="L336" s="1"/>
      <c r="M336" s="1"/>
      <c r="N336" s="18"/>
      <c r="O336" s="15">
        <f t="shared" si="16"/>
        <v>0</v>
      </c>
      <c r="P336" s="1"/>
      <c r="Q336" s="1"/>
      <c r="R336" s="1"/>
      <c r="S336" s="18"/>
      <c r="T336" s="15">
        <f t="shared" si="17"/>
        <v>0</v>
      </c>
      <c r="U336" s="1"/>
    </row>
    <row r="337" spans="1:21" ht="9.75" customHeight="1">
      <c r="A337" s="1" t="s">
        <v>781</v>
      </c>
      <c r="B337" s="9" t="s">
        <v>128</v>
      </c>
      <c r="C337" s="12" t="s">
        <v>808</v>
      </c>
      <c r="D337" s="165" t="s">
        <v>809</v>
      </c>
      <c r="E337" s="14" t="s">
        <v>166</v>
      </c>
      <c r="F337" s="1"/>
      <c r="G337" s="13">
        <v>35022</v>
      </c>
      <c r="H337" s="13">
        <v>5262</v>
      </c>
      <c r="I337" s="18">
        <v>38151</v>
      </c>
      <c r="J337" s="15">
        <f t="shared" si="15"/>
        <v>78435</v>
      </c>
      <c r="K337" s="1"/>
      <c r="L337" s="1"/>
      <c r="M337" s="1"/>
      <c r="N337" s="18"/>
      <c r="O337" s="15">
        <f t="shared" si="16"/>
        <v>0</v>
      </c>
      <c r="P337" s="1"/>
      <c r="Q337" s="13">
        <v>192</v>
      </c>
      <c r="R337" s="13">
        <v>30</v>
      </c>
      <c r="S337" s="18">
        <v>219</v>
      </c>
      <c r="T337" s="15">
        <f t="shared" si="17"/>
        <v>441</v>
      </c>
      <c r="U337" s="1"/>
    </row>
    <row r="338" spans="1:21" ht="12" customHeight="1">
      <c r="A338" s="1" t="s">
        <v>781</v>
      </c>
      <c r="B338" s="9" t="s">
        <v>128</v>
      </c>
      <c r="C338" s="12" t="s">
        <v>810</v>
      </c>
      <c r="D338" s="165" t="s">
        <v>811</v>
      </c>
      <c r="E338" s="14" t="s">
        <v>166</v>
      </c>
      <c r="F338" s="1"/>
      <c r="G338" s="13">
        <v>35549</v>
      </c>
      <c r="H338" s="13">
        <v>8055</v>
      </c>
      <c r="I338" s="18">
        <v>37219</v>
      </c>
      <c r="J338" s="15">
        <f t="shared" si="15"/>
        <v>80823</v>
      </c>
      <c r="K338" s="1"/>
      <c r="L338" s="1"/>
      <c r="M338" s="1"/>
      <c r="N338" s="18"/>
      <c r="O338" s="15">
        <f t="shared" si="16"/>
        <v>0</v>
      </c>
      <c r="P338" s="1"/>
      <c r="Q338" s="1"/>
      <c r="R338" s="1"/>
      <c r="S338" s="18"/>
      <c r="T338" s="15">
        <f t="shared" si="17"/>
        <v>0</v>
      </c>
      <c r="U338" s="1"/>
    </row>
    <row r="339" spans="1:20" ht="12.75">
      <c r="A339" s="1" t="s">
        <v>781</v>
      </c>
      <c r="B339" s="9" t="s">
        <v>167</v>
      </c>
      <c r="C339" s="12" t="s">
        <v>812</v>
      </c>
      <c r="D339" s="32" t="s">
        <v>813</v>
      </c>
      <c r="E339" s="20">
        <v>7</v>
      </c>
      <c r="F339" s="13">
        <v>27814</v>
      </c>
      <c r="G339" s="13">
        <v>21941</v>
      </c>
      <c r="H339" s="13">
        <v>11880</v>
      </c>
      <c r="I339" s="18">
        <v>32600</v>
      </c>
      <c r="J339" s="15">
        <f t="shared" si="15"/>
        <v>94235</v>
      </c>
      <c r="K339" s="1"/>
      <c r="L339" s="1"/>
      <c r="M339" s="1"/>
      <c r="N339" s="18"/>
      <c r="O339" s="15">
        <f t="shared" si="16"/>
        <v>0</v>
      </c>
      <c r="P339" s="1"/>
      <c r="Q339" s="1"/>
      <c r="R339" s="1"/>
      <c r="S339" s="18"/>
      <c r="T339" s="15">
        <f t="shared" si="17"/>
        <v>0</v>
      </c>
    </row>
    <row r="340" spans="1:20" ht="12.75">
      <c r="A340" s="1" t="s">
        <v>781</v>
      </c>
      <c r="B340" s="9" t="s">
        <v>167</v>
      </c>
      <c r="C340" s="12" t="s">
        <v>814</v>
      </c>
      <c r="D340" s="32" t="s">
        <v>815</v>
      </c>
      <c r="E340" s="20">
        <v>7</v>
      </c>
      <c r="F340" s="13">
        <v>11903</v>
      </c>
      <c r="G340" s="13">
        <v>11573</v>
      </c>
      <c r="H340" s="13">
        <v>4353</v>
      </c>
      <c r="I340" s="18">
        <v>12963</v>
      </c>
      <c r="J340" s="15">
        <f t="shared" si="15"/>
        <v>40792</v>
      </c>
      <c r="K340" s="1"/>
      <c r="L340" s="1"/>
      <c r="M340" s="1"/>
      <c r="N340" s="18"/>
      <c r="O340" s="15">
        <f t="shared" si="16"/>
        <v>0</v>
      </c>
      <c r="P340" s="1"/>
      <c r="Q340" s="1"/>
      <c r="R340" s="1"/>
      <c r="S340" s="18"/>
      <c r="T340" s="15">
        <f t="shared" si="17"/>
        <v>0</v>
      </c>
    </row>
    <row r="341" spans="1:20" ht="12.75">
      <c r="A341" s="1" t="s">
        <v>781</v>
      </c>
      <c r="B341" s="9" t="s">
        <v>167</v>
      </c>
      <c r="C341" s="12" t="s">
        <v>816</v>
      </c>
      <c r="D341" s="32" t="s">
        <v>817</v>
      </c>
      <c r="E341" s="20">
        <v>7</v>
      </c>
      <c r="F341" s="13">
        <v>31755</v>
      </c>
      <c r="G341" s="13">
        <v>31614</v>
      </c>
      <c r="H341" s="13">
        <v>13522</v>
      </c>
      <c r="I341" s="18">
        <v>37172</v>
      </c>
      <c r="J341" s="15">
        <f t="shared" si="15"/>
        <v>114063</v>
      </c>
      <c r="K341" s="1"/>
      <c r="L341" s="1"/>
      <c r="M341" s="1"/>
      <c r="N341" s="18"/>
      <c r="O341" s="15">
        <f t="shared" si="16"/>
        <v>0</v>
      </c>
      <c r="P341" s="1"/>
      <c r="Q341" s="1"/>
      <c r="R341" s="1"/>
      <c r="S341" s="18"/>
      <c r="T341" s="15">
        <f t="shared" si="17"/>
        <v>0</v>
      </c>
    </row>
    <row r="342" spans="1:20" ht="12.75">
      <c r="A342" s="1" t="s">
        <v>781</v>
      </c>
      <c r="B342" s="9" t="s">
        <v>167</v>
      </c>
      <c r="C342" s="12" t="s">
        <v>818</v>
      </c>
      <c r="D342" s="32" t="s">
        <v>819</v>
      </c>
      <c r="E342" s="20">
        <v>7</v>
      </c>
      <c r="F342" s="13">
        <v>12270</v>
      </c>
      <c r="G342" s="13">
        <v>10794</v>
      </c>
      <c r="H342" s="13">
        <v>3606</v>
      </c>
      <c r="I342" s="18">
        <v>13255</v>
      </c>
      <c r="J342" s="15">
        <f t="shared" si="15"/>
        <v>39925</v>
      </c>
      <c r="K342" s="1"/>
      <c r="L342" s="1"/>
      <c r="M342" s="1"/>
      <c r="N342" s="18"/>
      <c r="O342" s="15">
        <f t="shared" si="16"/>
        <v>0</v>
      </c>
      <c r="P342" s="1"/>
      <c r="Q342" s="1"/>
      <c r="R342" s="1"/>
      <c r="S342" s="18"/>
      <c r="T342" s="15">
        <f t="shared" si="17"/>
        <v>0</v>
      </c>
    </row>
    <row r="343" spans="1:20" ht="12.75">
      <c r="A343" s="1" t="s">
        <v>781</v>
      </c>
      <c r="B343" s="9" t="s">
        <v>167</v>
      </c>
      <c r="C343" s="12" t="s">
        <v>820</v>
      </c>
      <c r="D343" s="32" t="s">
        <v>821</v>
      </c>
      <c r="E343" s="20">
        <v>7</v>
      </c>
      <c r="F343" s="13">
        <v>6761</v>
      </c>
      <c r="G343" s="13">
        <v>7577</v>
      </c>
      <c r="H343" s="13">
        <v>3317</v>
      </c>
      <c r="I343" s="18">
        <v>8659</v>
      </c>
      <c r="J343" s="15">
        <f t="shared" si="15"/>
        <v>26314</v>
      </c>
      <c r="K343" s="1"/>
      <c r="L343" s="1"/>
      <c r="M343" s="1"/>
      <c r="N343" s="18"/>
      <c r="O343" s="15">
        <f t="shared" si="16"/>
        <v>0</v>
      </c>
      <c r="P343" s="1"/>
      <c r="Q343" s="1"/>
      <c r="R343" s="1"/>
      <c r="S343" s="18"/>
      <c r="T343" s="15">
        <f t="shared" si="17"/>
        <v>0</v>
      </c>
    </row>
    <row r="344" spans="1:20" ht="12.75">
      <c r="A344" s="1" t="s">
        <v>781</v>
      </c>
      <c r="B344" s="9" t="s">
        <v>167</v>
      </c>
      <c r="C344" s="12" t="s">
        <v>822</v>
      </c>
      <c r="D344" s="32" t="s">
        <v>823</v>
      </c>
      <c r="E344" s="20">
        <v>7</v>
      </c>
      <c r="F344" s="13">
        <v>12993</v>
      </c>
      <c r="G344" s="13">
        <v>12464</v>
      </c>
      <c r="H344" s="13">
        <v>5857</v>
      </c>
      <c r="I344" s="18">
        <v>14241</v>
      </c>
      <c r="J344" s="15">
        <f t="shared" si="15"/>
        <v>45555</v>
      </c>
      <c r="K344" s="1"/>
      <c r="L344" s="1"/>
      <c r="M344" s="1"/>
      <c r="N344" s="18"/>
      <c r="O344" s="15">
        <f t="shared" si="16"/>
        <v>0</v>
      </c>
      <c r="P344" s="1"/>
      <c r="Q344" s="1"/>
      <c r="R344" s="1"/>
      <c r="S344" s="18"/>
      <c r="T344" s="15">
        <f t="shared" si="17"/>
        <v>0</v>
      </c>
    </row>
    <row r="345" spans="1:20" ht="12.75">
      <c r="A345" s="1" t="s">
        <v>781</v>
      </c>
      <c r="B345" s="9" t="s">
        <v>167</v>
      </c>
      <c r="C345" s="12" t="s">
        <v>824</v>
      </c>
      <c r="D345" s="32" t="s">
        <v>825</v>
      </c>
      <c r="E345" s="20">
        <v>7</v>
      </c>
      <c r="F345" s="13">
        <v>8554</v>
      </c>
      <c r="G345" s="13">
        <v>8254</v>
      </c>
      <c r="H345" s="13">
        <v>3303</v>
      </c>
      <c r="I345" s="18">
        <v>9540</v>
      </c>
      <c r="J345" s="15">
        <f t="shared" si="15"/>
        <v>29651</v>
      </c>
      <c r="K345" s="1"/>
      <c r="L345" s="1"/>
      <c r="M345" s="1"/>
      <c r="N345" s="18"/>
      <c r="O345" s="15">
        <f t="shared" si="16"/>
        <v>0</v>
      </c>
      <c r="P345" s="1"/>
      <c r="Q345" s="1"/>
      <c r="R345" s="1"/>
      <c r="S345" s="18"/>
      <c r="T345" s="15">
        <f t="shared" si="17"/>
        <v>0</v>
      </c>
    </row>
    <row r="346" spans="1:20" ht="12.75">
      <c r="A346" s="1" t="s">
        <v>781</v>
      </c>
      <c r="B346" s="9" t="s">
        <v>167</v>
      </c>
      <c r="C346" s="12" t="s">
        <v>826</v>
      </c>
      <c r="D346" s="32" t="s">
        <v>827</v>
      </c>
      <c r="E346" s="20">
        <v>7</v>
      </c>
      <c r="F346" s="13">
        <v>20447</v>
      </c>
      <c r="G346" s="13">
        <v>22412</v>
      </c>
      <c r="H346" s="13">
        <v>8912</v>
      </c>
      <c r="I346" s="18">
        <v>28409</v>
      </c>
      <c r="J346" s="15">
        <f t="shared" si="15"/>
        <v>80180</v>
      </c>
      <c r="K346" s="1"/>
      <c r="L346" s="1"/>
      <c r="M346" s="1"/>
      <c r="N346" s="18"/>
      <c r="O346" s="15">
        <f t="shared" si="16"/>
        <v>0</v>
      </c>
      <c r="P346" s="1"/>
      <c r="Q346" s="1"/>
      <c r="R346" s="1"/>
      <c r="S346" s="18"/>
      <c r="T346" s="15">
        <f t="shared" si="17"/>
        <v>0</v>
      </c>
    </row>
    <row r="347" spans="1:20" ht="12.75">
      <c r="A347" s="1" t="s">
        <v>781</v>
      </c>
      <c r="B347" s="9" t="s">
        <v>167</v>
      </c>
      <c r="C347" s="12" t="s">
        <v>828</v>
      </c>
      <c r="D347" s="32" t="s">
        <v>829</v>
      </c>
      <c r="E347" s="20">
        <v>7</v>
      </c>
      <c r="F347" s="12">
        <v>35354</v>
      </c>
      <c r="G347" s="13">
        <v>32386</v>
      </c>
      <c r="H347" s="13">
        <v>12865</v>
      </c>
      <c r="I347" s="18">
        <v>40846</v>
      </c>
      <c r="J347" s="15">
        <f t="shared" si="15"/>
        <v>121451</v>
      </c>
      <c r="K347" s="1"/>
      <c r="L347" s="1"/>
      <c r="M347" s="1"/>
      <c r="N347" s="18"/>
      <c r="O347" s="15">
        <f t="shared" si="16"/>
        <v>0</v>
      </c>
      <c r="P347" s="1"/>
      <c r="Q347" s="1"/>
      <c r="R347" s="1"/>
      <c r="S347" s="18"/>
      <c r="T347" s="15">
        <f t="shared" si="17"/>
        <v>0</v>
      </c>
    </row>
    <row r="348" spans="1:20" ht="12.75">
      <c r="A348" s="1" t="s">
        <v>781</v>
      </c>
      <c r="B348" s="9" t="s">
        <v>167</v>
      </c>
      <c r="C348" s="12" t="s">
        <v>830</v>
      </c>
      <c r="D348" s="32" t="s">
        <v>831</v>
      </c>
      <c r="E348" s="20">
        <v>7</v>
      </c>
      <c r="F348" s="13">
        <v>13167</v>
      </c>
      <c r="G348" s="13">
        <v>13253</v>
      </c>
      <c r="H348" s="13">
        <v>5060</v>
      </c>
      <c r="I348" s="18">
        <v>14904</v>
      </c>
      <c r="J348" s="15">
        <f t="shared" si="15"/>
        <v>46384</v>
      </c>
      <c r="K348" s="1"/>
      <c r="L348" s="1"/>
      <c r="M348" s="1"/>
      <c r="N348" s="18"/>
      <c r="O348" s="15">
        <f t="shared" si="16"/>
        <v>0</v>
      </c>
      <c r="P348" s="1"/>
      <c r="Q348" s="1"/>
      <c r="R348" s="1"/>
      <c r="S348" s="18"/>
      <c r="T348" s="15">
        <f t="shared" si="17"/>
        <v>0</v>
      </c>
    </row>
    <row r="349" spans="1:20" ht="12.75">
      <c r="A349" s="1" t="s">
        <v>781</v>
      </c>
      <c r="B349" s="9" t="s">
        <v>167</v>
      </c>
      <c r="C349" s="12" t="s">
        <v>832</v>
      </c>
      <c r="D349" s="32" t="s">
        <v>833</v>
      </c>
      <c r="E349" s="20">
        <v>7</v>
      </c>
      <c r="F349" s="13">
        <v>26332</v>
      </c>
      <c r="G349" s="13">
        <v>25897</v>
      </c>
      <c r="H349" s="13">
        <v>14026</v>
      </c>
      <c r="I349" s="18">
        <v>29798</v>
      </c>
      <c r="J349" s="15">
        <f t="shared" si="15"/>
        <v>96053</v>
      </c>
      <c r="K349" s="1"/>
      <c r="L349" s="1"/>
      <c r="M349" s="1"/>
      <c r="N349" s="18"/>
      <c r="O349" s="15">
        <f t="shared" si="16"/>
        <v>0</v>
      </c>
      <c r="P349" s="1"/>
      <c r="Q349" s="1"/>
      <c r="R349" s="1"/>
      <c r="S349" s="18"/>
      <c r="T349" s="15">
        <f t="shared" si="17"/>
        <v>0</v>
      </c>
    </row>
    <row r="350" spans="1:20" ht="12.75">
      <c r="A350" s="1" t="s">
        <v>781</v>
      </c>
      <c r="B350" s="9" t="s">
        <v>167</v>
      </c>
      <c r="C350" s="12" t="s">
        <v>834</v>
      </c>
      <c r="D350" s="32" t="s">
        <v>835</v>
      </c>
      <c r="E350" s="20">
        <v>7</v>
      </c>
      <c r="F350" s="13">
        <v>30647</v>
      </c>
      <c r="G350" s="13">
        <v>25081</v>
      </c>
      <c r="H350" s="13">
        <v>10547</v>
      </c>
      <c r="I350" s="18">
        <v>36776</v>
      </c>
      <c r="J350" s="15">
        <f t="shared" si="15"/>
        <v>103051</v>
      </c>
      <c r="K350" s="1"/>
      <c r="L350" s="1"/>
      <c r="M350" s="1"/>
      <c r="N350" s="18"/>
      <c r="O350" s="15">
        <f t="shared" si="16"/>
        <v>0</v>
      </c>
      <c r="P350" s="1"/>
      <c r="Q350" s="1"/>
      <c r="R350" s="1"/>
      <c r="S350" s="18"/>
      <c r="T350" s="15">
        <f t="shared" si="17"/>
        <v>0</v>
      </c>
    </row>
    <row r="351" spans="1:20" ht="12.75">
      <c r="A351" s="1" t="s">
        <v>781</v>
      </c>
      <c r="B351" s="9" t="s">
        <v>167</v>
      </c>
      <c r="C351" s="12" t="s">
        <v>836</v>
      </c>
      <c r="D351" s="32" t="s">
        <v>837</v>
      </c>
      <c r="E351" s="20">
        <v>7</v>
      </c>
      <c r="F351" s="13">
        <v>113743</v>
      </c>
      <c r="G351" s="13">
        <v>111075</v>
      </c>
      <c r="H351" s="13">
        <v>47192</v>
      </c>
      <c r="I351" s="18">
        <v>128326</v>
      </c>
      <c r="J351" s="15">
        <f t="shared" si="15"/>
        <v>400336</v>
      </c>
      <c r="K351" s="1"/>
      <c r="L351" s="1"/>
      <c r="M351" s="1"/>
      <c r="N351" s="18"/>
      <c r="O351" s="15">
        <f t="shared" si="16"/>
        <v>0</v>
      </c>
      <c r="P351" s="1"/>
      <c r="Q351" s="1"/>
      <c r="R351" s="1"/>
      <c r="S351" s="18"/>
      <c r="T351" s="15">
        <f t="shared" si="17"/>
        <v>0</v>
      </c>
    </row>
    <row r="352" spans="1:20" ht="12.75">
      <c r="A352" s="1" t="s">
        <v>781</v>
      </c>
      <c r="B352" s="9" t="s">
        <v>167</v>
      </c>
      <c r="C352" s="12" t="s">
        <v>838</v>
      </c>
      <c r="D352" s="32" t="s">
        <v>839</v>
      </c>
      <c r="E352" s="20">
        <v>7</v>
      </c>
      <c r="F352" s="13">
        <v>14648</v>
      </c>
      <c r="G352" s="13">
        <v>14717</v>
      </c>
      <c r="H352" s="13">
        <v>7235</v>
      </c>
      <c r="I352" s="18">
        <v>16453</v>
      </c>
      <c r="J352" s="15">
        <f t="shared" si="15"/>
        <v>53053</v>
      </c>
      <c r="K352" s="1"/>
      <c r="L352" s="1"/>
      <c r="M352" s="1"/>
      <c r="N352" s="18"/>
      <c r="O352" s="15">
        <f t="shared" si="16"/>
        <v>0</v>
      </c>
      <c r="P352" s="2"/>
      <c r="Q352" s="1"/>
      <c r="R352" s="1"/>
      <c r="S352" s="18"/>
      <c r="T352" s="15">
        <f t="shared" si="17"/>
        <v>0</v>
      </c>
    </row>
    <row r="353" spans="1:20" ht="12.75">
      <c r="A353" s="1" t="s">
        <v>781</v>
      </c>
      <c r="B353" s="9" t="s">
        <v>167</v>
      </c>
      <c r="C353" s="12" t="s">
        <v>840</v>
      </c>
      <c r="D353" s="32" t="s">
        <v>841</v>
      </c>
      <c r="E353" s="20">
        <v>7</v>
      </c>
      <c r="F353" s="13">
        <v>36886</v>
      </c>
      <c r="G353" s="13">
        <v>38355</v>
      </c>
      <c r="H353" s="13">
        <v>17095</v>
      </c>
      <c r="I353" s="18">
        <v>41727</v>
      </c>
      <c r="J353" s="15">
        <f t="shared" si="15"/>
        <v>134063</v>
      </c>
      <c r="K353" s="1"/>
      <c r="L353" s="1"/>
      <c r="M353" s="1"/>
      <c r="N353" s="18"/>
      <c r="O353" s="15">
        <f t="shared" si="16"/>
        <v>0</v>
      </c>
      <c r="P353" s="2"/>
      <c r="Q353" s="1"/>
      <c r="R353" s="1"/>
      <c r="S353" s="18"/>
      <c r="T353" s="15">
        <f t="shared" si="17"/>
        <v>0</v>
      </c>
    </row>
    <row r="354" spans="1:20" ht="12.75">
      <c r="A354" s="1" t="s">
        <v>781</v>
      </c>
      <c r="B354" s="9" t="s">
        <v>167</v>
      </c>
      <c r="C354" s="12" t="s">
        <v>842</v>
      </c>
      <c r="D354" s="32" t="s">
        <v>843</v>
      </c>
      <c r="E354" s="20">
        <v>7</v>
      </c>
      <c r="F354" s="13">
        <v>16996</v>
      </c>
      <c r="G354" s="13">
        <v>15697</v>
      </c>
      <c r="H354" s="13">
        <v>4670</v>
      </c>
      <c r="I354" s="18">
        <v>19083</v>
      </c>
      <c r="J354" s="15">
        <f t="shared" si="15"/>
        <v>56446</v>
      </c>
      <c r="K354" s="1"/>
      <c r="L354" s="1"/>
      <c r="M354" s="1"/>
      <c r="N354" s="18"/>
      <c r="O354" s="15">
        <f t="shared" si="16"/>
        <v>0</v>
      </c>
      <c r="P354" s="2"/>
      <c r="Q354" s="1"/>
      <c r="R354" s="1"/>
      <c r="S354" s="18"/>
      <c r="T354" s="15">
        <f t="shared" si="17"/>
        <v>0</v>
      </c>
    </row>
    <row r="355" spans="1:20" ht="12.75">
      <c r="A355" s="1" t="s">
        <v>781</v>
      </c>
      <c r="B355" s="9" t="s">
        <v>167</v>
      </c>
      <c r="C355" s="12" t="s">
        <v>844</v>
      </c>
      <c r="D355" s="32" t="s">
        <v>845</v>
      </c>
      <c r="E355" s="20">
        <v>7</v>
      </c>
      <c r="F355" s="13">
        <v>21593</v>
      </c>
      <c r="G355" s="13">
        <v>22370</v>
      </c>
      <c r="H355" s="13">
        <v>8492</v>
      </c>
      <c r="I355" s="18">
        <v>23847</v>
      </c>
      <c r="J355" s="15">
        <f t="shared" si="15"/>
        <v>76302</v>
      </c>
      <c r="K355" s="1"/>
      <c r="L355" s="1"/>
      <c r="M355" s="1"/>
      <c r="N355" s="18"/>
      <c r="O355" s="15">
        <f t="shared" si="16"/>
        <v>0</v>
      </c>
      <c r="P355" s="2"/>
      <c r="Q355" s="1"/>
      <c r="R355" s="1"/>
      <c r="S355" s="18"/>
      <c r="T355" s="15">
        <f t="shared" si="17"/>
        <v>0</v>
      </c>
    </row>
    <row r="356" spans="1:20" ht="12.75">
      <c r="A356" s="1" t="s">
        <v>781</v>
      </c>
      <c r="B356" s="9" t="s">
        <v>167</v>
      </c>
      <c r="C356" s="12" t="s">
        <v>846</v>
      </c>
      <c r="D356" s="32" t="s">
        <v>847</v>
      </c>
      <c r="E356" s="20">
        <v>7</v>
      </c>
      <c r="F356" s="13">
        <v>21902</v>
      </c>
      <c r="G356" s="13">
        <v>20163</v>
      </c>
      <c r="H356" s="13">
        <v>7983</v>
      </c>
      <c r="I356" s="18">
        <v>23792</v>
      </c>
      <c r="J356" s="15">
        <f t="shared" si="15"/>
        <v>73840</v>
      </c>
      <c r="K356" s="1"/>
      <c r="L356" s="1"/>
      <c r="M356" s="1"/>
      <c r="N356" s="18"/>
      <c r="O356" s="15">
        <f t="shared" si="16"/>
        <v>0</v>
      </c>
      <c r="P356" s="1"/>
      <c r="Q356" s="1"/>
      <c r="R356" s="1"/>
      <c r="S356" s="18"/>
      <c r="T356" s="15">
        <f t="shared" si="17"/>
        <v>0</v>
      </c>
    </row>
    <row r="357" spans="1:20" ht="12.75">
      <c r="A357" s="1" t="s">
        <v>781</v>
      </c>
      <c r="B357" s="9" t="s">
        <v>167</v>
      </c>
      <c r="C357" s="12" t="s">
        <v>848</v>
      </c>
      <c r="D357" s="32" t="s">
        <v>849</v>
      </c>
      <c r="E357" s="20">
        <v>7</v>
      </c>
      <c r="F357" s="13">
        <v>34695</v>
      </c>
      <c r="G357" s="13">
        <v>34602</v>
      </c>
      <c r="H357" s="13">
        <v>14178</v>
      </c>
      <c r="I357" s="18">
        <v>42925</v>
      </c>
      <c r="J357" s="15">
        <f t="shared" si="15"/>
        <v>126400</v>
      </c>
      <c r="K357" s="1"/>
      <c r="L357" s="1"/>
      <c r="M357" s="1"/>
      <c r="N357" s="18"/>
      <c r="O357" s="15">
        <f t="shared" si="16"/>
        <v>0</v>
      </c>
      <c r="P357" s="2"/>
      <c r="Q357" s="1"/>
      <c r="R357" s="1"/>
      <c r="S357" s="18"/>
      <c r="T357" s="15">
        <f t="shared" si="17"/>
        <v>0</v>
      </c>
    </row>
    <row r="358" spans="1:20" ht="12.75">
      <c r="A358" s="1" t="s">
        <v>781</v>
      </c>
      <c r="B358" s="9" t="s">
        <v>167</v>
      </c>
      <c r="C358" s="12" t="s">
        <v>850</v>
      </c>
      <c r="D358" s="32" t="s">
        <v>851</v>
      </c>
      <c r="E358" s="20">
        <v>7</v>
      </c>
      <c r="F358" s="13">
        <v>15771</v>
      </c>
      <c r="G358" s="13">
        <v>15556</v>
      </c>
      <c r="H358" s="13">
        <v>8300</v>
      </c>
      <c r="I358" s="18">
        <v>18193</v>
      </c>
      <c r="J358" s="15">
        <f t="shared" si="15"/>
        <v>57820</v>
      </c>
      <c r="K358" s="1"/>
      <c r="L358" s="1"/>
      <c r="M358" s="1"/>
      <c r="N358" s="18"/>
      <c r="O358" s="15">
        <f t="shared" si="16"/>
        <v>0</v>
      </c>
      <c r="P358" s="2"/>
      <c r="Q358" s="1"/>
      <c r="R358" s="1"/>
      <c r="S358" s="18"/>
      <c r="T358" s="15">
        <f t="shared" si="17"/>
        <v>0</v>
      </c>
    </row>
    <row r="359" spans="1:20" ht="12.75">
      <c r="A359" s="1" t="s">
        <v>781</v>
      </c>
      <c r="B359" s="9" t="s">
        <v>167</v>
      </c>
      <c r="C359" s="12" t="s">
        <v>852</v>
      </c>
      <c r="D359" s="32" t="s">
        <v>853</v>
      </c>
      <c r="E359" s="20">
        <v>7</v>
      </c>
      <c r="F359" s="13">
        <v>64885</v>
      </c>
      <c r="G359" s="13">
        <v>67566</v>
      </c>
      <c r="H359" s="13">
        <v>30700</v>
      </c>
      <c r="I359" s="18">
        <v>72463</v>
      </c>
      <c r="J359" s="15">
        <f t="shared" si="15"/>
        <v>235614</v>
      </c>
      <c r="K359" s="1"/>
      <c r="L359" s="1"/>
      <c r="M359" s="1"/>
      <c r="N359" s="18"/>
      <c r="O359" s="15">
        <f t="shared" si="16"/>
        <v>0</v>
      </c>
      <c r="P359" s="2"/>
      <c r="Q359" s="1"/>
      <c r="R359" s="1"/>
      <c r="S359" s="18"/>
      <c r="T359" s="15">
        <f t="shared" si="17"/>
        <v>0</v>
      </c>
    </row>
    <row r="360" spans="1:20" ht="12.75">
      <c r="A360" s="1" t="s">
        <v>781</v>
      </c>
      <c r="B360" s="9" t="s">
        <v>167</v>
      </c>
      <c r="C360" s="12" t="s">
        <v>854</v>
      </c>
      <c r="D360" s="32" t="s">
        <v>855</v>
      </c>
      <c r="E360" s="20">
        <v>7</v>
      </c>
      <c r="F360" s="13">
        <v>38549</v>
      </c>
      <c r="G360" s="13">
        <v>38151</v>
      </c>
      <c r="H360" s="13">
        <v>21488</v>
      </c>
      <c r="I360" s="18">
        <v>42028</v>
      </c>
      <c r="J360" s="15">
        <f t="shared" si="15"/>
        <v>140216</v>
      </c>
      <c r="K360" s="1"/>
      <c r="L360" s="1"/>
      <c r="M360" s="1"/>
      <c r="N360" s="18"/>
      <c r="O360" s="15">
        <f t="shared" si="16"/>
        <v>0</v>
      </c>
      <c r="P360" s="1"/>
      <c r="Q360" s="1"/>
      <c r="R360" s="1"/>
      <c r="S360" s="18"/>
      <c r="T360" s="15">
        <f t="shared" si="17"/>
        <v>0</v>
      </c>
    </row>
    <row r="361" spans="1:20" ht="12.75">
      <c r="A361" s="1" t="s">
        <v>781</v>
      </c>
      <c r="B361" s="9" t="s">
        <v>167</v>
      </c>
      <c r="C361" s="12" t="s">
        <v>856</v>
      </c>
      <c r="D361" s="32" t="s">
        <v>857</v>
      </c>
      <c r="E361" s="20">
        <v>7</v>
      </c>
      <c r="F361" s="13">
        <v>37886</v>
      </c>
      <c r="G361" s="13">
        <v>36818</v>
      </c>
      <c r="H361" s="13">
        <v>16310</v>
      </c>
      <c r="I361" s="18">
        <v>41054</v>
      </c>
      <c r="J361" s="15">
        <f t="shared" si="15"/>
        <v>132068</v>
      </c>
      <c r="K361" s="1"/>
      <c r="L361" s="1"/>
      <c r="M361" s="1"/>
      <c r="N361" s="18"/>
      <c r="O361" s="15">
        <f t="shared" si="16"/>
        <v>0</v>
      </c>
      <c r="P361" s="1"/>
      <c r="Q361" s="1"/>
      <c r="R361" s="1"/>
      <c r="S361" s="18"/>
      <c r="T361" s="15">
        <f t="shared" si="17"/>
        <v>0</v>
      </c>
    </row>
    <row r="362" spans="1:20" ht="12.75">
      <c r="A362" s="1" t="s">
        <v>781</v>
      </c>
      <c r="B362" s="9" t="s">
        <v>167</v>
      </c>
      <c r="C362" s="12" t="s">
        <v>858</v>
      </c>
      <c r="D362" s="32" t="s">
        <v>859</v>
      </c>
      <c r="E362" s="20">
        <v>7</v>
      </c>
      <c r="F362" s="13">
        <v>49803</v>
      </c>
      <c r="G362" s="13">
        <v>47894</v>
      </c>
      <c r="H362" s="13">
        <v>20759</v>
      </c>
      <c r="I362" s="18">
        <v>58126</v>
      </c>
      <c r="J362" s="15">
        <f t="shared" si="15"/>
        <v>176582</v>
      </c>
      <c r="K362" s="1"/>
      <c r="L362" s="1"/>
      <c r="M362" s="1"/>
      <c r="N362" s="18"/>
      <c r="O362" s="15">
        <f t="shared" si="16"/>
        <v>0</v>
      </c>
      <c r="P362" s="2"/>
      <c r="Q362" s="1"/>
      <c r="R362" s="1"/>
      <c r="S362" s="18"/>
      <c r="T362" s="15">
        <f t="shared" si="17"/>
        <v>0</v>
      </c>
    </row>
    <row r="363" spans="1:20" ht="12.75">
      <c r="A363" s="1" t="s">
        <v>781</v>
      </c>
      <c r="B363" s="9" t="s">
        <v>167</v>
      </c>
      <c r="C363" s="12" t="s">
        <v>860</v>
      </c>
      <c r="D363" s="32" t="s">
        <v>861</v>
      </c>
      <c r="E363" s="20">
        <v>7</v>
      </c>
      <c r="F363" s="13">
        <v>14971</v>
      </c>
      <c r="G363" s="13">
        <v>15867</v>
      </c>
      <c r="H363" s="13">
        <v>5883</v>
      </c>
      <c r="I363" s="18">
        <v>17379</v>
      </c>
      <c r="J363" s="15">
        <f t="shared" si="15"/>
        <v>54100</v>
      </c>
      <c r="K363" s="1"/>
      <c r="L363" s="1"/>
      <c r="M363" s="1"/>
      <c r="N363" s="18"/>
      <c r="O363" s="15">
        <f t="shared" si="16"/>
        <v>0</v>
      </c>
      <c r="P363" s="2"/>
      <c r="Q363" s="1"/>
      <c r="R363" s="1"/>
      <c r="S363" s="18"/>
      <c r="T363" s="15">
        <f t="shared" si="17"/>
        <v>0</v>
      </c>
    </row>
    <row r="364" spans="1:20" ht="12.75">
      <c r="A364" s="1" t="s">
        <v>781</v>
      </c>
      <c r="B364" s="9" t="s">
        <v>167</v>
      </c>
      <c r="C364" s="12" t="s">
        <v>862</v>
      </c>
      <c r="D364" s="32" t="s">
        <v>863</v>
      </c>
      <c r="E364" s="20">
        <v>7</v>
      </c>
      <c r="F364" s="13">
        <v>13729</v>
      </c>
      <c r="G364" s="13">
        <v>13083</v>
      </c>
      <c r="H364" s="13">
        <v>6072</v>
      </c>
      <c r="I364" s="18">
        <v>14577</v>
      </c>
      <c r="J364" s="15">
        <f t="shared" si="15"/>
        <v>47461</v>
      </c>
      <c r="K364" s="1"/>
      <c r="L364" s="1"/>
      <c r="M364" s="1"/>
      <c r="N364" s="18"/>
      <c r="O364" s="15">
        <f t="shared" si="16"/>
        <v>0</v>
      </c>
      <c r="P364" s="1"/>
      <c r="Q364" s="1"/>
      <c r="R364" s="1"/>
      <c r="S364" s="18"/>
      <c r="T364" s="15">
        <f t="shared" si="17"/>
        <v>0</v>
      </c>
    </row>
    <row r="365" spans="1:20" ht="12.75">
      <c r="A365" s="1" t="s">
        <v>781</v>
      </c>
      <c r="B365" s="9" t="s">
        <v>167</v>
      </c>
      <c r="C365" s="12" t="s">
        <v>864</v>
      </c>
      <c r="D365" s="32" t="s">
        <v>865</v>
      </c>
      <c r="E365" s="20">
        <v>7</v>
      </c>
      <c r="F365" s="13">
        <v>14423</v>
      </c>
      <c r="G365" s="13">
        <v>13247</v>
      </c>
      <c r="H365" s="13">
        <v>5528</v>
      </c>
      <c r="I365" s="18">
        <v>16550</v>
      </c>
      <c r="J365" s="15">
        <f t="shared" si="15"/>
        <v>49748</v>
      </c>
      <c r="K365" s="1"/>
      <c r="L365" s="1"/>
      <c r="M365" s="1"/>
      <c r="N365" s="18"/>
      <c r="O365" s="15">
        <f t="shared" si="16"/>
        <v>0</v>
      </c>
      <c r="P365" s="2"/>
      <c r="Q365" s="1"/>
      <c r="R365" s="1"/>
      <c r="S365" s="18"/>
      <c r="T365" s="15">
        <f t="shared" si="17"/>
        <v>0</v>
      </c>
    </row>
    <row r="366" spans="1:20" ht="12.75">
      <c r="A366" s="1" t="s">
        <v>781</v>
      </c>
      <c r="B366" s="9" t="s">
        <v>167</v>
      </c>
      <c r="C366" s="12" t="s">
        <v>866</v>
      </c>
      <c r="D366" s="32" t="s">
        <v>867</v>
      </c>
      <c r="E366" s="20">
        <v>7</v>
      </c>
      <c r="F366" s="13">
        <v>11071</v>
      </c>
      <c r="G366" s="13">
        <v>9854</v>
      </c>
      <c r="H366" s="13">
        <v>4485</v>
      </c>
      <c r="I366" s="18">
        <v>10630</v>
      </c>
      <c r="J366" s="15">
        <f t="shared" si="15"/>
        <v>36040</v>
      </c>
      <c r="K366" s="1"/>
      <c r="L366" s="1"/>
      <c r="M366" s="1"/>
      <c r="N366" s="18"/>
      <c r="O366" s="15">
        <f t="shared" si="16"/>
        <v>0</v>
      </c>
      <c r="P366" s="2"/>
      <c r="Q366" s="1"/>
      <c r="R366" s="1"/>
      <c r="S366" s="18"/>
      <c r="T366" s="15">
        <f t="shared" si="17"/>
        <v>0</v>
      </c>
    </row>
    <row r="367" spans="1:20" ht="12.75">
      <c r="A367" s="1" t="s">
        <v>781</v>
      </c>
      <c r="B367" s="9" t="s">
        <v>167</v>
      </c>
      <c r="C367" s="12" t="s">
        <v>868</v>
      </c>
      <c r="D367" s="32" t="s">
        <v>869</v>
      </c>
      <c r="E367" s="20">
        <v>7</v>
      </c>
      <c r="F367" s="13">
        <v>26038</v>
      </c>
      <c r="G367" s="13">
        <v>27453</v>
      </c>
      <c r="H367" s="13">
        <v>18337</v>
      </c>
      <c r="I367" s="18">
        <v>31553</v>
      </c>
      <c r="J367" s="15">
        <f t="shared" si="15"/>
        <v>103381</v>
      </c>
      <c r="K367" s="1"/>
      <c r="L367" s="1"/>
      <c r="M367" s="1"/>
      <c r="N367" s="18"/>
      <c r="O367" s="15">
        <f t="shared" si="16"/>
        <v>0</v>
      </c>
      <c r="P367" s="1"/>
      <c r="Q367" s="1"/>
      <c r="R367" s="1"/>
      <c r="S367" s="18"/>
      <c r="T367" s="15">
        <f t="shared" si="17"/>
        <v>0</v>
      </c>
    </row>
    <row r="368" spans="1:20" ht="12.75">
      <c r="A368" s="1" t="s">
        <v>781</v>
      </c>
      <c r="B368" s="9" t="s">
        <v>167</v>
      </c>
      <c r="C368" s="12" t="s">
        <v>870</v>
      </c>
      <c r="D368" s="32" t="s">
        <v>871</v>
      </c>
      <c r="E368" s="20">
        <v>7</v>
      </c>
      <c r="F368" s="13">
        <v>20452</v>
      </c>
      <c r="G368" s="13">
        <v>20101</v>
      </c>
      <c r="H368" s="13">
        <v>5861</v>
      </c>
      <c r="I368" s="18">
        <v>22216</v>
      </c>
      <c r="J368" s="15">
        <f t="shared" si="15"/>
        <v>68630</v>
      </c>
      <c r="K368" s="1"/>
      <c r="L368" s="1"/>
      <c r="M368" s="1"/>
      <c r="N368" s="18"/>
      <c r="O368" s="15">
        <f t="shared" si="16"/>
        <v>0</v>
      </c>
      <c r="P368" s="1"/>
      <c r="Q368" s="1"/>
      <c r="R368" s="1"/>
      <c r="S368" s="18"/>
      <c r="T368" s="15">
        <f t="shared" si="17"/>
        <v>0</v>
      </c>
    </row>
    <row r="369" spans="1:20" ht="12.75">
      <c r="A369" s="1" t="s">
        <v>781</v>
      </c>
      <c r="B369" s="9" t="s">
        <v>167</v>
      </c>
      <c r="C369" s="12" t="s">
        <v>872</v>
      </c>
      <c r="D369" s="32" t="s">
        <v>873</v>
      </c>
      <c r="E369" s="20">
        <v>7</v>
      </c>
      <c r="F369" s="13">
        <v>8164</v>
      </c>
      <c r="G369" s="13">
        <v>6998</v>
      </c>
      <c r="H369" s="13">
        <v>1647</v>
      </c>
      <c r="I369" s="18">
        <v>8351</v>
      </c>
      <c r="J369" s="15">
        <f t="shared" si="15"/>
        <v>25160</v>
      </c>
      <c r="K369" s="1"/>
      <c r="L369" s="1"/>
      <c r="M369" s="1"/>
      <c r="N369" s="18"/>
      <c r="O369" s="15">
        <f t="shared" si="16"/>
        <v>0</v>
      </c>
      <c r="P369" s="1"/>
      <c r="Q369" s="1"/>
      <c r="R369" s="1"/>
      <c r="S369" s="18"/>
      <c r="T369" s="15">
        <f t="shared" si="17"/>
        <v>0</v>
      </c>
    </row>
    <row r="370" spans="1:20" ht="12.75">
      <c r="A370" s="1" t="s">
        <v>781</v>
      </c>
      <c r="B370" s="9" t="s">
        <v>167</v>
      </c>
      <c r="C370" s="12" t="s">
        <v>874</v>
      </c>
      <c r="D370" s="32" t="s">
        <v>875</v>
      </c>
      <c r="E370" s="20">
        <v>7</v>
      </c>
      <c r="F370" s="13">
        <v>7259</v>
      </c>
      <c r="G370" s="13">
        <v>7830</v>
      </c>
      <c r="H370" s="13">
        <v>4049</v>
      </c>
      <c r="I370" s="18">
        <v>7680</v>
      </c>
      <c r="J370" s="15">
        <f t="shared" si="15"/>
        <v>26818</v>
      </c>
      <c r="K370" s="1"/>
      <c r="L370" s="1"/>
      <c r="M370" s="1"/>
      <c r="N370" s="18"/>
      <c r="O370" s="15">
        <f t="shared" si="16"/>
        <v>0</v>
      </c>
      <c r="P370" s="1"/>
      <c r="Q370" s="1"/>
      <c r="R370" s="1"/>
      <c r="S370" s="18"/>
      <c r="T370" s="15">
        <f t="shared" si="17"/>
        <v>0</v>
      </c>
    </row>
    <row r="371" spans="1:20" ht="12.75">
      <c r="A371" s="1" t="s">
        <v>781</v>
      </c>
      <c r="B371" s="9" t="s">
        <v>167</v>
      </c>
      <c r="C371" s="12" t="s">
        <v>876</v>
      </c>
      <c r="D371" s="32" t="s">
        <v>877</v>
      </c>
      <c r="E371" s="20">
        <v>7</v>
      </c>
      <c r="F371" s="13">
        <v>7189</v>
      </c>
      <c r="G371" s="13">
        <v>7553</v>
      </c>
      <c r="H371" s="13">
        <v>4249</v>
      </c>
      <c r="I371" s="18">
        <v>9059</v>
      </c>
      <c r="J371" s="15">
        <f t="shared" si="15"/>
        <v>28050</v>
      </c>
      <c r="K371" s="1"/>
      <c r="L371" s="1"/>
      <c r="M371" s="1"/>
      <c r="N371" s="18"/>
      <c r="O371" s="15">
        <f t="shared" si="16"/>
        <v>0</v>
      </c>
      <c r="P371" s="1"/>
      <c r="Q371" s="1"/>
      <c r="R371" s="1"/>
      <c r="S371" s="18"/>
      <c r="T371" s="15">
        <f t="shared" si="17"/>
        <v>0</v>
      </c>
    </row>
    <row r="372" spans="1:20" ht="12.75">
      <c r="A372" s="1" t="s">
        <v>781</v>
      </c>
      <c r="B372" s="9" t="s">
        <v>167</v>
      </c>
      <c r="C372" s="12" t="s">
        <v>878</v>
      </c>
      <c r="D372" s="32" t="s">
        <v>879</v>
      </c>
      <c r="E372" s="20">
        <v>7</v>
      </c>
      <c r="F372" s="13">
        <v>14610</v>
      </c>
      <c r="G372" s="13">
        <v>14536</v>
      </c>
      <c r="H372" s="13">
        <v>7105</v>
      </c>
      <c r="I372" s="18">
        <v>16986</v>
      </c>
      <c r="J372" s="15">
        <f t="shared" si="15"/>
        <v>53237</v>
      </c>
      <c r="K372" s="1"/>
      <c r="L372" s="1"/>
      <c r="M372" s="1"/>
      <c r="N372" s="18"/>
      <c r="O372" s="15">
        <f t="shared" si="16"/>
        <v>0</v>
      </c>
      <c r="P372" s="1"/>
      <c r="Q372" s="1"/>
      <c r="R372" s="1"/>
      <c r="S372" s="18"/>
      <c r="T372" s="15">
        <f t="shared" si="17"/>
        <v>0</v>
      </c>
    </row>
    <row r="373" spans="1:20" ht="12.75">
      <c r="A373" s="1" t="s">
        <v>781</v>
      </c>
      <c r="B373" s="9" t="s">
        <v>167</v>
      </c>
      <c r="C373" s="12" t="s">
        <v>880</v>
      </c>
      <c r="D373" s="32" t="s">
        <v>881</v>
      </c>
      <c r="E373" s="20">
        <v>7</v>
      </c>
      <c r="F373" s="13">
        <v>6135</v>
      </c>
      <c r="G373" s="13">
        <v>6058</v>
      </c>
      <c r="H373" s="13">
        <v>3372</v>
      </c>
      <c r="I373" s="18">
        <v>6398</v>
      </c>
      <c r="J373" s="15">
        <f t="shared" si="15"/>
        <v>21963</v>
      </c>
      <c r="K373" s="1"/>
      <c r="L373" s="1"/>
      <c r="M373" s="1"/>
      <c r="N373" s="18"/>
      <c r="O373" s="15">
        <f t="shared" si="16"/>
        <v>0</v>
      </c>
      <c r="P373" s="1"/>
      <c r="Q373" s="1"/>
      <c r="R373" s="1"/>
      <c r="S373" s="18"/>
      <c r="T373" s="15">
        <f t="shared" si="17"/>
        <v>0</v>
      </c>
    </row>
    <row r="374" spans="1:20" ht="12.75">
      <c r="A374" s="1" t="s">
        <v>781</v>
      </c>
      <c r="B374" s="9" t="s">
        <v>167</v>
      </c>
      <c r="C374" s="12" t="s">
        <v>882</v>
      </c>
      <c r="D374" s="32" t="s">
        <v>883</v>
      </c>
      <c r="E374" s="20">
        <v>7</v>
      </c>
      <c r="F374" s="13">
        <v>14473</v>
      </c>
      <c r="G374" s="13">
        <v>16929</v>
      </c>
      <c r="H374" s="13">
        <v>5340</v>
      </c>
      <c r="I374" s="18">
        <v>17135</v>
      </c>
      <c r="J374" s="15">
        <f t="shared" si="15"/>
        <v>53877</v>
      </c>
      <c r="K374" s="1"/>
      <c r="L374" s="1"/>
      <c r="M374" s="1"/>
      <c r="N374" s="18"/>
      <c r="O374" s="15">
        <f t="shared" si="16"/>
        <v>0</v>
      </c>
      <c r="P374" s="1"/>
      <c r="Q374" s="1"/>
      <c r="R374" s="1"/>
      <c r="S374" s="18"/>
      <c r="T374" s="15">
        <f t="shared" si="17"/>
        <v>0</v>
      </c>
    </row>
    <row r="375" spans="1:20" ht="12.75">
      <c r="A375" s="1" t="s">
        <v>781</v>
      </c>
      <c r="B375" s="9" t="s">
        <v>167</v>
      </c>
      <c r="C375" s="12" t="s">
        <v>884</v>
      </c>
      <c r="D375" s="32" t="s">
        <v>885</v>
      </c>
      <c r="E375" s="20">
        <v>7</v>
      </c>
      <c r="F375" s="13">
        <v>2032</v>
      </c>
      <c r="G375" s="13">
        <v>1848</v>
      </c>
      <c r="H375" s="13">
        <v>263</v>
      </c>
      <c r="I375" s="18">
        <v>2538</v>
      </c>
      <c r="J375" s="15">
        <f t="shared" si="15"/>
        <v>6681</v>
      </c>
      <c r="K375" s="1"/>
      <c r="L375" s="1"/>
      <c r="M375" s="1"/>
      <c r="N375" s="18"/>
      <c r="O375" s="15">
        <f t="shared" si="16"/>
        <v>0</v>
      </c>
      <c r="P375" s="1"/>
      <c r="Q375" s="1"/>
      <c r="R375" s="1"/>
      <c r="S375" s="18"/>
      <c r="T375" s="15">
        <f t="shared" si="17"/>
        <v>0</v>
      </c>
    </row>
    <row r="376" spans="1:20" ht="12.75">
      <c r="A376" s="1" t="s">
        <v>781</v>
      </c>
      <c r="B376" s="9" t="s">
        <v>167</v>
      </c>
      <c r="C376" s="12" t="s">
        <v>886</v>
      </c>
      <c r="D376" s="32" t="s">
        <v>887</v>
      </c>
      <c r="E376" s="20">
        <v>7</v>
      </c>
      <c r="F376" s="13">
        <v>11583</v>
      </c>
      <c r="G376" s="13">
        <v>10666</v>
      </c>
      <c r="H376" s="13">
        <v>4953</v>
      </c>
      <c r="I376" s="18">
        <v>11863</v>
      </c>
      <c r="J376" s="15">
        <f t="shared" si="15"/>
        <v>39065</v>
      </c>
      <c r="K376" s="1"/>
      <c r="L376" s="1"/>
      <c r="M376" s="1"/>
      <c r="N376" s="18"/>
      <c r="O376" s="15">
        <f t="shared" si="16"/>
        <v>0</v>
      </c>
      <c r="P376" s="1"/>
      <c r="Q376" s="1"/>
      <c r="R376" s="1"/>
      <c r="S376" s="18"/>
      <c r="T376" s="15">
        <f t="shared" si="17"/>
        <v>0</v>
      </c>
    </row>
    <row r="377" spans="1:20" ht="12.75">
      <c r="A377" s="1" t="s">
        <v>781</v>
      </c>
      <c r="B377" s="9" t="s">
        <v>167</v>
      </c>
      <c r="C377" s="12" t="s">
        <v>888</v>
      </c>
      <c r="D377" s="32" t="s">
        <v>889</v>
      </c>
      <c r="E377" s="20">
        <v>7</v>
      </c>
      <c r="F377" s="13">
        <v>39684</v>
      </c>
      <c r="G377" s="13">
        <v>38703</v>
      </c>
      <c r="H377" s="13">
        <v>16187</v>
      </c>
      <c r="I377" s="18">
        <v>46937</v>
      </c>
      <c r="J377" s="15">
        <f t="shared" si="15"/>
        <v>141511</v>
      </c>
      <c r="K377" s="1"/>
      <c r="L377" s="1"/>
      <c r="M377" s="1"/>
      <c r="N377" s="18"/>
      <c r="O377" s="15">
        <f t="shared" si="16"/>
        <v>0</v>
      </c>
      <c r="P377" s="1"/>
      <c r="Q377" s="1"/>
      <c r="R377" s="1"/>
      <c r="S377" s="18"/>
      <c r="T377" s="15">
        <f t="shared" si="17"/>
        <v>0</v>
      </c>
    </row>
    <row r="378" spans="1:20" ht="12.75">
      <c r="A378" s="1" t="s">
        <v>781</v>
      </c>
      <c r="B378" s="9" t="s">
        <v>167</v>
      </c>
      <c r="C378" s="12" t="s">
        <v>890</v>
      </c>
      <c r="D378" s="32" t="s">
        <v>891</v>
      </c>
      <c r="E378" s="20">
        <v>7</v>
      </c>
      <c r="F378" s="13">
        <v>13712</v>
      </c>
      <c r="G378" s="13">
        <v>10161</v>
      </c>
      <c r="H378" s="13">
        <v>5443</v>
      </c>
      <c r="I378" s="18">
        <v>14102</v>
      </c>
      <c r="J378" s="15">
        <f t="shared" si="15"/>
        <v>43418</v>
      </c>
      <c r="K378" s="1"/>
      <c r="L378" s="1"/>
      <c r="M378" s="1"/>
      <c r="N378" s="18"/>
      <c r="O378" s="15">
        <f t="shared" si="16"/>
        <v>0</v>
      </c>
      <c r="P378" s="1"/>
      <c r="Q378" s="1"/>
      <c r="R378" s="1"/>
      <c r="S378" s="18"/>
      <c r="T378" s="15">
        <f t="shared" si="17"/>
        <v>0</v>
      </c>
    </row>
    <row r="379" spans="1:20" ht="12.75">
      <c r="A379" s="1" t="s">
        <v>781</v>
      </c>
      <c r="B379" s="9" t="s">
        <v>167</v>
      </c>
      <c r="C379" s="12" t="s">
        <v>892</v>
      </c>
      <c r="D379" s="32" t="s">
        <v>893</v>
      </c>
      <c r="E379" s="20">
        <v>7</v>
      </c>
      <c r="F379" s="13">
        <v>12732</v>
      </c>
      <c r="G379" s="13">
        <v>12451</v>
      </c>
      <c r="H379" s="13">
        <v>5543</v>
      </c>
      <c r="I379" s="18">
        <v>13037</v>
      </c>
      <c r="J379" s="15">
        <f t="shared" si="15"/>
        <v>43763</v>
      </c>
      <c r="K379" s="1"/>
      <c r="L379" s="1"/>
      <c r="M379" s="1"/>
      <c r="N379" s="18"/>
      <c r="O379" s="15">
        <f t="shared" si="16"/>
        <v>0</v>
      </c>
      <c r="P379" s="1"/>
      <c r="Q379" s="1"/>
      <c r="R379" s="1"/>
      <c r="S379" s="18"/>
      <c r="T379" s="15">
        <f t="shared" si="17"/>
        <v>0</v>
      </c>
    </row>
    <row r="380" spans="1:20" ht="12.75">
      <c r="A380" s="1" t="s">
        <v>781</v>
      </c>
      <c r="B380" s="9" t="s">
        <v>167</v>
      </c>
      <c r="C380" s="12" t="s">
        <v>894</v>
      </c>
      <c r="D380" s="32" t="s">
        <v>895</v>
      </c>
      <c r="E380" s="20">
        <v>7</v>
      </c>
      <c r="F380" s="13">
        <v>9447</v>
      </c>
      <c r="G380" s="13">
        <v>9203</v>
      </c>
      <c r="H380" s="13">
        <v>3956</v>
      </c>
      <c r="I380" s="18">
        <v>9533</v>
      </c>
      <c r="J380" s="15">
        <f t="shared" si="15"/>
        <v>32139</v>
      </c>
      <c r="K380" s="1"/>
      <c r="L380" s="1"/>
      <c r="M380" s="1"/>
      <c r="N380" s="18"/>
      <c r="O380" s="15">
        <f t="shared" si="16"/>
        <v>0</v>
      </c>
      <c r="P380" s="1"/>
      <c r="Q380" s="1"/>
      <c r="R380" s="1"/>
      <c r="S380" s="18"/>
      <c r="T380" s="15">
        <f t="shared" si="17"/>
        <v>0</v>
      </c>
    </row>
    <row r="381" spans="1:20" ht="12.75">
      <c r="A381" s="1" t="s">
        <v>781</v>
      </c>
      <c r="B381" s="9" t="s">
        <v>167</v>
      </c>
      <c r="C381" s="12" t="s">
        <v>896</v>
      </c>
      <c r="D381" s="32" t="s">
        <v>897</v>
      </c>
      <c r="E381" s="20">
        <v>7</v>
      </c>
      <c r="F381" s="13">
        <v>13491</v>
      </c>
      <c r="G381" s="13">
        <v>14240</v>
      </c>
      <c r="H381" s="13">
        <v>4725</v>
      </c>
      <c r="I381" s="18">
        <v>16930</v>
      </c>
      <c r="J381" s="15">
        <f t="shared" si="15"/>
        <v>49386</v>
      </c>
      <c r="K381" s="1"/>
      <c r="L381" s="1"/>
      <c r="M381" s="1"/>
      <c r="N381" s="18"/>
      <c r="O381" s="15">
        <f t="shared" si="16"/>
        <v>0</v>
      </c>
      <c r="P381" s="1"/>
      <c r="Q381" s="1"/>
      <c r="R381" s="1"/>
      <c r="S381" s="18"/>
      <c r="T381" s="15">
        <f t="shared" si="17"/>
        <v>0</v>
      </c>
    </row>
    <row r="382" spans="1:20" ht="12.75">
      <c r="A382" s="1" t="s">
        <v>781</v>
      </c>
      <c r="B382" s="9" t="s">
        <v>167</v>
      </c>
      <c r="C382" s="12" t="s">
        <v>898</v>
      </c>
      <c r="D382" s="32" t="s">
        <v>899</v>
      </c>
      <c r="E382" s="20">
        <v>7</v>
      </c>
      <c r="F382" s="13">
        <v>17872</v>
      </c>
      <c r="G382" s="13">
        <v>17097</v>
      </c>
      <c r="H382" s="13">
        <v>8343</v>
      </c>
      <c r="I382" s="18">
        <v>19634</v>
      </c>
      <c r="J382" s="15">
        <f t="shared" si="15"/>
        <v>62946</v>
      </c>
      <c r="K382" s="1"/>
      <c r="L382" s="1"/>
      <c r="M382" s="1"/>
      <c r="N382" s="18"/>
      <c r="O382" s="15">
        <f t="shared" si="16"/>
        <v>0</v>
      </c>
      <c r="P382" s="1"/>
      <c r="Q382" s="1"/>
      <c r="R382" s="1"/>
      <c r="S382" s="18"/>
      <c r="T382" s="15">
        <f t="shared" si="17"/>
        <v>0</v>
      </c>
    </row>
    <row r="383" spans="1:20" ht="12.75">
      <c r="A383" s="1" t="s">
        <v>781</v>
      </c>
      <c r="B383" s="9" t="s">
        <v>167</v>
      </c>
      <c r="C383" s="12" t="s">
        <v>900</v>
      </c>
      <c r="D383" s="32" t="s">
        <v>901</v>
      </c>
      <c r="E383" s="20">
        <v>7</v>
      </c>
      <c r="F383" s="13">
        <v>26291</v>
      </c>
      <c r="G383" s="13">
        <v>27156</v>
      </c>
      <c r="H383" s="13">
        <v>6136</v>
      </c>
      <c r="I383" s="18">
        <v>36131</v>
      </c>
      <c r="J383" s="15">
        <f t="shared" si="15"/>
        <v>95714</v>
      </c>
      <c r="K383" s="1"/>
      <c r="L383" s="1"/>
      <c r="M383" s="1"/>
      <c r="N383" s="18"/>
      <c r="O383" s="15">
        <f t="shared" si="16"/>
        <v>0</v>
      </c>
      <c r="P383" s="1"/>
      <c r="Q383" s="1"/>
      <c r="R383" s="1"/>
      <c r="S383" s="18"/>
      <c r="T383" s="15">
        <f t="shared" si="17"/>
        <v>0</v>
      </c>
    </row>
    <row r="384" spans="1:20" ht="12.75">
      <c r="A384" s="1" t="s">
        <v>781</v>
      </c>
      <c r="B384" s="9" t="s">
        <v>167</v>
      </c>
      <c r="C384" s="12" t="s">
        <v>902</v>
      </c>
      <c r="D384" s="32" t="s">
        <v>903</v>
      </c>
      <c r="E384" s="20">
        <v>7</v>
      </c>
      <c r="F384" s="13">
        <v>11593</v>
      </c>
      <c r="G384" s="13">
        <v>10614</v>
      </c>
      <c r="H384" s="13">
        <v>3557</v>
      </c>
      <c r="I384" s="18">
        <v>11270</v>
      </c>
      <c r="J384" s="15">
        <f t="shared" si="15"/>
        <v>37034</v>
      </c>
      <c r="K384" s="1"/>
      <c r="L384" s="1"/>
      <c r="M384" s="1"/>
      <c r="N384" s="18"/>
      <c r="O384" s="15">
        <f t="shared" si="16"/>
        <v>0</v>
      </c>
      <c r="P384" s="1"/>
      <c r="Q384" s="1"/>
      <c r="R384" s="1"/>
      <c r="S384" s="18"/>
      <c r="T384" s="15">
        <f t="shared" si="17"/>
        <v>0</v>
      </c>
    </row>
    <row r="385" spans="1:20" ht="12.75">
      <c r="A385" s="1" t="s">
        <v>781</v>
      </c>
      <c r="B385" s="9" t="s">
        <v>167</v>
      </c>
      <c r="C385" s="12" t="s">
        <v>904</v>
      </c>
      <c r="D385" s="32" t="s">
        <v>905</v>
      </c>
      <c r="E385" s="20">
        <v>7</v>
      </c>
      <c r="F385" s="13">
        <v>26378</v>
      </c>
      <c r="G385" s="13">
        <v>25365</v>
      </c>
      <c r="H385" s="13">
        <v>11083</v>
      </c>
      <c r="I385" s="18">
        <v>28971</v>
      </c>
      <c r="J385" s="15">
        <f t="shared" si="15"/>
        <v>91797</v>
      </c>
      <c r="K385" s="1"/>
      <c r="L385" s="1"/>
      <c r="M385" s="1"/>
      <c r="N385" s="18"/>
      <c r="O385" s="15">
        <f t="shared" si="16"/>
        <v>0</v>
      </c>
      <c r="P385" s="1"/>
      <c r="Q385" s="1"/>
      <c r="R385" s="1"/>
      <c r="S385" s="18"/>
      <c r="T385" s="15">
        <f t="shared" si="17"/>
        <v>0</v>
      </c>
    </row>
    <row r="386" spans="1:20" ht="12.75">
      <c r="A386" s="1" t="s">
        <v>781</v>
      </c>
      <c r="B386" s="9" t="s">
        <v>167</v>
      </c>
      <c r="C386" s="12" t="s">
        <v>906</v>
      </c>
      <c r="D386" s="32" t="s">
        <v>907</v>
      </c>
      <c r="E386" s="20">
        <v>7</v>
      </c>
      <c r="F386" s="13">
        <v>18746</v>
      </c>
      <c r="G386" s="13">
        <v>18346</v>
      </c>
      <c r="H386" s="13">
        <v>5558</v>
      </c>
      <c r="I386" s="18">
        <v>18946</v>
      </c>
      <c r="J386" s="15">
        <f t="shared" si="15"/>
        <v>61596</v>
      </c>
      <c r="K386" s="1"/>
      <c r="L386" s="1"/>
      <c r="M386" s="1"/>
      <c r="N386" s="18"/>
      <c r="O386" s="15">
        <f t="shared" si="16"/>
        <v>0</v>
      </c>
      <c r="P386" s="1"/>
      <c r="Q386" s="1"/>
      <c r="R386" s="1"/>
      <c r="S386" s="18"/>
      <c r="T386" s="15">
        <f t="shared" si="17"/>
        <v>0</v>
      </c>
    </row>
    <row r="387" spans="1:20" ht="12.75">
      <c r="A387" s="1" t="s">
        <v>781</v>
      </c>
      <c r="B387" s="9" t="s">
        <v>167</v>
      </c>
      <c r="C387" s="12" t="s">
        <v>908</v>
      </c>
      <c r="D387" s="32" t="s">
        <v>909</v>
      </c>
      <c r="E387" s="20">
        <v>7</v>
      </c>
      <c r="F387" s="13">
        <v>14804</v>
      </c>
      <c r="G387" s="13">
        <v>15329</v>
      </c>
      <c r="H387" s="13">
        <v>6671</v>
      </c>
      <c r="I387" s="18">
        <v>16970</v>
      </c>
      <c r="J387" s="15">
        <f t="shared" si="15"/>
        <v>53774</v>
      </c>
      <c r="K387" s="1"/>
      <c r="L387" s="1"/>
      <c r="M387" s="1"/>
      <c r="N387" s="18"/>
      <c r="O387" s="15">
        <f t="shared" si="16"/>
        <v>0</v>
      </c>
      <c r="P387" s="1"/>
      <c r="Q387" s="1"/>
      <c r="R387" s="1"/>
      <c r="S387" s="18"/>
      <c r="T387" s="15">
        <f t="shared" si="17"/>
        <v>0</v>
      </c>
    </row>
    <row r="388" spans="1:20" ht="12.75">
      <c r="A388" s="1" t="s">
        <v>781</v>
      </c>
      <c r="B388" s="9" t="s">
        <v>167</v>
      </c>
      <c r="C388" s="12" t="s">
        <v>910</v>
      </c>
      <c r="D388" s="32" t="s">
        <v>911</v>
      </c>
      <c r="E388" s="20">
        <v>7</v>
      </c>
      <c r="F388" s="13">
        <v>15183</v>
      </c>
      <c r="G388" s="13">
        <v>15400</v>
      </c>
      <c r="H388" s="13">
        <v>6335</v>
      </c>
      <c r="I388" s="18">
        <v>16245</v>
      </c>
      <c r="J388" s="15">
        <f t="shared" si="15"/>
        <v>53163</v>
      </c>
      <c r="K388" s="1"/>
      <c r="L388" s="1"/>
      <c r="M388" s="1"/>
      <c r="N388" s="18"/>
      <c r="O388" s="15">
        <f t="shared" si="16"/>
        <v>0</v>
      </c>
      <c r="P388" s="1"/>
      <c r="Q388" s="1"/>
      <c r="R388" s="1"/>
      <c r="S388" s="18"/>
      <c r="T388" s="15">
        <f t="shared" si="17"/>
        <v>0</v>
      </c>
    </row>
    <row r="389" spans="1:20" ht="12.75">
      <c r="A389" s="1" t="s">
        <v>781</v>
      </c>
      <c r="B389" s="9" t="s">
        <v>167</v>
      </c>
      <c r="C389" s="12" t="s">
        <v>912</v>
      </c>
      <c r="D389" s="32" t="s">
        <v>913</v>
      </c>
      <c r="E389" s="20">
        <v>7</v>
      </c>
      <c r="F389" s="13">
        <v>24840</v>
      </c>
      <c r="G389" s="13">
        <v>24234</v>
      </c>
      <c r="H389" s="13">
        <v>9537</v>
      </c>
      <c r="I389" s="18">
        <v>29556</v>
      </c>
      <c r="J389" s="15">
        <f t="shared" si="15"/>
        <v>88167</v>
      </c>
      <c r="K389" s="1"/>
      <c r="L389" s="1"/>
      <c r="M389" s="1"/>
      <c r="N389" s="18"/>
      <c r="O389" s="15">
        <f t="shared" si="16"/>
        <v>0</v>
      </c>
      <c r="P389" s="1"/>
      <c r="Q389" s="1"/>
      <c r="R389" s="1"/>
      <c r="S389" s="18"/>
      <c r="T389" s="15">
        <f t="shared" si="17"/>
        <v>0</v>
      </c>
    </row>
    <row r="390" spans="1:20" ht="12.75">
      <c r="A390" s="1" t="s">
        <v>781</v>
      </c>
      <c r="B390" s="9" t="s">
        <v>167</v>
      </c>
      <c r="C390" s="12" t="s">
        <v>914</v>
      </c>
      <c r="D390" s="32" t="s">
        <v>915</v>
      </c>
      <c r="E390" s="20">
        <v>7</v>
      </c>
      <c r="F390" s="13">
        <v>6789</v>
      </c>
      <c r="G390" s="13">
        <v>6601</v>
      </c>
      <c r="H390" s="13">
        <v>3156</v>
      </c>
      <c r="I390" s="18">
        <v>7783</v>
      </c>
      <c r="J390" s="15">
        <f aca="true" t="shared" si="18" ref="J390:J453">SUM(F390:I390)</f>
        <v>24329</v>
      </c>
      <c r="K390" s="1"/>
      <c r="L390" s="1"/>
      <c r="M390" s="1"/>
      <c r="N390" s="18"/>
      <c r="O390" s="15">
        <f aca="true" t="shared" si="19" ref="O390:O453">SUM(K390:N390)</f>
        <v>0</v>
      </c>
      <c r="P390" s="1"/>
      <c r="Q390" s="1"/>
      <c r="R390" s="1"/>
      <c r="S390" s="18"/>
      <c r="T390" s="15">
        <f aca="true" t="shared" si="20" ref="T390:T453">SUM(P390:S390)</f>
        <v>0</v>
      </c>
    </row>
    <row r="391" spans="1:20" ht="12.75">
      <c r="A391" s="1" t="s">
        <v>781</v>
      </c>
      <c r="B391" s="9" t="s">
        <v>167</v>
      </c>
      <c r="C391" s="12" t="s">
        <v>916</v>
      </c>
      <c r="D391" s="32" t="s">
        <v>917</v>
      </c>
      <c r="E391" s="20">
        <v>7</v>
      </c>
      <c r="F391" s="13">
        <v>24913</v>
      </c>
      <c r="G391" s="13">
        <v>24117</v>
      </c>
      <c r="H391" s="13">
        <v>10343</v>
      </c>
      <c r="I391" s="18">
        <v>26071</v>
      </c>
      <c r="J391" s="15">
        <f t="shared" si="18"/>
        <v>85444</v>
      </c>
      <c r="K391" s="1"/>
      <c r="L391" s="1"/>
      <c r="M391" s="1"/>
      <c r="N391" s="18"/>
      <c r="O391" s="15">
        <f t="shared" si="19"/>
        <v>0</v>
      </c>
      <c r="P391" s="1"/>
      <c r="Q391" s="1"/>
      <c r="R391" s="1"/>
      <c r="S391" s="18"/>
      <c r="T391" s="15">
        <f t="shared" si="20"/>
        <v>0</v>
      </c>
    </row>
    <row r="392" spans="1:20" ht="12.75">
      <c r="A392" s="1" t="s">
        <v>781</v>
      </c>
      <c r="B392" s="9" t="s">
        <v>167</v>
      </c>
      <c r="C392" s="12" t="s">
        <v>918</v>
      </c>
      <c r="D392" s="32" t="s">
        <v>919</v>
      </c>
      <c r="E392" s="20">
        <v>7</v>
      </c>
      <c r="F392" s="13">
        <v>57392</v>
      </c>
      <c r="G392" s="13">
        <v>54479</v>
      </c>
      <c r="H392" s="13">
        <v>26321</v>
      </c>
      <c r="I392" s="18">
        <v>67775</v>
      </c>
      <c r="J392" s="15">
        <f t="shared" si="18"/>
        <v>205967</v>
      </c>
      <c r="K392" s="1"/>
      <c r="L392" s="1"/>
      <c r="M392" s="1"/>
      <c r="N392" s="18"/>
      <c r="O392" s="15">
        <f t="shared" si="19"/>
        <v>0</v>
      </c>
      <c r="P392" s="1"/>
      <c r="Q392" s="1"/>
      <c r="R392" s="1"/>
      <c r="S392" s="18"/>
      <c r="T392" s="15">
        <f t="shared" si="20"/>
        <v>0</v>
      </c>
    </row>
    <row r="393" spans="1:20" ht="12.75">
      <c r="A393" s="1" t="s">
        <v>781</v>
      </c>
      <c r="B393" s="9" t="s">
        <v>167</v>
      </c>
      <c r="C393" s="12" t="s">
        <v>920</v>
      </c>
      <c r="D393" s="32" t="s">
        <v>921</v>
      </c>
      <c r="E393" s="20">
        <v>7</v>
      </c>
      <c r="F393" s="13">
        <v>29250</v>
      </c>
      <c r="G393" s="13">
        <v>27832</v>
      </c>
      <c r="H393" s="13">
        <v>11363</v>
      </c>
      <c r="I393" s="18">
        <v>31506</v>
      </c>
      <c r="J393" s="15">
        <f t="shared" si="18"/>
        <v>99951</v>
      </c>
      <c r="K393" s="1"/>
      <c r="L393" s="1"/>
      <c r="M393" s="1"/>
      <c r="N393" s="18"/>
      <c r="O393" s="15">
        <f t="shared" si="19"/>
        <v>0</v>
      </c>
      <c r="P393" s="1"/>
      <c r="Q393" s="1"/>
      <c r="R393" s="1"/>
      <c r="S393" s="18"/>
      <c r="T393" s="15">
        <f t="shared" si="20"/>
        <v>0</v>
      </c>
    </row>
    <row r="394" spans="1:20" ht="12.75">
      <c r="A394" s="1" t="s">
        <v>781</v>
      </c>
      <c r="B394" s="9" t="s">
        <v>167</v>
      </c>
      <c r="C394" s="12" t="s">
        <v>922</v>
      </c>
      <c r="D394" s="32" t="s">
        <v>923</v>
      </c>
      <c r="E394" s="20">
        <v>7</v>
      </c>
      <c r="F394" s="13">
        <v>19240</v>
      </c>
      <c r="G394" s="13">
        <v>19009</v>
      </c>
      <c r="H394" s="13">
        <v>9152</v>
      </c>
      <c r="I394" s="18">
        <v>22465</v>
      </c>
      <c r="J394" s="15">
        <f t="shared" si="18"/>
        <v>69866</v>
      </c>
      <c r="K394" s="1"/>
      <c r="L394" s="1"/>
      <c r="M394" s="1"/>
      <c r="N394" s="18"/>
      <c r="O394" s="15">
        <f t="shared" si="19"/>
        <v>0</v>
      </c>
      <c r="P394" s="1"/>
      <c r="Q394" s="1"/>
      <c r="R394" s="1"/>
      <c r="S394" s="18"/>
      <c r="T394" s="15">
        <f t="shared" si="20"/>
        <v>0</v>
      </c>
    </row>
    <row r="395" spans="1:20" ht="12.75">
      <c r="A395" s="1" t="s">
        <v>781</v>
      </c>
      <c r="B395" s="9" t="s">
        <v>167</v>
      </c>
      <c r="C395" s="12" t="s">
        <v>924</v>
      </c>
      <c r="D395" s="32" t="s">
        <v>925</v>
      </c>
      <c r="E395" s="20">
        <v>7</v>
      </c>
      <c r="F395" s="13">
        <v>17039</v>
      </c>
      <c r="G395" s="13">
        <v>16594</v>
      </c>
      <c r="H395" s="13">
        <v>4491</v>
      </c>
      <c r="I395" s="18">
        <v>20344</v>
      </c>
      <c r="J395" s="15">
        <f t="shared" si="18"/>
        <v>58468</v>
      </c>
      <c r="K395" s="1"/>
      <c r="L395" s="1"/>
      <c r="M395" s="1"/>
      <c r="N395" s="18"/>
      <c r="O395" s="15">
        <f t="shared" si="19"/>
        <v>0</v>
      </c>
      <c r="P395" s="1"/>
      <c r="Q395" s="1"/>
      <c r="R395" s="1"/>
      <c r="S395" s="18"/>
      <c r="T395" s="15">
        <f t="shared" si="20"/>
        <v>0</v>
      </c>
    </row>
    <row r="396" spans="1:20" ht="12.75">
      <c r="A396" s="1" t="s">
        <v>781</v>
      </c>
      <c r="B396" s="9" t="s">
        <v>167</v>
      </c>
      <c r="C396" s="12" t="s">
        <v>926</v>
      </c>
      <c r="D396" s="32" t="s">
        <v>927</v>
      </c>
      <c r="E396" s="20">
        <v>7</v>
      </c>
      <c r="F396" s="13">
        <v>12568</v>
      </c>
      <c r="G396" s="13">
        <v>11585</v>
      </c>
      <c r="H396" s="13">
        <v>6331</v>
      </c>
      <c r="I396" s="18">
        <v>13880</v>
      </c>
      <c r="J396" s="15">
        <f t="shared" si="18"/>
        <v>44364</v>
      </c>
      <c r="K396" s="1"/>
      <c r="L396" s="1"/>
      <c r="M396" s="1"/>
      <c r="N396" s="18"/>
      <c r="O396" s="15">
        <f t="shared" si="19"/>
        <v>0</v>
      </c>
      <c r="P396" s="1"/>
      <c r="Q396" s="1"/>
      <c r="R396" s="1"/>
      <c r="S396" s="18"/>
      <c r="T396" s="15">
        <f t="shared" si="20"/>
        <v>0</v>
      </c>
    </row>
    <row r="397" spans="1:20" ht="12.75">
      <c r="A397" s="1" t="s">
        <v>781</v>
      </c>
      <c r="B397" s="9" t="s">
        <v>128</v>
      </c>
      <c r="C397" s="12" t="s">
        <v>928</v>
      </c>
      <c r="D397" s="165" t="s">
        <v>929</v>
      </c>
      <c r="E397" s="14" t="s">
        <v>305</v>
      </c>
      <c r="F397" s="13">
        <v>10845</v>
      </c>
      <c r="G397" s="13">
        <v>10676</v>
      </c>
      <c r="H397" s="13">
        <v>16521</v>
      </c>
      <c r="I397" s="18">
        <v>12758</v>
      </c>
      <c r="J397" s="15">
        <f t="shared" si="18"/>
        <v>50800</v>
      </c>
      <c r="K397" s="1"/>
      <c r="L397" s="1"/>
      <c r="M397" s="1"/>
      <c r="N397" s="18"/>
      <c r="O397" s="15">
        <f t="shared" si="19"/>
        <v>0</v>
      </c>
      <c r="P397" s="12">
        <v>707</v>
      </c>
      <c r="Q397" s="13">
        <v>708</v>
      </c>
      <c r="R397" s="13">
        <v>0</v>
      </c>
      <c r="S397" s="18">
        <v>753</v>
      </c>
      <c r="T397" s="15">
        <f t="shared" si="20"/>
        <v>2168</v>
      </c>
    </row>
    <row r="398" spans="1:20" ht="12.75">
      <c r="A398" s="1" t="s">
        <v>930</v>
      </c>
      <c r="B398" s="9" t="s">
        <v>128</v>
      </c>
      <c r="C398" s="12" t="s">
        <v>931</v>
      </c>
      <c r="D398" s="165" t="s">
        <v>932</v>
      </c>
      <c r="E398" s="20" t="s">
        <v>131</v>
      </c>
      <c r="F398" s="13"/>
      <c r="G398" s="13">
        <v>176432</v>
      </c>
      <c r="H398" s="13">
        <f>3440+19464</f>
        <v>22904</v>
      </c>
      <c r="I398" s="18">
        <v>199105</v>
      </c>
      <c r="J398" s="15">
        <f t="shared" si="18"/>
        <v>398441</v>
      </c>
      <c r="K398" s="1"/>
      <c r="L398" s="1"/>
      <c r="M398" s="1"/>
      <c r="N398" s="18"/>
      <c r="O398" s="15">
        <f t="shared" si="19"/>
        <v>0</v>
      </c>
      <c r="P398" s="13"/>
      <c r="Q398" s="13">
        <v>25813</v>
      </c>
      <c r="R398" s="13">
        <v>10828</v>
      </c>
      <c r="S398" s="18">
        <v>27255</v>
      </c>
      <c r="T398" s="15">
        <f t="shared" si="20"/>
        <v>63896</v>
      </c>
    </row>
    <row r="399" spans="1:20" ht="12.75">
      <c r="A399" s="1" t="s">
        <v>930</v>
      </c>
      <c r="B399" s="9" t="s">
        <v>128</v>
      </c>
      <c r="C399" s="12" t="s">
        <v>933</v>
      </c>
      <c r="D399" s="165" t="s">
        <v>934</v>
      </c>
      <c r="E399" s="20" t="s">
        <v>131</v>
      </c>
      <c r="F399" s="13"/>
      <c r="G399" s="13">
        <f>74362+107835</f>
        <v>182197</v>
      </c>
      <c r="H399" s="13">
        <f>5997+22348</f>
        <v>28345</v>
      </c>
      <c r="I399" s="18">
        <v>199599</v>
      </c>
      <c r="J399" s="15">
        <f t="shared" si="18"/>
        <v>410141</v>
      </c>
      <c r="K399" s="1"/>
      <c r="L399" s="1"/>
      <c r="M399" s="1"/>
      <c r="N399" s="18"/>
      <c r="O399" s="15">
        <f t="shared" si="19"/>
        <v>0</v>
      </c>
      <c r="P399" s="13"/>
      <c r="Q399" s="13">
        <v>40493</v>
      </c>
      <c r="R399" s="13">
        <v>18674</v>
      </c>
      <c r="S399" s="18">
        <v>39656</v>
      </c>
      <c r="T399" s="15">
        <f t="shared" si="20"/>
        <v>98823</v>
      </c>
    </row>
    <row r="400" spans="1:20" ht="12.75">
      <c r="A400" s="1" t="s">
        <v>930</v>
      </c>
      <c r="B400" s="9" t="s">
        <v>128</v>
      </c>
      <c r="C400" s="12" t="s">
        <v>935</v>
      </c>
      <c r="D400" s="165" t="s">
        <v>936</v>
      </c>
      <c r="E400" s="20" t="s">
        <v>139</v>
      </c>
      <c r="F400" s="13"/>
      <c r="G400" s="13">
        <f>42921+87585</f>
        <v>130506</v>
      </c>
      <c r="H400" s="13">
        <f>4962+14373</f>
        <v>19335</v>
      </c>
      <c r="I400" s="18">
        <v>135899</v>
      </c>
      <c r="J400" s="15">
        <f t="shared" si="18"/>
        <v>285740</v>
      </c>
      <c r="K400" s="13"/>
      <c r="L400" s="1"/>
      <c r="M400" s="1"/>
      <c r="N400" s="18"/>
      <c r="O400" s="15">
        <f t="shared" si="19"/>
        <v>0</v>
      </c>
      <c r="P400" s="13"/>
      <c r="Q400" s="13">
        <v>21460</v>
      </c>
      <c r="R400" s="13">
        <v>8139</v>
      </c>
      <c r="S400" s="18">
        <v>21727</v>
      </c>
      <c r="T400" s="15">
        <f t="shared" si="20"/>
        <v>51326</v>
      </c>
    </row>
    <row r="401" spans="1:20" ht="12.75">
      <c r="A401" s="1" t="s">
        <v>930</v>
      </c>
      <c r="B401" s="9" t="s">
        <v>128</v>
      </c>
      <c r="C401" s="12" t="s">
        <v>937</v>
      </c>
      <c r="D401" s="165" t="s">
        <v>938</v>
      </c>
      <c r="E401" s="20" t="s">
        <v>148</v>
      </c>
      <c r="F401" s="13"/>
      <c r="G401" s="13">
        <f>46395+43920</f>
        <v>90315</v>
      </c>
      <c r="H401" s="13">
        <f>2774+3888</f>
        <v>6662</v>
      </c>
      <c r="I401" s="18">
        <v>94301</v>
      </c>
      <c r="J401" s="15">
        <f t="shared" si="18"/>
        <v>191278</v>
      </c>
      <c r="K401" s="13"/>
      <c r="L401" s="1"/>
      <c r="M401" s="1"/>
      <c r="N401" s="18"/>
      <c r="O401" s="15">
        <f t="shared" si="19"/>
        <v>0</v>
      </c>
      <c r="P401" s="13"/>
      <c r="Q401" s="13">
        <f>6280+1470</f>
        <v>7750</v>
      </c>
      <c r="R401" s="13">
        <f>1832+119</f>
        <v>1951</v>
      </c>
      <c r="S401" s="18">
        <v>7354</v>
      </c>
      <c r="T401" s="15">
        <f t="shared" si="20"/>
        <v>17055</v>
      </c>
    </row>
    <row r="402" spans="1:20" ht="12.75">
      <c r="A402" s="1" t="s">
        <v>930</v>
      </c>
      <c r="B402" s="9" t="s">
        <v>128</v>
      </c>
      <c r="C402" s="12" t="s">
        <v>939</v>
      </c>
      <c r="D402" s="165" t="s">
        <v>940</v>
      </c>
      <c r="E402" s="20" t="s">
        <v>148</v>
      </c>
      <c r="F402" s="13"/>
      <c r="G402" s="13">
        <f>24397+27449</f>
        <v>51846</v>
      </c>
      <c r="H402" s="13">
        <f>2535+5742</f>
        <v>8277</v>
      </c>
      <c r="I402" s="18">
        <v>48750</v>
      </c>
      <c r="J402" s="15">
        <f t="shared" si="18"/>
        <v>108873</v>
      </c>
      <c r="K402" s="13" t="s">
        <v>306</v>
      </c>
      <c r="L402" s="1"/>
      <c r="M402" s="1"/>
      <c r="N402" s="18"/>
      <c r="O402" s="15">
        <f t="shared" si="19"/>
        <v>0</v>
      </c>
      <c r="P402" s="13"/>
      <c r="Q402" s="13">
        <v>2775</v>
      </c>
      <c r="R402" s="13">
        <v>2672</v>
      </c>
      <c r="S402" s="18">
        <v>2330</v>
      </c>
      <c r="T402" s="15">
        <f t="shared" si="20"/>
        <v>7777</v>
      </c>
    </row>
    <row r="403" spans="1:20" ht="12.75">
      <c r="A403" s="1" t="s">
        <v>930</v>
      </c>
      <c r="B403" s="9" t="s">
        <v>128</v>
      </c>
      <c r="C403" s="12" t="s">
        <v>941</v>
      </c>
      <c r="D403" s="165" t="s">
        <v>942</v>
      </c>
      <c r="E403" s="20" t="s">
        <v>157</v>
      </c>
      <c r="F403" s="13"/>
      <c r="G403" s="13">
        <f>29953+26556</f>
        <v>56509</v>
      </c>
      <c r="H403" s="13">
        <f>6567+8104</f>
        <v>14671</v>
      </c>
      <c r="I403" s="18">
        <v>58300</v>
      </c>
      <c r="J403" s="15">
        <f t="shared" si="18"/>
        <v>129480</v>
      </c>
      <c r="K403" s="13" t="s">
        <v>306</v>
      </c>
      <c r="L403" s="1"/>
      <c r="M403" s="1"/>
      <c r="N403" s="18"/>
      <c r="O403" s="15">
        <f t="shared" si="19"/>
        <v>0</v>
      </c>
      <c r="P403" s="13"/>
      <c r="Q403" s="13">
        <v>2064</v>
      </c>
      <c r="R403" s="13">
        <v>1179</v>
      </c>
      <c r="S403" s="18">
        <v>2154</v>
      </c>
      <c r="T403" s="15">
        <f t="shared" si="20"/>
        <v>5397</v>
      </c>
    </row>
    <row r="404" spans="1:20" ht="12.75">
      <c r="A404" s="1" t="s">
        <v>930</v>
      </c>
      <c r="B404" s="9" t="s">
        <v>128</v>
      </c>
      <c r="C404" s="12" t="s">
        <v>943</v>
      </c>
      <c r="D404" s="165" t="s">
        <v>944</v>
      </c>
      <c r="E404" s="20" t="s">
        <v>157</v>
      </c>
      <c r="F404" s="13"/>
      <c r="G404" s="13">
        <f>20933+25585</f>
        <v>46518</v>
      </c>
      <c r="H404" s="13">
        <f>2652+5362</f>
        <v>8014</v>
      </c>
      <c r="I404" s="18">
        <v>47646</v>
      </c>
      <c r="J404" s="15">
        <f t="shared" si="18"/>
        <v>102178</v>
      </c>
      <c r="K404" s="13" t="s">
        <v>306</v>
      </c>
      <c r="L404" s="1"/>
      <c r="M404" s="1"/>
      <c r="N404" s="18"/>
      <c r="O404" s="15">
        <f t="shared" si="19"/>
        <v>0</v>
      </c>
      <c r="P404" s="13"/>
      <c r="Q404" s="13">
        <v>4431</v>
      </c>
      <c r="R404" s="13">
        <v>2820</v>
      </c>
      <c r="S404" s="18">
        <v>4175</v>
      </c>
      <c r="T404" s="15">
        <f t="shared" si="20"/>
        <v>11426</v>
      </c>
    </row>
    <row r="405" spans="1:20" ht="12.75">
      <c r="A405" s="1" t="s">
        <v>930</v>
      </c>
      <c r="B405" s="9" t="s">
        <v>128</v>
      </c>
      <c r="C405" s="12" t="s">
        <v>945</v>
      </c>
      <c r="D405" s="165" t="s">
        <v>946</v>
      </c>
      <c r="E405" s="20" t="s">
        <v>157</v>
      </c>
      <c r="F405" s="13"/>
      <c r="G405" s="13">
        <f>9289+10416</f>
        <v>19705</v>
      </c>
      <c r="H405" s="13">
        <f>515+1378</f>
        <v>1893</v>
      </c>
      <c r="I405" s="18">
        <v>19768</v>
      </c>
      <c r="J405" s="15">
        <f t="shared" si="18"/>
        <v>41366</v>
      </c>
      <c r="K405" s="13" t="s">
        <v>306</v>
      </c>
      <c r="L405" s="1"/>
      <c r="M405" s="1"/>
      <c r="N405" s="18"/>
      <c r="O405" s="15">
        <f t="shared" si="19"/>
        <v>0</v>
      </c>
      <c r="P405" s="13"/>
      <c r="Q405" s="13">
        <v>1539</v>
      </c>
      <c r="R405" s="13">
        <v>1195</v>
      </c>
      <c r="S405" s="18">
        <v>1432</v>
      </c>
      <c r="T405" s="15">
        <f t="shared" si="20"/>
        <v>4166</v>
      </c>
    </row>
    <row r="406" spans="1:20" ht="12.75">
      <c r="A406" s="1" t="s">
        <v>930</v>
      </c>
      <c r="B406" s="9" t="s">
        <v>128</v>
      </c>
      <c r="C406" s="12" t="s">
        <v>947</v>
      </c>
      <c r="D406" s="165" t="s">
        <v>948</v>
      </c>
      <c r="E406" s="20" t="s">
        <v>157</v>
      </c>
      <c r="F406" s="13"/>
      <c r="G406" s="13">
        <f>17850+23140</f>
        <v>40990</v>
      </c>
      <c r="H406" s="13">
        <f>2732+5544</f>
        <v>8276</v>
      </c>
      <c r="I406" s="18">
        <v>43170</v>
      </c>
      <c r="J406" s="15">
        <f t="shared" si="18"/>
        <v>92436</v>
      </c>
      <c r="K406" s="13" t="s">
        <v>306</v>
      </c>
      <c r="L406" s="1"/>
      <c r="M406" s="1"/>
      <c r="N406" s="18"/>
      <c r="O406" s="15">
        <f t="shared" si="19"/>
        <v>0</v>
      </c>
      <c r="P406" s="13"/>
      <c r="Q406" s="13">
        <v>3026</v>
      </c>
      <c r="R406" s="13">
        <v>1946</v>
      </c>
      <c r="S406" s="18">
        <v>2965</v>
      </c>
      <c r="T406" s="15">
        <f t="shared" si="20"/>
        <v>7937</v>
      </c>
    </row>
    <row r="407" spans="1:20" ht="12.75">
      <c r="A407" s="1" t="s">
        <v>930</v>
      </c>
      <c r="B407" s="9" t="s">
        <v>128</v>
      </c>
      <c r="C407" s="12" t="s">
        <v>949</v>
      </c>
      <c r="D407" s="165" t="s">
        <v>950</v>
      </c>
      <c r="E407" s="20" t="s">
        <v>166</v>
      </c>
      <c r="F407" s="13"/>
      <c r="G407" s="13">
        <f>13439+22965</f>
        <v>36404</v>
      </c>
      <c r="H407" s="13">
        <f>1056+5315</f>
        <v>6371</v>
      </c>
      <c r="I407" s="18">
        <v>38384</v>
      </c>
      <c r="J407" s="15">
        <f t="shared" si="18"/>
        <v>81159</v>
      </c>
      <c r="K407" s="13"/>
      <c r="L407" s="1"/>
      <c r="M407" s="1"/>
      <c r="N407" s="18"/>
      <c r="O407" s="15">
        <f t="shared" si="19"/>
        <v>0</v>
      </c>
      <c r="P407" s="13"/>
      <c r="Q407" s="13">
        <v>359</v>
      </c>
      <c r="R407" s="13">
        <v>132</v>
      </c>
      <c r="S407" s="18">
        <v>313</v>
      </c>
      <c r="T407" s="15">
        <f t="shared" si="20"/>
        <v>804</v>
      </c>
    </row>
    <row r="408" spans="1:20" ht="12.75">
      <c r="A408" s="1" t="s">
        <v>930</v>
      </c>
      <c r="B408" s="9" t="s">
        <v>128</v>
      </c>
      <c r="C408" s="12" t="s">
        <v>951</v>
      </c>
      <c r="D408" s="165" t="s">
        <v>952</v>
      </c>
      <c r="E408" s="20" t="s">
        <v>166</v>
      </c>
      <c r="F408" s="13"/>
      <c r="G408" s="13">
        <f>7790+7491</f>
        <v>15281</v>
      </c>
      <c r="H408" s="13">
        <f>577+1413</f>
        <v>1990</v>
      </c>
      <c r="I408" s="18">
        <v>15850</v>
      </c>
      <c r="J408" s="15">
        <f t="shared" si="18"/>
        <v>33121</v>
      </c>
      <c r="K408" s="1"/>
      <c r="L408" s="1"/>
      <c r="M408" s="1"/>
      <c r="N408" s="18"/>
      <c r="O408" s="15">
        <f t="shared" si="19"/>
        <v>0</v>
      </c>
      <c r="P408" s="12"/>
      <c r="Q408" s="13"/>
      <c r="R408" s="13"/>
      <c r="S408" s="18"/>
      <c r="T408" s="15">
        <f t="shared" si="20"/>
        <v>0</v>
      </c>
    </row>
    <row r="409" spans="1:20" ht="12.75">
      <c r="A409" s="1" t="s">
        <v>930</v>
      </c>
      <c r="B409" s="9" t="s">
        <v>128</v>
      </c>
      <c r="C409" s="12" t="s">
        <v>953</v>
      </c>
      <c r="D409" s="165" t="s">
        <v>954</v>
      </c>
      <c r="E409" s="20" t="s">
        <v>166</v>
      </c>
      <c r="F409" s="13"/>
      <c r="G409" s="13">
        <f>8366+8509</f>
        <v>16875</v>
      </c>
      <c r="H409" s="13">
        <f>2991+4515</f>
        <v>7506</v>
      </c>
      <c r="I409" s="18">
        <v>18455</v>
      </c>
      <c r="J409" s="15">
        <f t="shared" si="18"/>
        <v>42836</v>
      </c>
      <c r="K409" s="1"/>
      <c r="L409" s="1"/>
      <c r="M409" s="1"/>
      <c r="N409" s="18"/>
      <c r="O409" s="15">
        <f t="shared" si="19"/>
        <v>0</v>
      </c>
      <c r="P409" s="12"/>
      <c r="Q409" s="13"/>
      <c r="R409" s="13"/>
      <c r="S409" s="18"/>
      <c r="T409" s="15">
        <f t="shared" si="20"/>
        <v>0</v>
      </c>
    </row>
    <row r="410" spans="1:20" ht="12.75">
      <c r="A410" s="1" t="s">
        <v>930</v>
      </c>
      <c r="B410" s="9" t="s">
        <v>128</v>
      </c>
      <c r="C410" s="12" t="s">
        <v>955</v>
      </c>
      <c r="D410" s="165" t="s">
        <v>956</v>
      </c>
      <c r="E410" s="20" t="s">
        <v>170</v>
      </c>
      <c r="F410" s="13"/>
      <c r="G410" s="13">
        <v>14344</v>
      </c>
      <c r="H410" s="13">
        <v>2242</v>
      </c>
      <c r="I410" s="18">
        <v>16059</v>
      </c>
      <c r="J410" s="15">
        <f t="shared" si="18"/>
        <v>32645</v>
      </c>
      <c r="K410" s="1"/>
      <c r="L410" s="1"/>
      <c r="M410" s="1"/>
      <c r="N410" s="18"/>
      <c r="O410" s="15">
        <f t="shared" si="19"/>
        <v>0</v>
      </c>
      <c r="P410" s="12"/>
      <c r="Q410" s="13"/>
      <c r="R410" s="13"/>
      <c r="S410" s="18"/>
      <c r="T410" s="15">
        <f t="shared" si="20"/>
        <v>0</v>
      </c>
    </row>
    <row r="411" spans="1:58" ht="12.75">
      <c r="A411" s="1" t="s">
        <v>930</v>
      </c>
      <c r="B411" s="9" t="s">
        <v>128</v>
      </c>
      <c r="C411" s="12" t="s">
        <v>957</v>
      </c>
      <c r="D411" s="165" t="s">
        <v>958</v>
      </c>
      <c r="E411" s="20" t="s">
        <v>170</v>
      </c>
      <c r="F411" s="13"/>
      <c r="G411" s="13">
        <v>25432</v>
      </c>
      <c r="H411" s="13">
        <v>7967</v>
      </c>
      <c r="I411" s="18">
        <v>25400</v>
      </c>
      <c r="J411" s="15">
        <f t="shared" si="18"/>
        <v>58799</v>
      </c>
      <c r="K411" s="1"/>
      <c r="L411" s="1"/>
      <c r="M411" s="1"/>
      <c r="N411" s="18"/>
      <c r="O411" s="15">
        <f t="shared" si="19"/>
        <v>0</v>
      </c>
      <c r="P411" s="12"/>
      <c r="Q411" s="13"/>
      <c r="R411" s="13"/>
      <c r="S411" s="18"/>
      <c r="T411" s="15">
        <f t="shared" si="20"/>
        <v>0</v>
      </c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24"/>
    </row>
    <row r="412" spans="1:58" ht="12.75">
      <c r="A412" s="1" t="s">
        <v>930</v>
      </c>
      <c r="B412" s="9" t="s">
        <v>128</v>
      </c>
      <c r="C412" s="12" t="s">
        <v>959</v>
      </c>
      <c r="D412" s="165" t="s">
        <v>960</v>
      </c>
      <c r="E412" s="20" t="s">
        <v>170</v>
      </c>
      <c r="F412" s="13"/>
      <c r="G412" s="13">
        <v>20073</v>
      </c>
      <c r="H412" s="13">
        <v>3140</v>
      </c>
      <c r="I412" s="18">
        <v>20852</v>
      </c>
      <c r="J412" s="15">
        <f t="shared" si="18"/>
        <v>44065</v>
      </c>
      <c r="K412" s="1"/>
      <c r="L412" s="1"/>
      <c r="M412" s="1"/>
      <c r="N412" s="18"/>
      <c r="O412" s="15">
        <f t="shared" si="19"/>
        <v>0</v>
      </c>
      <c r="P412" s="12"/>
      <c r="Q412" s="13"/>
      <c r="R412" s="13"/>
      <c r="S412" s="18"/>
      <c r="T412" s="15">
        <f t="shared" si="20"/>
        <v>0</v>
      </c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24"/>
    </row>
    <row r="413" spans="1:20" ht="12.75">
      <c r="A413" s="1" t="s">
        <v>930</v>
      </c>
      <c r="B413" s="9" t="s">
        <v>128</v>
      </c>
      <c r="C413" s="12" t="s">
        <v>961</v>
      </c>
      <c r="D413" s="165" t="s">
        <v>962</v>
      </c>
      <c r="E413" s="20" t="s">
        <v>170</v>
      </c>
      <c r="F413" s="13"/>
      <c r="G413" s="13">
        <v>14814</v>
      </c>
      <c r="H413" s="13">
        <v>2319</v>
      </c>
      <c r="I413" s="18">
        <v>16073</v>
      </c>
      <c r="J413" s="15">
        <f t="shared" si="18"/>
        <v>33206</v>
      </c>
      <c r="K413" s="1"/>
      <c r="L413" s="1"/>
      <c r="M413" s="1"/>
      <c r="N413" s="18"/>
      <c r="O413" s="15">
        <f t="shared" si="19"/>
        <v>0</v>
      </c>
      <c r="P413" s="12"/>
      <c r="Q413" s="13"/>
      <c r="R413" s="13"/>
      <c r="S413" s="18"/>
      <c r="T413" s="15">
        <f t="shared" si="20"/>
        <v>0</v>
      </c>
    </row>
    <row r="414" spans="1:20" ht="12.75">
      <c r="A414" s="1" t="s">
        <v>930</v>
      </c>
      <c r="B414" s="9" t="s">
        <v>128</v>
      </c>
      <c r="C414" s="12" t="s">
        <v>963</v>
      </c>
      <c r="D414" s="165" t="s">
        <v>964</v>
      </c>
      <c r="E414" s="20" t="s">
        <v>170</v>
      </c>
      <c r="F414" s="13"/>
      <c r="G414" s="13">
        <v>24566</v>
      </c>
      <c r="H414" s="13">
        <v>2537</v>
      </c>
      <c r="I414" s="18">
        <v>26628</v>
      </c>
      <c r="J414" s="15">
        <f t="shared" si="18"/>
        <v>53731</v>
      </c>
      <c r="K414" s="1"/>
      <c r="L414" s="1"/>
      <c r="M414" s="1"/>
      <c r="N414" s="18"/>
      <c r="O414" s="15">
        <f t="shared" si="19"/>
        <v>0</v>
      </c>
      <c r="P414" s="12"/>
      <c r="Q414" s="13"/>
      <c r="R414" s="13"/>
      <c r="S414" s="18"/>
      <c r="T414" s="15">
        <f t="shared" si="20"/>
        <v>0</v>
      </c>
    </row>
    <row r="415" spans="1:20" ht="12.75">
      <c r="A415" s="1" t="s">
        <v>930</v>
      </c>
      <c r="B415" s="9" t="s">
        <v>128</v>
      </c>
      <c r="C415" s="12" t="s">
        <v>965</v>
      </c>
      <c r="D415" s="165" t="s">
        <v>966</v>
      </c>
      <c r="E415" s="20" t="s">
        <v>170</v>
      </c>
      <c r="F415" s="13"/>
      <c r="G415" s="13">
        <v>20433</v>
      </c>
      <c r="H415" s="13">
        <v>3117</v>
      </c>
      <c r="I415" s="18">
        <v>22042</v>
      </c>
      <c r="J415" s="15">
        <f t="shared" si="18"/>
        <v>45592</v>
      </c>
      <c r="K415" s="1"/>
      <c r="L415" s="1"/>
      <c r="M415" s="1"/>
      <c r="N415" s="18"/>
      <c r="O415" s="15">
        <f t="shared" si="19"/>
        <v>0</v>
      </c>
      <c r="P415" s="12"/>
      <c r="Q415" s="13"/>
      <c r="R415" s="13"/>
      <c r="S415" s="18"/>
      <c r="T415" s="15">
        <f t="shared" si="20"/>
        <v>0</v>
      </c>
    </row>
    <row r="416" spans="1:20" ht="12.75">
      <c r="A416" s="1" t="s">
        <v>930</v>
      </c>
      <c r="B416" s="9" t="s">
        <v>128</v>
      </c>
      <c r="C416" s="12" t="s">
        <v>967</v>
      </c>
      <c r="D416" s="165" t="s">
        <v>968</v>
      </c>
      <c r="E416" s="20" t="s">
        <v>170</v>
      </c>
      <c r="F416" s="13"/>
      <c r="G416" s="13">
        <v>73640</v>
      </c>
      <c r="H416" s="13">
        <v>18378</v>
      </c>
      <c r="I416" s="18">
        <v>76154</v>
      </c>
      <c r="J416" s="15">
        <f t="shared" si="18"/>
        <v>168172</v>
      </c>
      <c r="K416" s="1"/>
      <c r="L416" s="1"/>
      <c r="M416" s="1"/>
      <c r="N416" s="18"/>
      <c r="O416" s="15">
        <f t="shared" si="19"/>
        <v>0</v>
      </c>
      <c r="P416" s="12"/>
      <c r="Q416" s="13"/>
      <c r="R416" s="13"/>
      <c r="S416" s="18"/>
      <c r="T416" s="15">
        <f t="shared" si="20"/>
        <v>0</v>
      </c>
    </row>
    <row r="417" spans="1:82" ht="12.75">
      <c r="A417" s="1" t="s">
        <v>930</v>
      </c>
      <c r="B417" s="9" t="s">
        <v>128</v>
      </c>
      <c r="C417" s="12" t="s">
        <v>969</v>
      </c>
      <c r="D417" s="165" t="s">
        <v>970</v>
      </c>
      <c r="E417" s="20" t="s">
        <v>170</v>
      </c>
      <c r="F417" s="13"/>
      <c r="G417" s="13">
        <v>30770</v>
      </c>
      <c r="H417" s="13">
        <v>6225</v>
      </c>
      <c r="I417" s="18">
        <v>30743</v>
      </c>
      <c r="J417" s="15">
        <f t="shared" si="18"/>
        <v>67738</v>
      </c>
      <c r="K417" s="1"/>
      <c r="L417" s="1"/>
      <c r="M417" s="1"/>
      <c r="N417" s="18"/>
      <c r="O417" s="15">
        <f t="shared" si="19"/>
        <v>0</v>
      </c>
      <c r="P417" s="12"/>
      <c r="Q417" s="13"/>
      <c r="R417" s="13"/>
      <c r="S417" s="18"/>
      <c r="T417" s="15">
        <f t="shared" si="20"/>
        <v>0</v>
      </c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2"/>
      <c r="BC417" s="1"/>
      <c r="BD417" s="2"/>
      <c r="BE417" s="2"/>
      <c r="BF417" s="2"/>
      <c r="BG417" s="2"/>
      <c r="BH417" s="2"/>
      <c r="BI417" s="1"/>
      <c r="BJ417" s="1"/>
      <c r="BK417" s="2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2"/>
      <c r="BW417" s="2"/>
      <c r="BX417" s="2"/>
      <c r="BY417" s="2"/>
      <c r="BZ417" s="2"/>
      <c r="CA417" s="2"/>
      <c r="CB417" s="2"/>
      <c r="CC417" s="2"/>
      <c r="CD417" s="2"/>
    </row>
    <row r="418" spans="1:82" ht="12.75">
      <c r="A418" s="1" t="s">
        <v>930</v>
      </c>
      <c r="B418" s="9" t="s">
        <v>128</v>
      </c>
      <c r="C418" s="12" t="s">
        <v>971</v>
      </c>
      <c r="D418" s="165" t="s">
        <v>972</v>
      </c>
      <c r="E418" s="20" t="s">
        <v>170</v>
      </c>
      <c r="F418" s="13"/>
      <c r="G418" s="13">
        <v>23617</v>
      </c>
      <c r="H418" s="13">
        <v>15518</v>
      </c>
      <c r="I418" s="18">
        <v>24991</v>
      </c>
      <c r="J418" s="15">
        <f t="shared" si="18"/>
        <v>64126</v>
      </c>
      <c r="K418" s="1"/>
      <c r="L418" s="1"/>
      <c r="M418" s="1"/>
      <c r="N418" s="18"/>
      <c r="O418" s="15">
        <f t="shared" si="19"/>
        <v>0</v>
      </c>
      <c r="P418" s="12"/>
      <c r="Q418" s="13"/>
      <c r="R418" s="13"/>
      <c r="S418" s="18"/>
      <c r="T418" s="15">
        <f t="shared" si="20"/>
        <v>0</v>
      </c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2"/>
      <c r="BC418" s="1"/>
      <c r="BD418" s="2"/>
      <c r="BE418" s="2"/>
      <c r="BF418" s="2"/>
      <c r="BG418" s="2"/>
      <c r="BH418" s="2"/>
      <c r="BI418" s="1"/>
      <c r="BJ418" s="1"/>
      <c r="BK418" s="2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2"/>
      <c r="BW418" s="2"/>
      <c r="BX418" s="2"/>
      <c r="BY418" s="2"/>
      <c r="BZ418" s="2"/>
      <c r="CA418" s="2"/>
      <c r="CB418" s="2"/>
      <c r="CC418" s="2"/>
      <c r="CD418" s="2"/>
    </row>
    <row r="419" spans="1:82" ht="12.75">
      <c r="A419" s="1" t="s">
        <v>930</v>
      </c>
      <c r="B419" s="9" t="s">
        <v>128</v>
      </c>
      <c r="C419" s="12" t="s">
        <v>973</v>
      </c>
      <c r="D419" s="165" t="s">
        <v>974</v>
      </c>
      <c r="E419" s="20" t="s">
        <v>170</v>
      </c>
      <c r="F419" s="13"/>
      <c r="G419" s="13">
        <v>17064</v>
      </c>
      <c r="H419" s="13">
        <v>2594</v>
      </c>
      <c r="I419" s="18">
        <v>18343</v>
      </c>
      <c r="J419" s="15">
        <f t="shared" si="18"/>
        <v>38001</v>
      </c>
      <c r="K419" s="1"/>
      <c r="L419" s="1"/>
      <c r="M419" s="1"/>
      <c r="N419" s="18"/>
      <c r="O419" s="15">
        <f t="shared" si="19"/>
        <v>0</v>
      </c>
      <c r="P419" s="12"/>
      <c r="Q419" s="13"/>
      <c r="R419" s="13"/>
      <c r="S419" s="18"/>
      <c r="T419" s="15">
        <f t="shared" si="20"/>
        <v>0</v>
      </c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2"/>
      <c r="BC419" s="1"/>
      <c r="BD419" s="2"/>
      <c r="BE419" s="2"/>
      <c r="BF419" s="2"/>
      <c r="BG419" s="2"/>
      <c r="BH419" s="2"/>
      <c r="BI419" s="1"/>
      <c r="BJ419" s="1"/>
      <c r="BK419" s="2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2"/>
      <c r="BW419" s="2"/>
      <c r="BX419" s="2"/>
      <c r="BY419" s="2"/>
      <c r="BZ419" s="2"/>
      <c r="CA419" s="2"/>
      <c r="CB419" s="2"/>
      <c r="CC419" s="2"/>
      <c r="CD419" s="2"/>
    </row>
    <row r="420" spans="1:81" ht="12.75">
      <c r="A420" s="1" t="s">
        <v>930</v>
      </c>
      <c r="B420" s="9" t="s">
        <v>128</v>
      </c>
      <c r="C420" s="12" t="s">
        <v>975</v>
      </c>
      <c r="D420" s="165" t="s">
        <v>976</v>
      </c>
      <c r="E420" s="20" t="s">
        <v>170</v>
      </c>
      <c r="F420" s="13"/>
      <c r="G420" s="13">
        <v>27469</v>
      </c>
      <c r="H420" s="13">
        <v>6708</v>
      </c>
      <c r="I420" s="18">
        <v>26217</v>
      </c>
      <c r="J420" s="15">
        <f t="shared" si="18"/>
        <v>60394</v>
      </c>
      <c r="K420" s="1"/>
      <c r="L420" s="1"/>
      <c r="M420" s="1"/>
      <c r="N420" s="18"/>
      <c r="O420" s="15">
        <f t="shared" si="19"/>
        <v>0</v>
      </c>
      <c r="P420" s="12"/>
      <c r="Q420" s="13"/>
      <c r="R420" s="13"/>
      <c r="S420" s="18"/>
      <c r="T420" s="15">
        <f t="shared" si="20"/>
        <v>0</v>
      </c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2"/>
      <c r="BC420" s="1"/>
      <c r="BD420" s="1"/>
      <c r="BE420" s="2"/>
      <c r="BF420" s="1"/>
      <c r="BG420" s="2"/>
      <c r="BH420" s="1"/>
      <c r="BI420" s="1"/>
      <c r="BJ420" s="1"/>
      <c r="BK420" s="2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2"/>
      <c r="BX420" s="1"/>
      <c r="BY420" s="2"/>
      <c r="BZ420" s="1"/>
      <c r="CA420" s="2"/>
      <c r="CB420" s="1"/>
      <c r="CC420" s="2"/>
    </row>
    <row r="421" spans="1:82" ht="12.75">
      <c r="A421" s="1" t="s">
        <v>930</v>
      </c>
      <c r="B421" s="9" t="s">
        <v>128</v>
      </c>
      <c r="C421" s="12" t="s">
        <v>977</v>
      </c>
      <c r="D421" s="165" t="s">
        <v>978</v>
      </c>
      <c r="E421" s="20" t="s">
        <v>170</v>
      </c>
      <c r="F421" s="13"/>
      <c r="G421" s="13">
        <v>64065</v>
      </c>
      <c r="H421" s="13">
        <v>15718</v>
      </c>
      <c r="I421" s="18">
        <v>38202</v>
      </c>
      <c r="J421" s="15">
        <f t="shared" si="18"/>
        <v>117985</v>
      </c>
      <c r="K421" s="1"/>
      <c r="L421" s="1"/>
      <c r="M421" s="1"/>
      <c r="N421" s="18"/>
      <c r="O421" s="15">
        <f t="shared" si="19"/>
        <v>0</v>
      </c>
      <c r="P421" s="12"/>
      <c r="Q421" s="13"/>
      <c r="R421" s="13"/>
      <c r="S421" s="18"/>
      <c r="T421" s="15">
        <f t="shared" si="20"/>
        <v>0</v>
      </c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2"/>
      <c r="BC421" s="1"/>
      <c r="BD421" s="2"/>
      <c r="BE421" s="2"/>
      <c r="BF421" s="2"/>
      <c r="BG421" s="2"/>
      <c r="BH421" s="2"/>
      <c r="BI421" s="1"/>
      <c r="BJ421" s="1"/>
      <c r="BK421" s="2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2"/>
      <c r="BW421" s="2"/>
      <c r="BX421" s="2"/>
      <c r="BY421" s="2"/>
      <c r="BZ421" s="2"/>
      <c r="CA421" s="2"/>
      <c r="CB421" s="2"/>
      <c r="CC421" s="2"/>
      <c r="CD421" s="2"/>
    </row>
    <row r="422" spans="1:82" ht="12" customHeight="1">
      <c r="A422" s="1" t="s">
        <v>930</v>
      </c>
      <c r="B422" s="9" t="s">
        <v>128</v>
      </c>
      <c r="C422" s="12" t="s">
        <v>979</v>
      </c>
      <c r="D422" s="165" t="s">
        <v>980</v>
      </c>
      <c r="E422" s="20" t="s">
        <v>170</v>
      </c>
      <c r="F422" s="13"/>
      <c r="G422" s="13">
        <v>16128</v>
      </c>
      <c r="H422" s="13">
        <v>3198</v>
      </c>
      <c r="I422" s="18">
        <v>17266</v>
      </c>
      <c r="J422" s="15">
        <f t="shared" si="18"/>
        <v>36592</v>
      </c>
      <c r="K422" s="1"/>
      <c r="L422" s="1"/>
      <c r="M422" s="1"/>
      <c r="N422" s="18"/>
      <c r="O422" s="15">
        <f t="shared" si="19"/>
        <v>0</v>
      </c>
      <c r="P422" s="12"/>
      <c r="Q422" s="13"/>
      <c r="R422" s="13"/>
      <c r="S422" s="18"/>
      <c r="T422" s="15">
        <f t="shared" si="20"/>
        <v>0</v>
      </c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2"/>
      <c r="BC422" s="1"/>
      <c r="BD422" s="2"/>
      <c r="BE422" s="2"/>
      <c r="BF422" s="2"/>
      <c r="BG422" s="2"/>
      <c r="BH422" s="2"/>
      <c r="BI422" s="1"/>
      <c r="BJ422" s="1"/>
      <c r="BK422" s="2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2"/>
      <c r="BW422" s="2"/>
      <c r="BX422" s="2"/>
      <c r="BY422" s="2"/>
      <c r="BZ422" s="2"/>
      <c r="CA422" s="2"/>
      <c r="CB422" s="2"/>
      <c r="CC422" s="2"/>
      <c r="CD422" s="2"/>
    </row>
    <row r="423" spans="1:82" ht="12" customHeight="1">
      <c r="A423" s="1" t="s">
        <v>930</v>
      </c>
      <c r="B423" s="9" t="s">
        <v>128</v>
      </c>
      <c r="C423" s="12" t="s">
        <v>981</v>
      </c>
      <c r="D423" s="165" t="s">
        <v>982</v>
      </c>
      <c r="E423" s="20" t="s">
        <v>170</v>
      </c>
      <c r="F423" s="13"/>
      <c r="G423" s="13">
        <v>120949</v>
      </c>
      <c r="H423" s="13">
        <v>38998</v>
      </c>
      <c r="I423" s="18">
        <v>131414</v>
      </c>
      <c r="J423" s="15">
        <f t="shared" si="18"/>
        <v>291361</v>
      </c>
      <c r="K423" s="1"/>
      <c r="L423" s="1"/>
      <c r="M423" s="1"/>
      <c r="N423" s="18"/>
      <c r="O423" s="15">
        <f t="shared" si="19"/>
        <v>0</v>
      </c>
      <c r="P423" s="12"/>
      <c r="Q423" s="13"/>
      <c r="R423" s="13"/>
      <c r="S423" s="18"/>
      <c r="T423" s="15">
        <f t="shared" si="20"/>
        <v>0</v>
      </c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2"/>
      <c r="BC423" s="1"/>
      <c r="BD423" s="2"/>
      <c r="BE423" s="2"/>
      <c r="BF423" s="2"/>
      <c r="BG423" s="2"/>
      <c r="BH423" s="2"/>
      <c r="BI423" s="1"/>
      <c r="BJ423" s="1"/>
      <c r="BK423" s="2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2"/>
      <c r="BW423" s="2"/>
      <c r="BX423" s="2"/>
      <c r="BY423" s="2"/>
      <c r="BZ423" s="2"/>
      <c r="CA423" s="2"/>
      <c r="CB423" s="2"/>
      <c r="CC423" s="2"/>
      <c r="CD423" s="2"/>
    </row>
    <row r="424" spans="1:81" ht="12" customHeight="1">
      <c r="A424" s="1" t="s">
        <v>930</v>
      </c>
      <c r="B424" s="9" t="s">
        <v>128</v>
      </c>
      <c r="C424" s="12" t="s">
        <v>983</v>
      </c>
      <c r="D424" s="165" t="s">
        <v>984</v>
      </c>
      <c r="E424" s="20" t="s">
        <v>170</v>
      </c>
      <c r="F424" s="13"/>
      <c r="G424" s="13">
        <v>12837</v>
      </c>
      <c r="H424" s="13">
        <v>2968</v>
      </c>
      <c r="I424" s="18">
        <v>13713</v>
      </c>
      <c r="J424" s="15">
        <f t="shared" si="18"/>
        <v>29518</v>
      </c>
      <c r="K424" s="1"/>
      <c r="L424" s="1"/>
      <c r="M424" s="1"/>
      <c r="N424" s="18"/>
      <c r="O424" s="15">
        <f t="shared" si="19"/>
        <v>0</v>
      </c>
      <c r="P424" s="12"/>
      <c r="Q424" s="13"/>
      <c r="R424" s="13"/>
      <c r="S424" s="18"/>
      <c r="T424" s="15">
        <f t="shared" si="20"/>
        <v>0</v>
      </c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2"/>
      <c r="BC424" s="1"/>
      <c r="BD424" s="1"/>
      <c r="BE424" s="2"/>
      <c r="BF424" s="1"/>
      <c r="BG424" s="2"/>
      <c r="BH424" s="1"/>
      <c r="BI424" s="1"/>
      <c r="BJ424" s="1"/>
      <c r="BK424" s="2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2"/>
      <c r="BX424" s="1"/>
      <c r="BY424" s="2"/>
      <c r="BZ424" s="1"/>
      <c r="CA424" s="2"/>
      <c r="CB424" s="1"/>
      <c r="CC424" s="2"/>
    </row>
    <row r="425" spans="1:82" ht="12" customHeight="1">
      <c r="A425" s="1" t="s">
        <v>930</v>
      </c>
      <c r="B425" s="9" t="s">
        <v>128</v>
      </c>
      <c r="C425" s="12" t="s">
        <v>985</v>
      </c>
      <c r="D425" s="165" t="s">
        <v>986</v>
      </c>
      <c r="E425" s="20" t="s">
        <v>305</v>
      </c>
      <c r="F425" s="13"/>
      <c r="G425" s="13"/>
      <c r="H425" s="13"/>
      <c r="I425" s="18"/>
      <c r="J425" s="15">
        <f t="shared" si="18"/>
        <v>0</v>
      </c>
      <c r="K425" s="1"/>
      <c r="L425" s="1"/>
      <c r="M425" s="1"/>
      <c r="N425" s="18"/>
      <c r="O425" s="15">
        <f t="shared" si="19"/>
        <v>0</v>
      </c>
      <c r="P425" s="13"/>
      <c r="Q425" s="13">
        <v>9443</v>
      </c>
      <c r="R425" s="13">
        <v>3336</v>
      </c>
      <c r="S425" s="18">
        <v>9443</v>
      </c>
      <c r="T425" s="15">
        <f t="shared" si="20"/>
        <v>22222</v>
      </c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2"/>
      <c r="BC425" s="1"/>
      <c r="BD425" s="2"/>
      <c r="BE425" s="2"/>
      <c r="BF425" s="2"/>
      <c r="BG425" s="2"/>
      <c r="BH425" s="2"/>
      <c r="BI425" s="1"/>
      <c r="BJ425" s="1"/>
      <c r="BK425" s="2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2"/>
      <c r="BW425" s="2"/>
      <c r="BX425" s="2"/>
      <c r="BY425" s="2"/>
      <c r="BZ425" s="2"/>
      <c r="CA425" s="2"/>
      <c r="CB425" s="2"/>
      <c r="CC425" s="2"/>
      <c r="CD425" s="2"/>
    </row>
    <row r="426" spans="1:82" ht="12" customHeight="1">
      <c r="A426" s="1" t="s">
        <v>930</v>
      </c>
      <c r="B426" s="9" t="s">
        <v>128</v>
      </c>
      <c r="C426" s="12" t="s">
        <v>987</v>
      </c>
      <c r="D426" s="165" t="s">
        <v>298</v>
      </c>
      <c r="E426" s="20" t="s">
        <v>305</v>
      </c>
      <c r="F426" s="13"/>
      <c r="G426" s="13"/>
      <c r="H426" s="13"/>
      <c r="I426" s="18"/>
      <c r="J426" s="15">
        <f t="shared" si="18"/>
        <v>0</v>
      </c>
      <c r="K426" s="1"/>
      <c r="L426" s="1"/>
      <c r="M426" s="1"/>
      <c r="N426" s="18"/>
      <c r="O426" s="15">
        <f t="shared" si="19"/>
        <v>0</v>
      </c>
      <c r="P426" s="13"/>
      <c r="Q426" s="13">
        <v>4923</v>
      </c>
      <c r="R426" s="13">
        <v>791</v>
      </c>
      <c r="S426" s="18">
        <v>5184</v>
      </c>
      <c r="T426" s="15">
        <f t="shared" si="20"/>
        <v>10898</v>
      </c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2"/>
      <c r="BC426" s="1"/>
      <c r="BD426" s="2"/>
      <c r="BE426" s="2"/>
      <c r="BF426" s="2"/>
      <c r="BG426" s="2"/>
      <c r="BH426" s="2"/>
      <c r="BI426" s="1"/>
      <c r="BJ426" s="1"/>
      <c r="BK426" s="2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2"/>
      <c r="BW426" s="2"/>
      <c r="BX426" s="2"/>
      <c r="BY426" s="2"/>
      <c r="BZ426" s="2"/>
      <c r="CA426" s="2"/>
      <c r="CB426" s="2"/>
      <c r="CC426" s="2"/>
      <c r="CD426" s="2"/>
    </row>
    <row r="427" spans="1:82" ht="12" customHeight="1">
      <c r="A427" s="1" t="s">
        <v>930</v>
      </c>
      <c r="B427" s="9" t="s">
        <v>128</v>
      </c>
      <c r="C427" s="12" t="s">
        <v>988</v>
      </c>
      <c r="D427" s="165" t="s">
        <v>989</v>
      </c>
      <c r="E427" s="20" t="s">
        <v>305</v>
      </c>
      <c r="F427" s="13"/>
      <c r="G427" s="13">
        <v>16883</v>
      </c>
      <c r="H427" s="13">
        <v>2929</v>
      </c>
      <c r="I427" s="18">
        <v>14432</v>
      </c>
      <c r="J427" s="15">
        <f t="shared" si="18"/>
        <v>34244</v>
      </c>
      <c r="K427" s="12"/>
      <c r="L427" s="12"/>
      <c r="M427" s="1"/>
      <c r="N427" s="18"/>
      <c r="O427" s="15">
        <f t="shared" si="19"/>
        <v>0</v>
      </c>
      <c r="P427" s="13"/>
      <c r="Q427" s="13">
        <v>26337</v>
      </c>
      <c r="R427" s="13">
        <v>5177</v>
      </c>
      <c r="S427" s="18">
        <v>26631</v>
      </c>
      <c r="T427" s="15">
        <f t="shared" si="20"/>
        <v>58145</v>
      </c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2"/>
      <c r="BC427" s="1"/>
      <c r="BD427" s="2"/>
      <c r="BE427" s="2"/>
      <c r="BF427" s="2"/>
      <c r="BG427" s="2"/>
      <c r="BH427" s="2"/>
      <c r="BI427" s="1"/>
      <c r="BJ427" s="1"/>
      <c r="BK427" s="2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2"/>
      <c r="BW427" s="2"/>
      <c r="BX427" s="2"/>
      <c r="BY427" s="2"/>
      <c r="BZ427" s="2"/>
      <c r="CA427" s="2"/>
      <c r="CB427" s="2"/>
      <c r="CC427" s="2"/>
      <c r="CD427" s="2"/>
    </row>
    <row r="428" spans="1:81" ht="12" customHeight="1">
      <c r="A428" s="1" t="s">
        <v>930</v>
      </c>
      <c r="B428" s="9" t="s">
        <v>128</v>
      </c>
      <c r="C428" s="12" t="s">
        <v>990</v>
      </c>
      <c r="D428" s="165" t="s">
        <v>298</v>
      </c>
      <c r="E428" s="20" t="s">
        <v>305</v>
      </c>
      <c r="F428" s="13"/>
      <c r="G428" s="13"/>
      <c r="H428" s="13"/>
      <c r="I428" s="18"/>
      <c r="J428" s="15">
        <f t="shared" si="18"/>
        <v>0</v>
      </c>
      <c r="K428" s="1"/>
      <c r="L428" s="1"/>
      <c r="M428" s="1"/>
      <c r="N428" s="18"/>
      <c r="O428" s="15">
        <f t="shared" si="19"/>
        <v>0</v>
      </c>
      <c r="P428" s="13"/>
      <c r="Q428" s="13">
        <v>9028</v>
      </c>
      <c r="R428" s="13">
        <v>1366</v>
      </c>
      <c r="S428" s="18">
        <v>8559</v>
      </c>
      <c r="T428" s="15">
        <f t="shared" si="20"/>
        <v>18953</v>
      </c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2"/>
      <c r="BC428" s="1"/>
      <c r="BD428" s="1"/>
      <c r="BE428" s="2"/>
      <c r="BF428" s="1"/>
      <c r="BG428" s="2"/>
      <c r="BH428" s="1"/>
      <c r="BI428" s="1"/>
      <c r="BJ428" s="1"/>
      <c r="BK428" s="2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2"/>
      <c r="BX428" s="1"/>
      <c r="BY428" s="2"/>
      <c r="BZ428" s="1"/>
      <c r="CA428" s="2"/>
      <c r="CB428" s="1"/>
      <c r="CC428" s="2"/>
    </row>
    <row r="429" spans="1:20" ht="12.75">
      <c r="A429" s="1" t="s">
        <v>991</v>
      </c>
      <c r="B429" s="9" t="s">
        <v>128</v>
      </c>
      <c r="C429" s="12" t="s">
        <v>992</v>
      </c>
      <c r="D429" s="165" t="s">
        <v>993</v>
      </c>
      <c r="E429" s="14" t="s">
        <v>131</v>
      </c>
      <c r="F429" s="1"/>
      <c r="G429" s="13">
        <v>185915</v>
      </c>
      <c r="H429" s="13">
        <v>27623</v>
      </c>
      <c r="I429" s="15">
        <v>205802</v>
      </c>
      <c r="J429" s="15">
        <f t="shared" si="18"/>
        <v>419340</v>
      </c>
      <c r="K429" s="1"/>
      <c r="L429" s="1"/>
      <c r="M429" s="1"/>
      <c r="N429" s="16"/>
      <c r="O429" s="15">
        <f t="shared" si="19"/>
        <v>0</v>
      </c>
      <c r="P429" s="1"/>
      <c r="Q429" s="13">
        <f>41339+9946</f>
        <v>51285</v>
      </c>
      <c r="R429" s="13">
        <f>27437+4144</f>
        <v>31581</v>
      </c>
      <c r="S429" s="18">
        <f>39689+10457</f>
        <v>50146</v>
      </c>
      <c r="T429" s="15">
        <f t="shared" si="20"/>
        <v>133012</v>
      </c>
    </row>
    <row r="430" spans="1:81" ht="12.75">
      <c r="A430" s="1" t="s">
        <v>991</v>
      </c>
      <c r="B430" s="9" t="s">
        <v>128</v>
      </c>
      <c r="C430" s="12" t="s">
        <v>994</v>
      </c>
      <c r="D430" s="165" t="s">
        <v>995</v>
      </c>
      <c r="E430" s="14" t="s">
        <v>136</v>
      </c>
      <c r="F430" s="1"/>
      <c r="G430" s="13">
        <v>176188</v>
      </c>
      <c r="H430" s="13">
        <v>29415</v>
      </c>
      <c r="I430" s="15">
        <v>185175</v>
      </c>
      <c r="J430" s="15">
        <f t="shared" si="18"/>
        <v>390778</v>
      </c>
      <c r="K430" s="1"/>
      <c r="L430" s="1"/>
      <c r="M430" s="1"/>
      <c r="N430" s="16"/>
      <c r="O430" s="15">
        <f t="shared" si="19"/>
        <v>0</v>
      </c>
      <c r="P430" s="1"/>
      <c r="Q430" s="13">
        <f>22320+6402</f>
        <v>28722</v>
      </c>
      <c r="R430" s="13">
        <f>12710+3283</f>
        <v>15993</v>
      </c>
      <c r="S430" s="18">
        <f>20833+6590</f>
        <v>27423</v>
      </c>
      <c r="T430" s="15">
        <f t="shared" si="20"/>
        <v>72138</v>
      </c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2"/>
      <c r="BC430" s="1"/>
      <c r="BD430" s="1"/>
      <c r="BE430" s="2"/>
      <c r="BF430" s="1"/>
      <c r="BG430" s="2"/>
      <c r="BH430" s="1"/>
      <c r="BI430" s="1"/>
      <c r="BJ430" s="1"/>
      <c r="BK430" s="2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2"/>
      <c r="BX430" s="1"/>
      <c r="BY430" s="2"/>
      <c r="BZ430" s="1"/>
      <c r="CA430" s="2"/>
      <c r="CB430" s="1"/>
      <c r="CC430" s="2"/>
    </row>
    <row r="431" spans="1:82" ht="12.75">
      <c r="A431" s="1" t="s">
        <v>991</v>
      </c>
      <c r="B431" s="9" t="s">
        <v>128</v>
      </c>
      <c r="C431" s="12" t="s">
        <v>996</v>
      </c>
      <c r="D431" s="165" t="s">
        <v>997</v>
      </c>
      <c r="E431" s="14" t="s">
        <v>139</v>
      </c>
      <c r="F431" s="1"/>
      <c r="G431" s="13">
        <v>51062</v>
      </c>
      <c r="H431" s="13">
        <v>7207</v>
      </c>
      <c r="I431" s="15">
        <v>56713</v>
      </c>
      <c r="J431" s="15">
        <f t="shared" si="18"/>
        <v>114982</v>
      </c>
      <c r="K431" s="1"/>
      <c r="L431" s="1"/>
      <c r="M431" s="1"/>
      <c r="N431" s="16"/>
      <c r="O431" s="15">
        <f t="shared" si="19"/>
        <v>0</v>
      </c>
      <c r="P431" s="1"/>
      <c r="Q431" s="13">
        <v>7694</v>
      </c>
      <c r="R431" s="13">
        <v>5312</v>
      </c>
      <c r="S431" s="18">
        <v>5872</v>
      </c>
      <c r="T431" s="15">
        <f t="shared" si="20"/>
        <v>18878</v>
      </c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2"/>
      <c r="BC431" s="1"/>
      <c r="BD431" s="2"/>
      <c r="BE431" s="2"/>
      <c r="BF431" s="2"/>
      <c r="BG431" s="2"/>
      <c r="BH431" s="2"/>
      <c r="BI431" s="1"/>
      <c r="BJ431" s="1"/>
      <c r="BK431" s="2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2"/>
      <c r="BW431" s="2"/>
      <c r="BX431" s="2"/>
      <c r="BY431" s="2"/>
      <c r="BZ431" s="2"/>
      <c r="CA431" s="2"/>
      <c r="CB431" s="2"/>
      <c r="CC431" s="2"/>
      <c r="CD431" s="2"/>
    </row>
    <row r="432" spans="1:82" ht="12.75">
      <c r="A432" s="1" t="s">
        <v>991</v>
      </c>
      <c r="B432" s="9" t="s">
        <v>128</v>
      </c>
      <c r="C432" s="12" t="s">
        <v>998</v>
      </c>
      <c r="D432" s="165" t="s">
        <v>999</v>
      </c>
      <c r="E432" s="14" t="s">
        <v>148</v>
      </c>
      <c r="F432" s="1"/>
      <c r="G432" s="13">
        <f>74+105304</f>
        <v>105378</v>
      </c>
      <c r="H432" s="13">
        <v>18100</v>
      </c>
      <c r="I432" s="15">
        <f>435+118370</f>
        <v>118805</v>
      </c>
      <c r="J432" s="15">
        <f t="shared" si="18"/>
        <v>242283</v>
      </c>
      <c r="K432" s="1"/>
      <c r="L432" s="1"/>
      <c r="M432" s="1"/>
      <c r="N432" s="16"/>
      <c r="O432" s="15">
        <f t="shared" si="19"/>
        <v>0</v>
      </c>
      <c r="P432" s="1"/>
      <c r="Q432" s="13">
        <v>4529</v>
      </c>
      <c r="R432" s="13">
        <v>2987</v>
      </c>
      <c r="S432" s="18">
        <v>6877</v>
      </c>
      <c r="T432" s="15">
        <f t="shared" si="20"/>
        <v>14393</v>
      </c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2"/>
      <c r="BC432" s="1"/>
      <c r="BD432" s="2"/>
      <c r="BE432" s="2"/>
      <c r="BF432" s="2"/>
      <c r="BG432" s="2"/>
      <c r="BH432" s="2"/>
      <c r="BI432" s="1"/>
      <c r="BJ432" s="1"/>
      <c r="BK432" s="2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2"/>
      <c r="BW432" s="2"/>
      <c r="BX432" s="2"/>
      <c r="BY432" s="2"/>
      <c r="BZ432" s="2"/>
      <c r="CA432" s="2"/>
      <c r="CB432" s="2"/>
      <c r="CC432" s="2"/>
      <c r="CD432" s="2"/>
    </row>
    <row r="433" spans="1:81" ht="12.75">
      <c r="A433" s="1" t="s">
        <v>991</v>
      </c>
      <c r="B433" s="9" t="s">
        <v>128</v>
      </c>
      <c r="C433" s="12" t="s">
        <v>1000</v>
      </c>
      <c r="D433" s="165" t="s">
        <v>1001</v>
      </c>
      <c r="E433" s="14" t="s">
        <v>157</v>
      </c>
      <c r="F433" s="1"/>
      <c r="G433" s="13">
        <v>42994</v>
      </c>
      <c r="H433" s="13">
        <v>9396</v>
      </c>
      <c r="I433" s="15">
        <v>45321</v>
      </c>
      <c r="J433" s="15">
        <f t="shared" si="18"/>
        <v>97711</v>
      </c>
      <c r="K433" s="1"/>
      <c r="L433" s="1"/>
      <c r="M433" s="1"/>
      <c r="N433" s="16"/>
      <c r="O433" s="15">
        <f t="shared" si="19"/>
        <v>0</v>
      </c>
      <c r="P433" s="1"/>
      <c r="Q433" s="13">
        <v>2058</v>
      </c>
      <c r="R433" s="13">
        <v>2799</v>
      </c>
      <c r="S433" s="18">
        <v>1714</v>
      </c>
      <c r="T433" s="15">
        <f t="shared" si="20"/>
        <v>6571</v>
      </c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2"/>
      <c r="BC433" s="1"/>
      <c r="BD433" s="1"/>
      <c r="BE433" s="2"/>
      <c r="BF433" s="1"/>
      <c r="BG433" s="2"/>
      <c r="BH433" s="1"/>
      <c r="BI433" s="1"/>
      <c r="BJ433" s="1"/>
      <c r="BK433" s="2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2"/>
      <c r="BX433" s="1"/>
      <c r="BY433" s="2"/>
      <c r="BZ433" s="1"/>
      <c r="CA433" s="2"/>
      <c r="CB433" s="1"/>
      <c r="CC433" s="2"/>
    </row>
    <row r="434" spans="1:82" ht="12.75">
      <c r="A434" s="1" t="s">
        <v>991</v>
      </c>
      <c r="B434" s="9" t="s">
        <v>128</v>
      </c>
      <c r="C434" s="12" t="s">
        <v>1002</v>
      </c>
      <c r="D434" s="165" t="s">
        <v>1003</v>
      </c>
      <c r="E434" s="14" t="s">
        <v>157</v>
      </c>
      <c r="F434" s="1"/>
      <c r="G434" s="13">
        <f>55323+504</f>
        <v>55827</v>
      </c>
      <c r="H434" s="13">
        <v>10973</v>
      </c>
      <c r="I434" s="15">
        <f>1873+56790</f>
        <v>58663</v>
      </c>
      <c r="J434" s="15">
        <f t="shared" si="18"/>
        <v>125463</v>
      </c>
      <c r="K434" s="1"/>
      <c r="L434" s="1"/>
      <c r="M434" s="1"/>
      <c r="N434" s="16"/>
      <c r="O434" s="15">
        <f t="shared" si="19"/>
        <v>0</v>
      </c>
      <c r="P434" s="1"/>
      <c r="Q434" s="13">
        <f>3131+180</f>
        <v>3311</v>
      </c>
      <c r="R434" s="13">
        <f>3015+135</f>
        <v>3150</v>
      </c>
      <c r="S434" s="18">
        <f>4425+223</f>
        <v>4648</v>
      </c>
      <c r="T434" s="15">
        <f t="shared" si="20"/>
        <v>11109</v>
      </c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2"/>
      <c r="BC434" s="1"/>
      <c r="BD434" s="2"/>
      <c r="BE434" s="2"/>
      <c r="BF434" s="2"/>
      <c r="BG434" s="2"/>
      <c r="BH434" s="2"/>
      <c r="BI434" s="1"/>
      <c r="BJ434" s="1"/>
      <c r="BK434" s="2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2"/>
      <c r="BW434" s="2"/>
      <c r="BX434" s="2"/>
      <c r="BY434" s="2"/>
      <c r="BZ434" s="2"/>
      <c r="CA434" s="2"/>
      <c r="CB434" s="2"/>
      <c r="CC434" s="2"/>
      <c r="CD434" s="2"/>
    </row>
    <row r="435" spans="1:82" ht="12.75">
      <c r="A435" s="1" t="s">
        <v>991</v>
      </c>
      <c r="B435" s="9" t="s">
        <v>128</v>
      </c>
      <c r="C435" s="12" t="s">
        <v>1004</v>
      </c>
      <c r="D435" s="165" t="s">
        <v>1005</v>
      </c>
      <c r="E435" s="14" t="s">
        <v>157</v>
      </c>
      <c r="F435" s="1"/>
      <c r="G435" s="13">
        <v>33912</v>
      </c>
      <c r="H435" s="13">
        <v>4258</v>
      </c>
      <c r="I435" s="15">
        <v>35058</v>
      </c>
      <c r="J435" s="15">
        <f t="shared" si="18"/>
        <v>73228</v>
      </c>
      <c r="K435" s="1"/>
      <c r="L435" s="1"/>
      <c r="M435" s="1"/>
      <c r="N435" s="16"/>
      <c r="O435" s="15">
        <f t="shared" si="19"/>
        <v>0</v>
      </c>
      <c r="P435" s="1"/>
      <c r="Q435" s="13">
        <v>10344</v>
      </c>
      <c r="R435" s="13">
        <v>10561</v>
      </c>
      <c r="S435" s="18">
        <v>8533</v>
      </c>
      <c r="T435" s="15">
        <f t="shared" si="20"/>
        <v>29438</v>
      </c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2"/>
      <c r="BC435" s="1"/>
      <c r="BD435" s="2"/>
      <c r="BE435" s="2"/>
      <c r="BF435" s="2"/>
      <c r="BG435" s="2"/>
      <c r="BH435" s="2"/>
      <c r="BI435" s="1"/>
      <c r="BJ435" s="1"/>
      <c r="BK435" s="2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2"/>
      <c r="BW435" s="2"/>
      <c r="BX435" s="2"/>
      <c r="BY435" s="2"/>
      <c r="BZ435" s="2"/>
      <c r="CA435" s="2"/>
      <c r="CB435" s="2"/>
      <c r="CC435" s="2"/>
      <c r="CD435" s="2"/>
    </row>
    <row r="436" spans="1:82" ht="12.75">
      <c r="A436" s="1" t="s">
        <v>991</v>
      </c>
      <c r="B436" s="9" t="s">
        <v>128</v>
      </c>
      <c r="C436" s="12" t="s">
        <v>1006</v>
      </c>
      <c r="D436" s="165" t="s">
        <v>1007</v>
      </c>
      <c r="E436" s="14" t="s">
        <v>166</v>
      </c>
      <c r="F436" s="1"/>
      <c r="G436" s="13">
        <f>179+47555</f>
        <v>47734</v>
      </c>
      <c r="H436" s="13">
        <f>44+4378</f>
        <v>4422</v>
      </c>
      <c r="I436" s="15">
        <f>603+52695</f>
        <v>53298</v>
      </c>
      <c r="J436" s="15">
        <f t="shared" si="18"/>
        <v>105454</v>
      </c>
      <c r="K436" s="1"/>
      <c r="L436" s="1"/>
      <c r="M436" s="1"/>
      <c r="N436" s="16"/>
      <c r="O436" s="15">
        <f t="shared" si="19"/>
        <v>0</v>
      </c>
      <c r="P436" s="1"/>
      <c r="Q436" s="13">
        <v>1062</v>
      </c>
      <c r="R436" s="13">
        <v>394</v>
      </c>
      <c r="S436" s="18">
        <v>954</v>
      </c>
      <c r="T436" s="15">
        <f t="shared" si="20"/>
        <v>2410</v>
      </c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2"/>
      <c r="BC436" s="1"/>
      <c r="BD436" s="2"/>
      <c r="BE436" s="2"/>
      <c r="BF436" s="2"/>
      <c r="BG436" s="2"/>
      <c r="BH436" s="2"/>
      <c r="BI436" s="1"/>
      <c r="BJ436" s="1"/>
      <c r="BK436" s="2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2"/>
      <c r="BW436" s="2"/>
      <c r="BX436" s="2"/>
      <c r="BY436" s="2"/>
      <c r="BZ436" s="2"/>
      <c r="CA436" s="2"/>
      <c r="CB436" s="2"/>
      <c r="CC436" s="2"/>
      <c r="CD436" s="2"/>
    </row>
    <row r="437" spans="1:81" ht="12.75">
      <c r="A437" s="1" t="s">
        <v>991</v>
      </c>
      <c r="B437" s="9" t="s">
        <v>128</v>
      </c>
      <c r="C437" s="12" t="s">
        <v>1008</v>
      </c>
      <c r="D437" s="165" t="s">
        <v>1009</v>
      </c>
      <c r="E437" s="14" t="s">
        <v>166</v>
      </c>
      <c r="F437" s="1"/>
      <c r="G437" s="13">
        <f>110+29005</f>
        <v>29115</v>
      </c>
      <c r="H437" s="13">
        <v>4618</v>
      </c>
      <c r="I437" s="15">
        <f>204+31332</f>
        <v>31536</v>
      </c>
      <c r="J437" s="15">
        <f t="shared" si="18"/>
        <v>65269</v>
      </c>
      <c r="K437" s="1"/>
      <c r="L437" s="1"/>
      <c r="M437" s="1"/>
      <c r="N437" s="16"/>
      <c r="O437" s="15">
        <f t="shared" si="19"/>
        <v>0</v>
      </c>
      <c r="P437" s="1"/>
      <c r="Q437" s="13">
        <v>843</v>
      </c>
      <c r="R437" s="13">
        <v>1399</v>
      </c>
      <c r="S437" s="18">
        <v>858</v>
      </c>
      <c r="T437" s="15">
        <f t="shared" si="20"/>
        <v>3100</v>
      </c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2"/>
      <c r="BC437" s="1"/>
      <c r="BD437" s="1"/>
      <c r="BE437" s="2"/>
      <c r="BF437" s="1"/>
      <c r="BG437" s="2"/>
      <c r="BH437" s="1"/>
      <c r="BI437" s="1"/>
      <c r="BJ437" s="1"/>
      <c r="BK437" s="2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2"/>
      <c r="BX437" s="1"/>
      <c r="BY437" s="2"/>
      <c r="BZ437" s="1"/>
      <c r="CA437" s="2"/>
      <c r="CB437" s="1"/>
      <c r="CC437" s="2"/>
    </row>
    <row r="438" spans="1:81" ht="12.75">
      <c r="A438" s="1" t="s">
        <v>991</v>
      </c>
      <c r="B438" s="9" t="s">
        <v>128</v>
      </c>
      <c r="C438" s="12" t="s">
        <v>1010</v>
      </c>
      <c r="D438" s="165" t="s">
        <v>1011</v>
      </c>
      <c r="E438" s="14" t="s">
        <v>166</v>
      </c>
      <c r="F438" s="1"/>
      <c r="G438" s="13">
        <f>616+29281</f>
        <v>29897</v>
      </c>
      <c r="H438" s="13">
        <f>388+6652</f>
        <v>7040</v>
      </c>
      <c r="I438" s="15">
        <f>1060+31777</f>
        <v>32837</v>
      </c>
      <c r="J438" s="15">
        <f t="shared" si="18"/>
        <v>69774</v>
      </c>
      <c r="K438" s="1"/>
      <c r="L438" s="1"/>
      <c r="M438" s="1"/>
      <c r="N438" s="15"/>
      <c r="O438" s="15">
        <f t="shared" si="19"/>
        <v>0</v>
      </c>
      <c r="P438" s="1"/>
      <c r="Q438" s="13">
        <v>75</v>
      </c>
      <c r="R438" s="13">
        <v>270</v>
      </c>
      <c r="S438" s="18">
        <v>135</v>
      </c>
      <c r="T438" s="15">
        <f t="shared" si="20"/>
        <v>480</v>
      </c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2"/>
      <c r="BC438" s="1"/>
      <c r="BD438" s="1"/>
      <c r="BE438" s="2"/>
      <c r="BF438" s="1"/>
      <c r="BG438" s="2"/>
      <c r="BH438" s="1"/>
      <c r="BI438" s="1"/>
      <c r="BJ438" s="1"/>
      <c r="BK438" s="2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2"/>
      <c r="BX438" s="1"/>
      <c r="BY438" s="2"/>
      <c r="BZ438" s="1"/>
      <c r="CA438" s="2"/>
      <c r="CB438" s="1"/>
      <c r="CC438" s="2"/>
    </row>
    <row r="439" spans="1:20" ht="12.75">
      <c r="A439" s="1" t="s">
        <v>991</v>
      </c>
      <c r="B439" s="9" t="s">
        <v>128</v>
      </c>
      <c r="C439" s="12" t="s">
        <v>1012</v>
      </c>
      <c r="D439" s="165" t="s">
        <v>1013</v>
      </c>
      <c r="E439" s="14" t="s">
        <v>166</v>
      </c>
      <c r="F439" s="1"/>
      <c r="G439" s="13">
        <f>279+34339</f>
        <v>34618</v>
      </c>
      <c r="H439" s="13">
        <f>221+7629</f>
        <v>7850</v>
      </c>
      <c r="I439" s="15">
        <f>752+36307</f>
        <v>37059</v>
      </c>
      <c r="J439" s="15">
        <f t="shared" si="18"/>
        <v>79527</v>
      </c>
      <c r="K439" s="1"/>
      <c r="L439" s="1"/>
      <c r="M439" s="1"/>
      <c r="N439" s="15"/>
      <c r="O439" s="15">
        <f t="shared" si="19"/>
        <v>0</v>
      </c>
      <c r="P439" s="1"/>
      <c r="Q439" s="13">
        <v>531</v>
      </c>
      <c r="R439" s="13">
        <v>900</v>
      </c>
      <c r="S439" s="18">
        <v>384</v>
      </c>
      <c r="T439" s="15">
        <f t="shared" si="20"/>
        <v>1815</v>
      </c>
    </row>
    <row r="440" spans="1:20" ht="12.75">
      <c r="A440" s="1" t="s">
        <v>991</v>
      </c>
      <c r="B440" s="9" t="s">
        <v>128</v>
      </c>
      <c r="C440" s="12" t="s">
        <v>1014</v>
      </c>
      <c r="D440" s="165" t="s">
        <v>1015</v>
      </c>
      <c r="E440" s="14" t="s">
        <v>170</v>
      </c>
      <c r="F440" s="1"/>
      <c r="G440" s="13">
        <v>19849</v>
      </c>
      <c r="H440" s="13">
        <v>8844</v>
      </c>
      <c r="I440" s="15">
        <v>21539</v>
      </c>
      <c r="J440" s="15">
        <f t="shared" si="18"/>
        <v>50232</v>
      </c>
      <c r="K440" s="1"/>
      <c r="L440" s="1"/>
      <c r="M440" s="1"/>
      <c r="N440" s="15"/>
      <c r="O440" s="15">
        <f t="shared" si="19"/>
        <v>0</v>
      </c>
      <c r="P440" s="1"/>
      <c r="Q440" s="1"/>
      <c r="R440" s="1"/>
      <c r="S440" s="18"/>
      <c r="T440" s="15">
        <f t="shared" si="20"/>
        <v>0</v>
      </c>
    </row>
    <row r="441" spans="1:20" ht="12.75">
      <c r="A441" s="1" t="s">
        <v>991</v>
      </c>
      <c r="B441" s="9" t="s">
        <v>128</v>
      </c>
      <c r="C441" s="12" t="s">
        <v>1016</v>
      </c>
      <c r="D441" s="165" t="s">
        <v>1017</v>
      </c>
      <c r="E441" s="14" t="s">
        <v>170</v>
      </c>
      <c r="F441" s="1"/>
      <c r="G441" s="13">
        <v>19228</v>
      </c>
      <c r="H441" s="13">
        <v>7500</v>
      </c>
      <c r="I441" s="15">
        <f>20539-6-42</f>
        <v>20491</v>
      </c>
      <c r="J441" s="15">
        <f t="shared" si="18"/>
        <v>47219</v>
      </c>
      <c r="K441" s="1"/>
      <c r="L441" s="1"/>
      <c r="M441" s="1"/>
      <c r="N441" s="15"/>
      <c r="O441" s="15">
        <f t="shared" si="19"/>
        <v>0</v>
      </c>
      <c r="P441" s="1"/>
      <c r="Q441" s="1"/>
      <c r="R441" s="1"/>
      <c r="S441" s="18"/>
      <c r="T441" s="15">
        <f t="shared" si="20"/>
        <v>0</v>
      </c>
    </row>
    <row r="442" spans="1:20" ht="12.75">
      <c r="A442" s="1" t="s">
        <v>991</v>
      </c>
      <c r="B442" s="9" t="s">
        <v>128</v>
      </c>
      <c r="C442" s="12" t="s">
        <v>1018</v>
      </c>
      <c r="D442" s="165" t="s">
        <v>1019</v>
      </c>
      <c r="E442" s="14" t="s">
        <v>170</v>
      </c>
      <c r="F442" s="1"/>
      <c r="G442" s="13">
        <v>7578</v>
      </c>
      <c r="H442" s="13">
        <v>4768</v>
      </c>
      <c r="I442" s="15">
        <f>8613-6</f>
        <v>8607</v>
      </c>
      <c r="J442" s="15">
        <f t="shared" si="18"/>
        <v>20953</v>
      </c>
      <c r="K442" s="1"/>
      <c r="L442" s="1"/>
      <c r="M442" s="1"/>
      <c r="N442" s="15"/>
      <c r="O442" s="15">
        <f t="shared" si="19"/>
        <v>0</v>
      </c>
      <c r="P442" s="1"/>
      <c r="Q442" s="1"/>
      <c r="R442" s="1"/>
      <c r="S442" s="18"/>
      <c r="T442" s="15">
        <f t="shared" si="20"/>
        <v>0</v>
      </c>
    </row>
    <row r="443" spans="1:20" ht="12.75">
      <c r="A443" s="1" t="s">
        <v>991</v>
      </c>
      <c r="B443" s="9" t="s">
        <v>128</v>
      </c>
      <c r="C443" s="12" t="s">
        <v>1020</v>
      </c>
      <c r="D443" s="165" t="s">
        <v>1021</v>
      </c>
      <c r="E443" s="14" t="s">
        <v>170</v>
      </c>
      <c r="F443" s="1"/>
      <c r="G443" s="13">
        <v>10662</v>
      </c>
      <c r="H443" s="13">
        <v>1916</v>
      </c>
      <c r="I443" s="15">
        <v>10197</v>
      </c>
      <c r="J443" s="15">
        <f t="shared" si="18"/>
        <v>22775</v>
      </c>
      <c r="K443" s="1"/>
      <c r="L443" s="1"/>
      <c r="M443" s="1"/>
      <c r="N443" s="15"/>
      <c r="O443" s="15">
        <f t="shared" si="19"/>
        <v>0</v>
      </c>
      <c r="P443" s="1"/>
      <c r="Q443" s="1"/>
      <c r="R443" s="1"/>
      <c r="S443" s="18"/>
      <c r="T443" s="15">
        <f t="shared" si="20"/>
        <v>0</v>
      </c>
    </row>
    <row r="444" spans="1:20" ht="12.75">
      <c r="A444" s="1" t="s">
        <v>991</v>
      </c>
      <c r="B444" s="9" t="s">
        <v>128</v>
      </c>
      <c r="C444" s="12" t="s">
        <v>1022</v>
      </c>
      <c r="D444" s="165" t="s">
        <v>1023</v>
      </c>
      <c r="E444" s="14" t="s">
        <v>170</v>
      </c>
      <c r="F444" s="1"/>
      <c r="G444" s="13">
        <v>29778</v>
      </c>
      <c r="H444" s="13">
        <v>13444</v>
      </c>
      <c r="I444" s="15">
        <v>30622</v>
      </c>
      <c r="J444" s="15">
        <f t="shared" si="18"/>
        <v>73844</v>
      </c>
      <c r="K444" s="1"/>
      <c r="L444" s="1"/>
      <c r="M444" s="1"/>
      <c r="N444" s="15"/>
      <c r="O444" s="15">
        <f t="shared" si="19"/>
        <v>0</v>
      </c>
      <c r="P444" s="1"/>
      <c r="Q444" s="1"/>
      <c r="R444" s="1"/>
      <c r="S444" s="18"/>
      <c r="T444" s="15">
        <f t="shared" si="20"/>
        <v>0</v>
      </c>
    </row>
    <row r="445" spans="1:20" ht="12.75">
      <c r="A445" s="1" t="s">
        <v>991</v>
      </c>
      <c r="B445" s="9" t="s">
        <v>128</v>
      </c>
      <c r="C445" s="12" t="s">
        <v>1024</v>
      </c>
      <c r="D445" s="165" t="s">
        <v>1025</v>
      </c>
      <c r="E445" s="14" t="s">
        <v>170</v>
      </c>
      <c r="F445" s="1"/>
      <c r="G445" s="13">
        <v>74241</v>
      </c>
      <c r="H445" s="13">
        <v>32559</v>
      </c>
      <c r="I445" s="15">
        <v>80936</v>
      </c>
      <c r="J445" s="15">
        <f t="shared" si="18"/>
        <v>187736</v>
      </c>
      <c r="K445" s="1"/>
      <c r="L445" s="1"/>
      <c r="M445" s="1"/>
      <c r="N445" s="15"/>
      <c r="O445" s="15">
        <f t="shared" si="19"/>
        <v>0</v>
      </c>
      <c r="P445" s="1"/>
      <c r="Q445" s="1"/>
      <c r="R445" s="1"/>
      <c r="S445" s="18"/>
      <c r="T445" s="15">
        <f t="shared" si="20"/>
        <v>0</v>
      </c>
    </row>
    <row r="446" spans="1:20" ht="12.75">
      <c r="A446" s="1" t="s">
        <v>991</v>
      </c>
      <c r="B446" s="9" t="s">
        <v>128</v>
      </c>
      <c r="C446" s="12" t="s">
        <v>1026</v>
      </c>
      <c r="D446" s="165" t="s">
        <v>1027</v>
      </c>
      <c r="E446" s="14" t="s">
        <v>170</v>
      </c>
      <c r="F446" s="1"/>
      <c r="G446" s="13">
        <v>27009</v>
      </c>
      <c r="H446" s="13">
        <v>8406</v>
      </c>
      <c r="I446" s="15">
        <v>32646</v>
      </c>
      <c r="J446" s="15">
        <f t="shared" si="18"/>
        <v>68061</v>
      </c>
      <c r="K446" s="1"/>
      <c r="L446" s="1"/>
      <c r="M446" s="1"/>
      <c r="N446" s="15"/>
      <c r="O446" s="15">
        <f t="shared" si="19"/>
        <v>0</v>
      </c>
      <c r="P446" s="1"/>
      <c r="Q446" s="1"/>
      <c r="R446" s="1"/>
      <c r="S446" s="18"/>
      <c r="T446" s="15">
        <f t="shared" si="20"/>
        <v>0</v>
      </c>
    </row>
    <row r="447" spans="1:20" ht="12.75">
      <c r="A447" s="1" t="s">
        <v>991</v>
      </c>
      <c r="B447" s="9" t="s">
        <v>128</v>
      </c>
      <c r="C447" s="12" t="s">
        <v>1028</v>
      </c>
      <c r="D447" s="165" t="s">
        <v>1029</v>
      </c>
      <c r="E447" s="14" t="s">
        <v>170</v>
      </c>
      <c r="F447" s="1"/>
      <c r="G447" s="13">
        <v>81324</v>
      </c>
      <c r="H447" s="13">
        <v>33070</v>
      </c>
      <c r="I447" s="15">
        <v>92098</v>
      </c>
      <c r="J447" s="15">
        <f t="shared" si="18"/>
        <v>206492</v>
      </c>
      <c r="K447" s="1"/>
      <c r="L447" s="1"/>
      <c r="M447" s="1"/>
      <c r="N447" s="15"/>
      <c r="O447" s="15">
        <f t="shared" si="19"/>
        <v>0</v>
      </c>
      <c r="P447" s="1"/>
      <c r="Q447" s="1"/>
      <c r="R447" s="1"/>
      <c r="S447" s="18"/>
      <c r="T447" s="15">
        <f t="shared" si="20"/>
        <v>0</v>
      </c>
    </row>
    <row r="448" spans="1:20" ht="12.75">
      <c r="A448" s="1" t="s">
        <v>991</v>
      </c>
      <c r="B448" s="9" t="s">
        <v>128</v>
      </c>
      <c r="C448" s="12" t="s">
        <v>1030</v>
      </c>
      <c r="D448" s="165" t="s">
        <v>1031</v>
      </c>
      <c r="E448" s="14" t="s">
        <v>170</v>
      </c>
      <c r="F448" s="1"/>
      <c r="G448" s="13">
        <v>19049</v>
      </c>
      <c r="H448" s="13">
        <v>9656</v>
      </c>
      <c r="I448" s="15">
        <v>19207</v>
      </c>
      <c r="J448" s="15">
        <f t="shared" si="18"/>
        <v>47912</v>
      </c>
      <c r="K448" s="1"/>
      <c r="L448" s="1"/>
      <c r="M448" s="1"/>
      <c r="N448" s="15"/>
      <c r="O448" s="15">
        <f t="shared" si="19"/>
        <v>0</v>
      </c>
      <c r="P448" s="1"/>
      <c r="Q448" s="1"/>
      <c r="R448" s="1"/>
      <c r="S448" s="18"/>
      <c r="T448" s="15">
        <f t="shared" si="20"/>
        <v>0</v>
      </c>
    </row>
    <row r="449" spans="1:20" ht="12.75">
      <c r="A449" s="1" t="s">
        <v>991</v>
      </c>
      <c r="B449" s="9" t="s">
        <v>128</v>
      </c>
      <c r="C449" s="12" t="s">
        <v>1032</v>
      </c>
      <c r="D449" s="165" t="s">
        <v>1033</v>
      </c>
      <c r="E449" s="14" t="s">
        <v>170</v>
      </c>
      <c r="F449" s="1"/>
      <c r="G449" s="13">
        <v>25356</v>
      </c>
      <c r="H449" s="13">
        <v>13568</v>
      </c>
      <c r="I449" s="15">
        <v>27253</v>
      </c>
      <c r="J449" s="15">
        <f t="shared" si="18"/>
        <v>66177</v>
      </c>
      <c r="K449" s="1"/>
      <c r="L449" s="1"/>
      <c r="M449" s="1"/>
      <c r="N449" s="15"/>
      <c r="O449" s="15">
        <f t="shared" si="19"/>
        <v>0</v>
      </c>
      <c r="P449" s="1"/>
      <c r="Q449" s="1"/>
      <c r="R449" s="1"/>
      <c r="S449" s="18"/>
      <c r="T449" s="15">
        <f t="shared" si="20"/>
        <v>0</v>
      </c>
    </row>
    <row r="450" spans="1:20" ht="12.75">
      <c r="A450" s="1" t="s">
        <v>991</v>
      </c>
      <c r="B450" s="9" t="s">
        <v>128</v>
      </c>
      <c r="C450" s="12" t="s">
        <v>1034</v>
      </c>
      <c r="D450" s="165" t="s">
        <v>1035</v>
      </c>
      <c r="E450" s="14" t="s">
        <v>170</v>
      </c>
      <c r="F450" s="1"/>
      <c r="G450" s="13">
        <v>23286</v>
      </c>
      <c r="H450" s="13">
        <v>9886</v>
      </c>
      <c r="I450" s="15">
        <v>25641</v>
      </c>
      <c r="J450" s="15">
        <f t="shared" si="18"/>
        <v>58813</v>
      </c>
      <c r="K450" s="1"/>
      <c r="L450" s="1"/>
      <c r="M450" s="1"/>
      <c r="N450" s="15"/>
      <c r="O450" s="15">
        <f t="shared" si="19"/>
        <v>0</v>
      </c>
      <c r="P450" s="1"/>
      <c r="Q450" s="1"/>
      <c r="R450" s="1"/>
      <c r="S450" s="18"/>
      <c r="T450" s="15">
        <f t="shared" si="20"/>
        <v>0</v>
      </c>
    </row>
    <row r="451" spans="1:20" ht="12.75">
      <c r="A451" s="1" t="s">
        <v>991</v>
      </c>
      <c r="B451" s="9" t="s">
        <v>128</v>
      </c>
      <c r="C451" s="12" t="s">
        <v>1036</v>
      </c>
      <c r="D451" s="165" t="s">
        <v>1037</v>
      </c>
      <c r="E451" s="14" t="s">
        <v>170</v>
      </c>
      <c r="F451" s="1"/>
      <c r="G451" s="13">
        <v>12337</v>
      </c>
      <c r="H451" s="13">
        <v>5752</v>
      </c>
      <c r="I451" s="15">
        <v>10964</v>
      </c>
      <c r="J451" s="15">
        <f t="shared" si="18"/>
        <v>29053</v>
      </c>
      <c r="K451" s="1"/>
      <c r="L451" s="1"/>
      <c r="M451" s="1"/>
      <c r="N451" s="15"/>
      <c r="O451" s="15">
        <f t="shared" si="19"/>
        <v>0</v>
      </c>
      <c r="P451" s="1"/>
      <c r="Q451" s="1"/>
      <c r="R451" s="1"/>
      <c r="S451" s="18"/>
      <c r="T451" s="15">
        <f t="shared" si="20"/>
        <v>0</v>
      </c>
    </row>
    <row r="452" spans="1:20" ht="12.75">
      <c r="A452" s="1" t="s">
        <v>991</v>
      </c>
      <c r="B452" s="9" t="s">
        <v>128</v>
      </c>
      <c r="C452" s="12" t="s">
        <v>1038</v>
      </c>
      <c r="D452" s="165" t="s">
        <v>1039</v>
      </c>
      <c r="E452" s="14" t="s">
        <v>170</v>
      </c>
      <c r="F452" s="1"/>
      <c r="G452" s="13">
        <v>27895</v>
      </c>
      <c r="H452" s="13">
        <v>10795</v>
      </c>
      <c r="I452" s="15">
        <v>30139</v>
      </c>
      <c r="J452" s="15">
        <f t="shared" si="18"/>
        <v>68829</v>
      </c>
      <c r="K452" s="1"/>
      <c r="L452" s="1"/>
      <c r="M452" s="1"/>
      <c r="N452" s="15"/>
      <c r="O452" s="15">
        <f t="shared" si="19"/>
        <v>0</v>
      </c>
      <c r="P452" s="1"/>
      <c r="Q452" s="1"/>
      <c r="R452" s="1"/>
      <c r="S452" s="18"/>
      <c r="T452" s="15">
        <f t="shared" si="20"/>
        <v>0</v>
      </c>
    </row>
    <row r="453" spans="1:20" ht="12.75">
      <c r="A453" s="1" t="s">
        <v>991</v>
      </c>
      <c r="B453" s="9" t="s">
        <v>128</v>
      </c>
      <c r="C453" s="12" t="s">
        <v>1040</v>
      </c>
      <c r="D453" s="165" t="s">
        <v>1041</v>
      </c>
      <c r="E453" s="14" t="s">
        <v>170</v>
      </c>
      <c r="F453" s="1"/>
      <c r="G453" s="13">
        <v>77081</v>
      </c>
      <c r="H453" s="13">
        <v>40488</v>
      </c>
      <c r="I453" s="15">
        <v>81250</v>
      </c>
      <c r="J453" s="15">
        <f t="shared" si="18"/>
        <v>198819</v>
      </c>
      <c r="K453" s="1"/>
      <c r="L453" s="1"/>
      <c r="M453" s="1"/>
      <c r="N453" s="15"/>
      <c r="O453" s="15">
        <f t="shared" si="19"/>
        <v>0</v>
      </c>
      <c r="P453" s="1"/>
      <c r="Q453" s="1"/>
      <c r="R453" s="1"/>
      <c r="S453" s="18"/>
      <c r="T453" s="15">
        <f t="shared" si="20"/>
        <v>0</v>
      </c>
    </row>
    <row r="454" spans="1:20" ht="12.75">
      <c r="A454" s="1" t="s">
        <v>991</v>
      </c>
      <c r="B454" s="9" t="s">
        <v>128</v>
      </c>
      <c r="C454" s="12" t="s">
        <v>1042</v>
      </c>
      <c r="D454" s="165" t="s">
        <v>1043</v>
      </c>
      <c r="E454" s="14" t="s">
        <v>170</v>
      </c>
      <c r="F454" s="1"/>
      <c r="G454" s="13">
        <f>168+7761</f>
        <v>7929</v>
      </c>
      <c r="H454" s="13">
        <f>84+2051</f>
        <v>2135</v>
      </c>
      <c r="I454" s="15">
        <f>314+7927</f>
        <v>8241</v>
      </c>
      <c r="J454" s="15">
        <f aca="true" t="shared" si="21" ref="J454:J517">SUM(F454:I454)</f>
        <v>18305</v>
      </c>
      <c r="K454" s="1"/>
      <c r="L454" s="1"/>
      <c r="M454" s="1"/>
      <c r="N454" s="15"/>
      <c r="O454" s="15">
        <f aca="true" t="shared" si="22" ref="O454:O517">SUM(K454:N454)</f>
        <v>0</v>
      </c>
      <c r="P454" s="1"/>
      <c r="Q454" s="1"/>
      <c r="R454" s="1"/>
      <c r="S454" s="18"/>
      <c r="T454" s="15">
        <f aca="true" t="shared" si="23" ref="T454:T517">SUM(P454:S454)</f>
        <v>0</v>
      </c>
    </row>
    <row r="455" spans="1:20" ht="12.75">
      <c r="A455" s="1" t="s">
        <v>991</v>
      </c>
      <c r="B455" s="9" t="s">
        <v>128</v>
      </c>
      <c r="C455" s="12" t="s">
        <v>1044</v>
      </c>
      <c r="D455" s="165" t="s">
        <v>1045</v>
      </c>
      <c r="E455" s="14" t="s">
        <v>170</v>
      </c>
      <c r="F455" s="1"/>
      <c r="G455" s="13">
        <f>113+8240</f>
        <v>8353</v>
      </c>
      <c r="H455" s="13">
        <v>1127</v>
      </c>
      <c r="I455" s="15">
        <f>288+8849</f>
        <v>9137</v>
      </c>
      <c r="J455" s="15">
        <f t="shared" si="21"/>
        <v>18617</v>
      </c>
      <c r="K455" s="1"/>
      <c r="L455" s="1"/>
      <c r="M455" s="1"/>
      <c r="N455" s="15"/>
      <c r="O455" s="15">
        <f t="shared" si="22"/>
        <v>0</v>
      </c>
      <c r="P455" s="1"/>
      <c r="Q455" s="1"/>
      <c r="R455" s="1"/>
      <c r="S455" s="18"/>
      <c r="T455" s="15">
        <f t="shared" si="23"/>
        <v>0</v>
      </c>
    </row>
    <row r="456" spans="1:20" ht="12.75">
      <c r="A456" s="1" t="s">
        <v>991</v>
      </c>
      <c r="B456" s="9" t="s">
        <v>128</v>
      </c>
      <c r="C456" s="12" t="s">
        <v>1046</v>
      </c>
      <c r="D456" s="165" t="s">
        <v>1047</v>
      </c>
      <c r="E456" s="14" t="s">
        <v>170</v>
      </c>
      <c r="F456" s="1"/>
      <c r="G456" s="13">
        <f>38+6798</f>
        <v>6836</v>
      </c>
      <c r="H456" s="13">
        <f>48+1401</f>
        <v>1449</v>
      </c>
      <c r="I456" s="15">
        <f>243+7164</f>
        <v>7407</v>
      </c>
      <c r="J456" s="15">
        <f t="shared" si="21"/>
        <v>15692</v>
      </c>
      <c r="K456" s="1"/>
      <c r="L456" s="1"/>
      <c r="M456" s="1"/>
      <c r="N456" s="15"/>
      <c r="O456" s="15">
        <f t="shared" si="22"/>
        <v>0</v>
      </c>
      <c r="P456" s="1"/>
      <c r="Q456" s="1"/>
      <c r="R456" s="1"/>
      <c r="S456" s="18"/>
      <c r="T456" s="15">
        <f t="shared" si="23"/>
        <v>0</v>
      </c>
    </row>
    <row r="457" spans="1:20" ht="12.75">
      <c r="A457" s="1" t="s">
        <v>991</v>
      </c>
      <c r="B457" s="9" t="s">
        <v>128</v>
      </c>
      <c r="C457" s="12" t="s">
        <v>1048</v>
      </c>
      <c r="D457" s="165" t="s">
        <v>1049</v>
      </c>
      <c r="E457" s="14" t="s">
        <v>170</v>
      </c>
      <c r="F457" s="1"/>
      <c r="G457" s="13">
        <f>333+12233</f>
        <v>12566</v>
      </c>
      <c r="H457" s="13">
        <f>54+3372</f>
        <v>3426</v>
      </c>
      <c r="I457" s="15">
        <f>558+11900</f>
        <v>12458</v>
      </c>
      <c r="J457" s="15">
        <f t="shared" si="21"/>
        <v>28450</v>
      </c>
      <c r="K457" s="1"/>
      <c r="L457" s="1"/>
      <c r="M457" s="1"/>
      <c r="N457" s="15"/>
      <c r="O457" s="15">
        <f t="shared" si="22"/>
        <v>0</v>
      </c>
      <c r="P457" s="1"/>
      <c r="Q457" s="1"/>
      <c r="R457" s="1"/>
      <c r="S457" s="18"/>
      <c r="T457" s="15">
        <f t="shared" si="23"/>
        <v>0</v>
      </c>
    </row>
    <row r="458" spans="1:20" ht="12.75">
      <c r="A458" s="1" t="s">
        <v>991</v>
      </c>
      <c r="B458" s="9" t="s">
        <v>128</v>
      </c>
      <c r="C458" s="12" t="s">
        <v>1050</v>
      </c>
      <c r="D458" s="165" t="s">
        <v>1051</v>
      </c>
      <c r="E458" s="14" t="s">
        <v>170</v>
      </c>
      <c r="F458" s="1"/>
      <c r="G458" s="13">
        <f>33+2734</f>
        <v>2767</v>
      </c>
      <c r="H458" s="13">
        <v>401</v>
      </c>
      <c r="I458" s="15">
        <f>78+2661</f>
        <v>2739</v>
      </c>
      <c r="J458" s="15">
        <f t="shared" si="21"/>
        <v>5907</v>
      </c>
      <c r="K458" s="1"/>
      <c r="L458" s="1"/>
      <c r="M458" s="1"/>
      <c r="N458" s="15"/>
      <c r="O458" s="15">
        <f t="shared" si="22"/>
        <v>0</v>
      </c>
      <c r="P458" s="1"/>
      <c r="Q458" s="1"/>
      <c r="R458" s="1"/>
      <c r="S458" s="18"/>
      <c r="T458" s="15">
        <f t="shared" si="23"/>
        <v>0</v>
      </c>
    </row>
    <row r="459" spans="1:20" ht="12.75">
      <c r="A459" s="1" t="s">
        <v>991</v>
      </c>
      <c r="B459" s="9" t="s">
        <v>128</v>
      </c>
      <c r="C459" s="12" t="s">
        <v>1052</v>
      </c>
      <c r="D459" s="165" t="s">
        <v>1053</v>
      </c>
      <c r="E459" s="14" t="s">
        <v>170</v>
      </c>
      <c r="F459" s="1"/>
      <c r="G459" s="13">
        <v>5189</v>
      </c>
      <c r="H459" s="13">
        <v>4608</v>
      </c>
      <c r="I459" s="15">
        <v>5249</v>
      </c>
      <c r="J459" s="15">
        <f t="shared" si="21"/>
        <v>15046</v>
      </c>
      <c r="K459" s="1"/>
      <c r="L459" s="1"/>
      <c r="M459" s="1"/>
      <c r="N459" s="15"/>
      <c r="O459" s="15">
        <f t="shared" si="22"/>
        <v>0</v>
      </c>
      <c r="P459" s="1"/>
      <c r="Q459" s="1"/>
      <c r="R459" s="1"/>
      <c r="S459" s="18"/>
      <c r="T459" s="15">
        <f t="shared" si="23"/>
        <v>0</v>
      </c>
    </row>
    <row r="460" spans="1:20" ht="12.75">
      <c r="A460" s="1" t="s">
        <v>991</v>
      </c>
      <c r="B460" s="9" t="s">
        <v>128</v>
      </c>
      <c r="C460" s="12" t="s">
        <v>1054</v>
      </c>
      <c r="D460" s="165" t="s">
        <v>1055</v>
      </c>
      <c r="E460" s="14" t="s">
        <v>170</v>
      </c>
      <c r="F460" s="1"/>
      <c r="G460" s="13">
        <v>30254</v>
      </c>
      <c r="H460" s="13">
        <v>11036</v>
      </c>
      <c r="I460" s="15">
        <v>32558</v>
      </c>
      <c r="J460" s="15">
        <f t="shared" si="21"/>
        <v>73848</v>
      </c>
      <c r="K460" s="1"/>
      <c r="L460" s="1"/>
      <c r="M460" s="1"/>
      <c r="N460" s="15"/>
      <c r="O460" s="15">
        <f t="shared" si="22"/>
        <v>0</v>
      </c>
      <c r="P460" s="1"/>
      <c r="Q460" s="1"/>
      <c r="R460" s="1"/>
      <c r="S460" s="18"/>
      <c r="T460" s="15">
        <f t="shared" si="23"/>
        <v>0</v>
      </c>
    </row>
    <row r="461" spans="1:20" ht="12.75">
      <c r="A461" s="1" t="s">
        <v>991</v>
      </c>
      <c r="B461" s="9" t="s">
        <v>128</v>
      </c>
      <c r="C461" s="12" t="s">
        <v>1056</v>
      </c>
      <c r="D461" s="165" t="s">
        <v>1057</v>
      </c>
      <c r="E461" s="14" t="s">
        <v>305</v>
      </c>
      <c r="F461" s="1"/>
      <c r="G461" s="13">
        <v>17705</v>
      </c>
      <c r="H461" s="13">
        <v>4429</v>
      </c>
      <c r="I461" s="15">
        <v>12995</v>
      </c>
      <c r="J461" s="15">
        <f t="shared" si="21"/>
        <v>35129</v>
      </c>
      <c r="K461" s="1"/>
      <c r="L461" s="1"/>
      <c r="M461" s="1"/>
      <c r="N461" s="15"/>
      <c r="O461" s="15">
        <f t="shared" si="22"/>
        <v>0</v>
      </c>
      <c r="P461" s="1"/>
      <c r="Q461" s="13">
        <f>3656+2186</f>
        <v>5842</v>
      </c>
      <c r="R461" s="13">
        <f>3341+2131</f>
        <v>5472</v>
      </c>
      <c r="S461" s="18">
        <f>3924+2491</f>
        <v>6415</v>
      </c>
      <c r="T461" s="15">
        <f t="shared" si="23"/>
        <v>17729</v>
      </c>
    </row>
    <row r="462" spans="1:20" ht="12.75">
      <c r="A462" s="1" t="s">
        <v>1058</v>
      </c>
      <c r="B462" s="9" t="s">
        <v>128</v>
      </c>
      <c r="C462" s="12" t="s">
        <v>1059</v>
      </c>
      <c r="D462" s="165" t="s">
        <v>1060</v>
      </c>
      <c r="E462" s="20" t="s">
        <v>131</v>
      </c>
      <c r="F462" s="1"/>
      <c r="G462" s="13">
        <v>223954</v>
      </c>
      <c r="H462" s="13">
        <v>43855</v>
      </c>
      <c r="I462" s="18">
        <v>246255</v>
      </c>
      <c r="J462" s="15">
        <f t="shared" si="21"/>
        <v>514064</v>
      </c>
      <c r="K462" s="1"/>
      <c r="L462" s="1"/>
      <c r="M462" s="1"/>
      <c r="N462" s="18"/>
      <c r="O462" s="15">
        <f t="shared" si="22"/>
        <v>0</v>
      </c>
      <c r="P462" s="1"/>
      <c r="Q462" s="13">
        <f>46294+6544</f>
        <v>52838</v>
      </c>
      <c r="R462" s="13">
        <f>24811+483</f>
        <v>25294</v>
      </c>
      <c r="S462" s="18">
        <f>47863+7086</f>
        <v>54949</v>
      </c>
      <c r="T462" s="15">
        <f t="shared" si="23"/>
        <v>133081</v>
      </c>
    </row>
    <row r="463" spans="1:20" ht="12.75">
      <c r="A463" s="1" t="s">
        <v>1058</v>
      </c>
      <c r="B463" s="9" t="s">
        <v>128</v>
      </c>
      <c r="C463" s="12" t="s">
        <v>1061</v>
      </c>
      <c r="D463" s="165" t="s">
        <v>1062</v>
      </c>
      <c r="E463" s="20" t="s">
        <v>136</v>
      </c>
      <c r="F463" s="1"/>
      <c r="G463" s="13">
        <v>167597</v>
      </c>
      <c r="H463" s="13">
        <v>46102</v>
      </c>
      <c r="I463" s="18">
        <v>184126</v>
      </c>
      <c r="J463" s="15">
        <f t="shared" si="21"/>
        <v>397825</v>
      </c>
      <c r="K463" s="1"/>
      <c r="L463" s="1"/>
      <c r="M463" s="1"/>
      <c r="N463" s="18"/>
      <c r="O463" s="15">
        <f t="shared" si="22"/>
        <v>0</v>
      </c>
      <c r="P463" s="1"/>
      <c r="Q463" s="13">
        <f>29479+6245</f>
        <v>35724</v>
      </c>
      <c r="R463" s="13">
        <f>14945+522</f>
        <v>15467</v>
      </c>
      <c r="S463" s="18">
        <f>32136+6498</f>
        <v>38634</v>
      </c>
      <c r="T463" s="15">
        <f t="shared" si="23"/>
        <v>89825</v>
      </c>
    </row>
    <row r="464" spans="1:20" ht="12.75">
      <c r="A464" s="1" t="s">
        <v>1058</v>
      </c>
      <c r="B464" s="9" t="s">
        <v>128</v>
      </c>
      <c r="C464" s="12" t="s">
        <v>1063</v>
      </c>
      <c r="D464" s="165" t="s">
        <v>1064</v>
      </c>
      <c r="E464" s="20" t="s">
        <v>139</v>
      </c>
      <c r="F464" s="1"/>
      <c r="G464" s="13">
        <v>110231</v>
      </c>
      <c r="H464" s="13">
        <v>23447</v>
      </c>
      <c r="I464" s="18">
        <v>120851</v>
      </c>
      <c r="J464" s="15">
        <f t="shared" si="21"/>
        <v>254529</v>
      </c>
      <c r="K464" s="1"/>
      <c r="L464" s="1"/>
      <c r="M464" s="1"/>
      <c r="N464" s="18"/>
      <c r="O464" s="15">
        <f t="shared" si="22"/>
        <v>0</v>
      </c>
      <c r="P464" s="1"/>
      <c r="Q464" s="13">
        <v>11332</v>
      </c>
      <c r="R464" s="13">
        <v>7100</v>
      </c>
      <c r="S464" s="18">
        <v>12585</v>
      </c>
      <c r="T464" s="15">
        <f t="shared" si="23"/>
        <v>31017</v>
      </c>
    </row>
    <row r="465" spans="1:20" ht="12.75">
      <c r="A465" s="1" t="s">
        <v>1058</v>
      </c>
      <c r="B465" s="9" t="s">
        <v>128</v>
      </c>
      <c r="C465" s="12" t="s">
        <v>1065</v>
      </c>
      <c r="D465" s="165" t="s">
        <v>1066</v>
      </c>
      <c r="E465" s="20" t="s">
        <v>139</v>
      </c>
      <c r="F465" s="1"/>
      <c r="G465" s="13">
        <v>182506</v>
      </c>
      <c r="H465" s="13">
        <v>39885</v>
      </c>
      <c r="I465" s="18">
        <v>201675</v>
      </c>
      <c r="J465" s="15">
        <f t="shared" si="21"/>
        <v>424066</v>
      </c>
      <c r="K465" s="1"/>
      <c r="L465" s="1"/>
      <c r="M465" s="1"/>
      <c r="N465" s="18"/>
      <c r="O465" s="15">
        <f t="shared" si="22"/>
        <v>0</v>
      </c>
      <c r="P465" s="1"/>
      <c r="Q465" s="13">
        <v>12267</v>
      </c>
      <c r="R465" s="13">
        <v>8406</v>
      </c>
      <c r="S465" s="18">
        <v>12711</v>
      </c>
      <c r="T465" s="15">
        <f t="shared" si="23"/>
        <v>33384</v>
      </c>
    </row>
    <row r="466" spans="1:20" ht="12.75">
      <c r="A466" s="1" t="s">
        <v>1058</v>
      </c>
      <c r="B466" s="9" t="s">
        <v>128</v>
      </c>
      <c r="C466" s="12" t="s">
        <v>1067</v>
      </c>
      <c r="D466" s="165" t="s">
        <v>1068</v>
      </c>
      <c r="E466" s="20" t="s">
        <v>139</v>
      </c>
      <c r="F466" s="1"/>
      <c r="G466" s="13">
        <v>80355</v>
      </c>
      <c r="H466" s="13">
        <v>14814</v>
      </c>
      <c r="I466" s="18">
        <v>90325</v>
      </c>
      <c r="J466" s="15">
        <f t="shared" si="21"/>
        <v>185494</v>
      </c>
      <c r="K466" s="1"/>
      <c r="L466" s="1"/>
      <c r="M466" s="1"/>
      <c r="N466" s="18"/>
      <c r="O466" s="15">
        <f t="shared" si="22"/>
        <v>0</v>
      </c>
      <c r="P466" s="1"/>
      <c r="Q466" s="13">
        <v>8764</v>
      </c>
      <c r="R466" s="13">
        <v>5110</v>
      </c>
      <c r="S466" s="18">
        <v>9187</v>
      </c>
      <c r="T466" s="15">
        <f t="shared" si="23"/>
        <v>23061</v>
      </c>
    </row>
    <row r="467" spans="1:20" ht="12.75">
      <c r="A467" s="1" t="s">
        <v>1058</v>
      </c>
      <c r="B467" s="9" t="s">
        <v>128</v>
      </c>
      <c r="C467" s="12" t="s">
        <v>1069</v>
      </c>
      <c r="D467" s="165" t="s">
        <v>1070</v>
      </c>
      <c r="E467" s="20" t="s">
        <v>148</v>
      </c>
      <c r="F467" s="1"/>
      <c r="G467" s="13">
        <v>70059</v>
      </c>
      <c r="H467" s="13">
        <v>21107</v>
      </c>
      <c r="I467" s="18">
        <v>81871</v>
      </c>
      <c r="J467" s="15">
        <f t="shared" si="21"/>
        <v>173037</v>
      </c>
      <c r="K467" s="1"/>
      <c r="L467" s="1"/>
      <c r="M467" s="1"/>
      <c r="N467" s="18"/>
      <c r="O467" s="15">
        <f t="shared" si="22"/>
        <v>0</v>
      </c>
      <c r="P467" s="1"/>
      <c r="Q467" s="13">
        <v>3542</v>
      </c>
      <c r="R467" s="13">
        <v>2039</v>
      </c>
      <c r="S467" s="18">
        <v>3656</v>
      </c>
      <c r="T467" s="15">
        <f t="shared" si="23"/>
        <v>9237</v>
      </c>
    </row>
    <row r="468" spans="1:20" ht="12.75">
      <c r="A468" s="1" t="s">
        <v>1058</v>
      </c>
      <c r="B468" s="9" t="s">
        <v>128</v>
      </c>
      <c r="C468" s="12" t="s">
        <v>1071</v>
      </c>
      <c r="D468" s="165" t="s">
        <v>1072</v>
      </c>
      <c r="E468" s="20" t="s">
        <v>148</v>
      </c>
      <c r="F468" s="1"/>
      <c r="G468" s="13">
        <v>93825</v>
      </c>
      <c r="H468" s="13">
        <v>13969</v>
      </c>
      <c r="I468" s="18">
        <v>101338</v>
      </c>
      <c r="J468" s="15">
        <f t="shared" si="21"/>
        <v>209132</v>
      </c>
      <c r="K468" s="1"/>
      <c r="L468" s="1"/>
      <c r="M468" s="1"/>
      <c r="N468" s="18"/>
      <c r="O468" s="15">
        <f t="shared" si="22"/>
        <v>0</v>
      </c>
      <c r="P468" s="1"/>
      <c r="Q468" s="13">
        <v>6380</v>
      </c>
      <c r="R468" s="13">
        <v>4341</v>
      </c>
      <c r="S468" s="18">
        <v>6571</v>
      </c>
      <c r="T468" s="15">
        <f t="shared" si="23"/>
        <v>17292</v>
      </c>
    </row>
    <row r="469" spans="1:20" ht="12.75">
      <c r="A469" s="1" t="s">
        <v>1058</v>
      </c>
      <c r="B469" s="9" t="s">
        <v>128</v>
      </c>
      <c r="C469" s="12" t="s">
        <v>1073</v>
      </c>
      <c r="D469" s="165" t="s">
        <v>1074</v>
      </c>
      <c r="E469" s="20" t="s">
        <v>148</v>
      </c>
      <c r="F469" s="1"/>
      <c r="G469" s="13">
        <v>80769</v>
      </c>
      <c r="H469" s="13">
        <v>19753</v>
      </c>
      <c r="I469" s="18">
        <v>88724</v>
      </c>
      <c r="J469" s="15">
        <f t="shared" si="21"/>
        <v>189246</v>
      </c>
      <c r="K469" s="1"/>
      <c r="L469" s="1"/>
      <c r="M469" s="1"/>
      <c r="N469" s="18"/>
      <c r="O469" s="15">
        <f t="shared" si="22"/>
        <v>0</v>
      </c>
      <c r="P469" s="1"/>
      <c r="Q469" s="13">
        <v>6575</v>
      </c>
      <c r="R469" s="13">
        <v>4755</v>
      </c>
      <c r="S469" s="18">
        <v>7500</v>
      </c>
      <c r="T469" s="15">
        <f t="shared" si="23"/>
        <v>18830</v>
      </c>
    </row>
    <row r="470" spans="1:20" ht="12.75">
      <c r="A470" s="1" t="s">
        <v>1058</v>
      </c>
      <c r="B470" s="9" t="s">
        <v>128</v>
      </c>
      <c r="C470" s="12" t="s">
        <v>1075</v>
      </c>
      <c r="D470" s="165" t="s">
        <v>1076</v>
      </c>
      <c r="E470" s="20" t="s">
        <v>157</v>
      </c>
      <c r="F470" s="1"/>
      <c r="G470" s="13">
        <v>69661</v>
      </c>
      <c r="H470" s="13">
        <v>11691</v>
      </c>
      <c r="I470" s="18">
        <v>80384</v>
      </c>
      <c r="J470" s="15">
        <f t="shared" si="21"/>
        <v>161736</v>
      </c>
      <c r="K470" s="1"/>
      <c r="L470" s="1"/>
      <c r="M470" s="1"/>
      <c r="N470" s="18"/>
      <c r="O470" s="15">
        <f t="shared" si="22"/>
        <v>0</v>
      </c>
      <c r="P470" s="1"/>
      <c r="Q470" s="13">
        <v>1438</v>
      </c>
      <c r="R470" s="13">
        <v>1951</v>
      </c>
      <c r="S470" s="18">
        <v>1662</v>
      </c>
      <c r="T470" s="15">
        <f t="shared" si="23"/>
        <v>5051</v>
      </c>
    </row>
    <row r="471" spans="1:20" ht="12.75">
      <c r="A471" s="1" t="s">
        <v>1058</v>
      </c>
      <c r="B471" s="9" t="s">
        <v>128</v>
      </c>
      <c r="C471" s="12" t="s">
        <v>1077</v>
      </c>
      <c r="D471" s="165" t="s">
        <v>1078</v>
      </c>
      <c r="E471" s="20" t="s">
        <v>170</v>
      </c>
      <c r="F471" s="1"/>
      <c r="G471" s="13">
        <v>66668</v>
      </c>
      <c r="H471" s="13">
        <v>11047</v>
      </c>
      <c r="I471" s="18">
        <v>74731</v>
      </c>
      <c r="J471" s="15">
        <f t="shared" si="21"/>
        <v>152446</v>
      </c>
      <c r="K471" s="1"/>
      <c r="L471" s="1"/>
      <c r="M471" s="1"/>
      <c r="N471" s="18"/>
      <c r="O471" s="15">
        <f t="shared" si="22"/>
        <v>0</v>
      </c>
      <c r="P471" s="1"/>
      <c r="Q471" s="1"/>
      <c r="R471" s="1"/>
      <c r="S471" s="18"/>
      <c r="T471" s="15">
        <f t="shared" si="23"/>
        <v>0</v>
      </c>
    </row>
    <row r="472" spans="1:20" ht="12.75">
      <c r="A472" s="1" t="s">
        <v>1058</v>
      </c>
      <c r="B472" s="9" t="s">
        <v>128</v>
      </c>
      <c r="C472" s="12" t="s">
        <v>1079</v>
      </c>
      <c r="D472" s="165" t="s">
        <v>1080</v>
      </c>
      <c r="E472" s="20" t="s">
        <v>170</v>
      </c>
      <c r="F472" s="1"/>
      <c r="G472" s="13">
        <v>25618</v>
      </c>
      <c r="H472" s="13">
        <v>4799</v>
      </c>
      <c r="I472" s="18">
        <v>33067</v>
      </c>
      <c r="J472" s="15">
        <f t="shared" si="21"/>
        <v>63484</v>
      </c>
      <c r="K472" s="1"/>
      <c r="L472" s="1"/>
      <c r="M472" s="1"/>
      <c r="N472" s="18"/>
      <c r="O472" s="15">
        <f t="shared" si="22"/>
        <v>0</v>
      </c>
      <c r="P472" s="1"/>
      <c r="Q472" s="1"/>
      <c r="R472" s="1"/>
      <c r="S472" s="18"/>
      <c r="T472" s="15">
        <f t="shared" si="23"/>
        <v>0</v>
      </c>
    </row>
    <row r="473" spans="1:20" ht="12.75">
      <c r="A473" s="1" t="s">
        <v>1058</v>
      </c>
      <c r="B473" s="9" t="s">
        <v>128</v>
      </c>
      <c r="C473" s="12" t="s">
        <v>1081</v>
      </c>
      <c r="D473" s="165" t="s">
        <v>1082</v>
      </c>
      <c r="E473" s="20" t="s">
        <v>170</v>
      </c>
      <c r="F473" s="1"/>
      <c r="G473" s="13">
        <v>30452</v>
      </c>
      <c r="H473" s="13">
        <v>5205</v>
      </c>
      <c r="I473" s="18">
        <v>37515</v>
      </c>
      <c r="J473" s="15">
        <f t="shared" si="21"/>
        <v>73172</v>
      </c>
      <c r="K473" s="1"/>
      <c r="L473" s="1"/>
      <c r="M473" s="1"/>
      <c r="N473" s="18"/>
      <c r="O473" s="15">
        <f t="shared" si="22"/>
        <v>0</v>
      </c>
      <c r="P473" s="1"/>
      <c r="Q473" s="1"/>
      <c r="R473" s="1"/>
      <c r="S473" s="18"/>
      <c r="T473" s="15">
        <f t="shared" si="23"/>
        <v>0</v>
      </c>
    </row>
    <row r="474" spans="1:20" ht="12.75">
      <c r="A474" s="1" t="s">
        <v>1058</v>
      </c>
      <c r="B474" s="9" t="s">
        <v>128</v>
      </c>
      <c r="C474" s="12" t="s">
        <v>1083</v>
      </c>
      <c r="D474" s="165" t="s">
        <v>1084</v>
      </c>
      <c r="E474" s="20" t="s">
        <v>170</v>
      </c>
      <c r="F474" s="1"/>
      <c r="G474" s="13">
        <v>18633</v>
      </c>
      <c r="H474" s="13">
        <v>2100</v>
      </c>
      <c r="I474" s="18">
        <v>20591</v>
      </c>
      <c r="J474" s="15">
        <f t="shared" si="21"/>
        <v>41324</v>
      </c>
      <c r="K474" s="1"/>
      <c r="L474" s="1"/>
      <c r="M474" s="1"/>
      <c r="N474" s="18"/>
      <c r="O474" s="15">
        <f t="shared" si="22"/>
        <v>0</v>
      </c>
      <c r="P474" s="1"/>
      <c r="Q474" s="1"/>
      <c r="R474" s="1"/>
      <c r="S474" s="18"/>
      <c r="T474" s="15">
        <f t="shared" si="23"/>
        <v>0</v>
      </c>
    </row>
    <row r="475" spans="1:20" ht="12.75">
      <c r="A475" s="1" t="s">
        <v>1058</v>
      </c>
      <c r="B475" s="9" t="s">
        <v>128</v>
      </c>
      <c r="C475" s="12" t="s">
        <v>1085</v>
      </c>
      <c r="D475" s="165" t="s">
        <v>1086</v>
      </c>
      <c r="E475" s="20" t="s">
        <v>170</v>
      </c>
      <c r="F475" s="1"/>
      <c r="G475" s="13">
        <v>27866</v>
      </c>
      <c r="H475" s="13">
        <v>7531</v>
      </c>
      <c r="I475" s="18">
        <v>32328</v>
      </c>
      <c r="J475" s="15">
        <f t="shared" si="21"/>
        <v>67725</v>
      </c>
      <c r="K475" s="1"/>
      <c r="L475" s="1"/>
      <c r="M475" s="1"/>
      <c r="N475" s="18"/>
      <c r="O475" s="15">
        <f t="shared" si="22"/>
        <v>0</v>
      </c>
      <c r="P475" s="1"/>
      <c r="Q475" s="1"/>
      <c r="R475" s="1"/>
      <c r="S475" s="18"/>
      <c r="T475" s="15">
        <f t="shared" si="23"/>
        <v>0</v>
      </c>
    </row>
    <row r="476" spans="1:20" ht="12.75">
      <c r="A476" s="1" t="s">
        <v>1058</v>
      </c>
      <c r="B476" s="9" t="s">
        <v>128</v>
      </c>
      <c r="C476" s="12" t="s">
        <v>1087</v>
      </c>
      <c r="D476" s="165" t="s">
        <v>1088</v>
      </c>
      <c r="E476" s="20" t="s">
        <v>170</v>
      </c>
      <c r="F476" s="1"/>
      <c r="G476" s="13">
        <v>29053</v>
      </c>
      <c r="H476" s="13">
        <v>3972</v>
      </c>
      <c r="I476" s="18">
        <v>31160</v>
      </c>
      <c r="J476" s="15">
        <f t="shared" si="21"/>
        <v>64185</v>
      </c>
      <c r="K476" s="1"/>
      <c r="L476" s="1"/>
      <c r="M476" s="1"/>
      <c r="N476" s="18"/>
      <c r="O476" s="15">
        <f t="shared" si="22"/>
        <v>0</v>
      </c>
      <c r="P476" s="1"/>
      <c r="Q476" s="1"/>
      <c r="R476" s="1"/>
      <c r="S476" s="18"/>
      <c r="T476" s="15">
        <f t="shared" si="23"/>
        <v>0</v>
      </c>
    </row>
    <row r="477" spans="1:20" ht="12.75">
      <c r="A477" s="1" t="s">
        <v>1058</v>
      </c>
      <c r="B477" s="9" t="s">
        <v>128</v>
      </c>
      <c r="C477" s="12" t="s">
        <v>1089</v>
      </c>
      <c r="D477" s="165" t="s">
        <v>1090</v>
      </c>
      <c r="E477" s="20" t="s">
        <v>170</v>
      </c>
      <c r="F477" s="1"/>
      <c r="G477" s="13">
        <v>40109</v>
      </c>
      <c r="H477" s="13">
        <v>10492</v>
      </c>
      <c r="I477" s="18">
        <v>41670</v>
      </c>
      <c r="J477" s="15">
        <f t="shared" si="21"/>
        <v>92271</v>
      </c>
      <c r="K477" s="1"/>
      <c r="L477" s="1"/>
      <c r="M477" s="1"/>
      <c r="N477" s="18"/>
      <c r="O477" s="15">
        <f t="shared" si="22"/>
        <v>0</v>
      </c>
      <c r="P477" s="1"/>
      <c r="Q477" s="1"/>
      <c r="R477" s="1"/>
      <c r="S477" s="18"/>
      <c r="T477" s="15">
        <f t="shared" si="23"/>
        <v>0</v>
      </c>
    </row>
    <row r="478" spans="1:20" ht="12.75">
      <c r="A478" s="1" t="s">
        <v>1058</v>
      </c>
      <c r="B478" s="9" t="s">
        <v>128</v>
      </c>
      <c r="C478" s="12" t="s">
        <v>1091</v>
      </c>
      <c r="D478" s="165" t="s">
        <v>1092</v>
      </c>
      <c r="E478" s="20" t="s">
        <v>170</v>
      </c>
      <c r="F478" s="1"/>
      <c r="G478" s="13">
        <v>31717</v>
      </c>
      <c r="H478" s="13">
        <v>5833</v>
      </c>
      <c r="I478" s="18">
        <v>34713</v>
      </c>
      <c r="J478" s="15">
        <f t="shared" si="21"/>
        <v>72263</v>
      </c>
      <c r="K478" s="1"/>
      <c r="L478" s="1"/>
      <c r="M478" s="1"/>
      <c r="N478" s="18"/>
      <c r="O478" s="15">
        <f t="shared" si="22"/>
        <v>0</v>
      </c>
      <c r="P478" s="1"/>
      <c r="Q478" s="1"/>
      <c r="R478" s="1"/>
      <c r="S478" s="18"/>
      <c r="T478" s="15">
        <f t="shared" si="23"/>
        <v>0</v>
      </c>
    </row>
    <row r="479" spans="1:20" ht="12.75">
      <c r="A479" s="1" t="s">
        <v>1058</v>
      </c>
      <c r="B479" s="9" t="s">
        <v>128</v>
      </c>
      <c r="C479" s="12" t="s">
        <v>1093</v>
      </c>
      <c r="D479" s="165" t="s">
        <v>1094</v>
      </c>
      <c r="E479" s="20" t="s">
        <v>170</v>
      </c>
      <c r="F479" s="1"/>
      <c r="G479" s="13">
        <v>66666</v>
      </c>
      <c r="H479" s="13">
        <v>11072</v>
      </c>
      <c r="I479" s="18">
        <v>71520</v>
      </c>
      <c r="J479" s="15">
        <f t="shared" si="21"/>
        <v>149258</v>
      </c>
      <c r="K479" s="1"/>
      <c r="L479" s="1"/>
      <c r="M479" s="1"/>
      <c r="N479" s="18"/>
      <c r="O479" s="15">
        <f t="shared" si="22"/>
        <v>0</v>
      </c>
      <c r="P479" s="1"/>
      <c r="Q479" s="1"/>
      <c r="R479" s="1"/>
      <c r="S479" s="18"/>
      <c r="T479" s="15">
        <f t="shared" si="23"/>
        <v>0</v>
      </c>
    </row>
    <row r="480" spans="1:20" ht="12.75">
      <c r="A480" s="1" t="s">
        <v>1058</v>
      </c>
      <c r="B480" s="9" t="s">
        <v>128</v>
      </c>
      <c r="C480" s="12" t="s">
        <v>1095</v>
      </c>
      <c r="D480" s="165" t="s">
        <v>1096</v>
      </c>
      <c r="E480" s="20" t="s">
        <v>170</v>
      </c>
      <c r="F480" s="1"/>
      <c r="G480" s="13">
        <v>48001</v>
      </c>
      <c r="H480" s="13">
        <v>6298</v>
      </c>
      <c r="I480" s="18">
        <v>53868</v>
      </c>
      <c r="J480" s="15">
        <f t="shared" si="21"/>
        <v>108167</v>
      </c>
      <c r="K480" s="1"/>
      <c r="L480" s="1"/>
      <c r="M480" s="1"/>
      <c r="N480" s="18"/>
      <c r="O480" s="15">
        <f t="shared" si="22"/>
        <v>0</v>
      </c>
      <c r="P480" s="1"/>
      <c r="Q480" s="1"/>
      <c r="R480" s="1"/>
      <c r="S480" s="18"/>
      <c r="T480" s="15">
        <f t="shared" si="23"/>
        <v>0</v>
      </c>
    </row>
    <row r="481" spans="1:20" ht="12.75">
      <c r="A481" s="1" t="s">
        <v>1058</v>
      </c>
      <c r="B481" s="9" t="s">
        <v>128</v>
      </c>
      <c r="C481" s="12" t="s">
        <v>1097</v>
      </c>
      <c r="D481" s="165" t="s">
        <v>1098</v>
      </c>
      <c r="E481" s="20" t="s">
        <v>170</v>
      </c>
      <c r="F481" s="1"/>
      <c r="G481" s="13">
        <v>60290</v>
      </c>
      <c r="H481" s="13">
        <v>23334</v>
      </c>
      <c r="I481" s="18">
        <v>59966</v>
      </c>
      <c r="J481" s="15">
        <f t="shared" si="21"/>
        <v>143590</v>
      </c>
      <c r="K481" s="1"/>
      <c r="L481" s="1"/>
      <c r="M481" s="1"/>
      <c r="N481" s="18"/>
      <c r="O481" s="15">
        <f t="shared" si="22"/>
        <v>0</v>
      </c>
      <c r="P481" s="1"/>
      <c r="Q481" s="1"/>
      <c r="R481" s="1"/>
      <c r="S481" s="18"/>
      <c r="T481" s="15">
        <f t="shared" si="23"/>
        <v>0</v>
      </c>
    </row>
    <row r="482" spans="1:20" ht="12.75">
      <c r="A482" s="1" t="s">
        <v>1058</v>
      </c>
      <c r="B482" s="9" t="s">
        <v>128</v>
      </c>
      <c r="C482" s="12" t="s">
        <v>1099</v>
      </c>
      <c r="D482" s="165" t="s">
        <v>1100</v>
      </c>
      <c r="E482" s="20" t="s">
        <v>170</v>
      </c>
      <c r="F482" s="1"/>
      <c r="G482" s="13">
        <v>69168</v>
      </c>
      <c r="H482" s="13">
        <v>31330</v>
      </c>
      <c r="I482" s="18">
        <v>75323</v>
      </c>
      <c r="J482" s="15">
        <f t="shared" si="21"/>
        <v>175821</v>
      </c>
      <c r="K482" s="1"/>
      <c r="L482" s="1"/>
      <c r="M482" s="1"/>
      <c r="N482" s="18"/>
      <c r="O482" s="15">
        <f t="shared" si="22"/>
        <v>0</v>
      </c>
      <c r="P482" s="1"/>
      <c r="Q482" s="1"/>
      <c r="R482" s="1"/>
      <c r="S482" s="18"/>
      <c r="T482" s="15">
        <f t="shared" si="23"/>
        <v>0</v>
      </c>
    </row>
    <row r="483" spans="1:20" ht="12.75">
      <c r="A483" s="1" t="s">
        <v>1058</v>
      </c>
      <c r="B483" s="9" t="s">
        <v>128</v>
      </c>
      <c r="C483" s="12" t="s">
        <v>1101</v>
      </c>
      <c r="D483" s="165" t="s">
        <v>1102</v>
      </c>
      <c r="E483" s="20" t="s">
        <v>170</v>
      </c>
      <c r="F483" s="1"/>
      <c r="G483" s="13">
        <v>47635</v>
      </c>
      <c r="H483" s="13">
        <v>12506</v>
      </c>
      <c r="I483" s="18">
        <v>58555</v>
      </c>
      <c r="J483" s="15">
        <f t="shared" si="21"/>
        <v>118696</v>
      </c>
      <c r="K483" s="1"/>
      <c r="L483" s="1"/>
      <c r="M483" s="1"/>
      <c r="N483" s="18"/>
      <c r="O483" s="15">
        <f t="shared" si="22"/>
        <v>0</v>
      </c>
      <c r="P483" s="1"/>
      <c r="Q483" s="1"/>
      <c r="R483" s="1"/>
      <c r="S483" s="18"/>
      <c r="T483" s="15">
        <f t="shared" si="23"/>
        <v>0</v>
      </c>
    </row>
    <row r="484" spans="1:20" ht="12.75">
      <c r="A484" s="1" t="s">
        <v>1058</v>
      </c>
      <c r="B484" s="9" t="s">
        <v>128</v>
      </c>
      <c r="C484" s="12" t="s">
        <v>1103</v>
      </c>
      <c r="D484" s="165" t="s">
        <v>1104</v>
      </c>
      <c r="E484" s="20" t="s">
        <v>170</v>
      </c>
      <c r="F484" s="1"/>
      <c r="G484" s="13">
        <v>47276</v>
      </c>
      <c r="H484" s="13">
        <v>11119</v>
      </c>
      <c r="I484" s="18">
        <v>52604</v>
      </c>
      <c r="J484" s="15">
        <f t="shared" si="21"/>
        <v>110999</v>
      </c>
      <c r="K484" s="1"/>
      <c r="L484" s="1"/>
      <c r="M484" s="1"/>
      <c r="N484" s="18"/>
      <c r="O484" s="15">
        <f t="shared" si="22"/>
        <v>0</v>
      </c>
      <c r="P484" s="1"/>
      <c r="Q484" s="1"/>
      <c r="R484" s="1"/>
      <c r="S484" s="18"/>
      <c r="T484" s="15">
        <f t="shared" si="23"/>
        <v>0</v>
      </c>
    </row>
    <row r="485" spans="1:20" ht="12.75">
      <c r="A485" s="1" t="s">
        <v>1058</v>
      </c>
      <c r="B485" s="9" t="s">
        <v>128</v>
      </c>
      <c r="C485" s="12" t="s">
        <v>1105</v>
      </c>
      <c r="D485" s="165" t="s">
        <v>1106</v>
      </c>
      <c r="E485" s="20" t="s">
        <v>215</v>
      </c>
      <c r="F485" s="1"/>
      <c r="G485" s="1"/>
      <c r="H485" s="1"/>
      <c r="I485" s="18"/>
      <c r="J485" s="15">
        <f t="shared" si="21"/>
        <v>0</v>
      </c>
      <c r="K485" s="1"/>
      <c r="L485" s="13">
        <v>45838</v>
      </c>
      <c r="M485" s="13">
        <v>50462</v>
      </c>
      <c r="N485" s="18">
        <v>50422</v>
      </c>
      <c r="O485" s="15">
        <f t="shared" si="22"/>
        <v>146722</v>
      </c>
      <c r="P485" s="1"/>
      <c r="Q485" s="1"/>
      <c r="R485" s="1"/>
      <c r="S485" s="18"/>
      <c r="T485" s="15">
        <f t="shared" si="23"/>
        <v>0</v>
      </c>
    </row>
    <row r="486" spans="1:20" ht="12.75">
      <c r="A486" s="1" t="s">
        <v>1058</v>
      </c>
      <c r="B486" s="9" t="s">
        <v>128</v>
      </c>
      <c r="C486" s="12" t="s">
        <v>1107</v>
      </c>
      <c r="D486" s="40" t="s">
        <v>298</v>
      </c>
      <c r="E486" s="20" t="s">
        <v>215</v>
      </c>
      <c r="F486" s="1"/>
      <c r="G486" s="1"/>
      <c r="H486" s="1"/>
      <c r="I486" s="18"/>
      <c r="J486" s="15">
        <f t="shared" si="21"/>
        <v>0</v>
      </c>
      <c r="K486" s="1"/>
      <c r="L486" s="13">
        <v>198564</v>
      </c>
      <c r="M486" s="13">
        <v>101406</v>
      </c>
      <c r="N486" s="18">
        <v>199995</v>
      </c>
      <c r="O486" s="15">
        <f t="shared" si="22"/>
        <v>499965</v>
      </c>
      <c r="P486" s="1"/>
      <c r="Q486" s="1"/>
      <c r="R486" s="1"/>
      <c r="S486" s="18"/>
      <c r="T486" s="15">
        <f t="shared" si="23"/>
        <v>0</v>
      </c>
    </row>
    <row r="487" spans="1:20" ht="12.75">
      <c r="A487" s="1" t="s">
        <v>1058</v>
      </c>
      <c r="B487" s="9" t="s">
        <v>128</v>
      </c>
      <c r="C487" s="12" t="s">
        <v>1108</v>
      </c>
      <c r="D487" s="165" t="s">
        <v>1109</v>
      </c>
      <c r="E487" s="20" t="s">
        <v>215</v>
      </c>
      <c r="F487" s="1"/>
      <c r="G487" s="1"/>
      <c r="H487" s="1"/>
      <c r="I487" s="18"/>
      <c r="J487" s="15">
        <f t="shared" si="21"/>
        <v>0</v>
      </c>
      <c r="K487" s="1"/>
      <c r="L487" s="13">
        <v>26446</v>
      </c>
      <c r="M487" s="13">
        <v>23107</v>
      </c>
      <c r="N487" s="18">
        <v>22768</v>
      </c>
      <c r="O487" s="15">
        <f t="shared" si="22"/>
        <v>72321</v>
      </c>
      <c r="P487" s="1"/>
      <c r="Q487" s="1"/>
      <c r="R487" s="1"/>
      <c r="S487" s="18"/>
      <c r="T487" s="15">
        <f t="shared" si="23"/>
        <v>0</v>
      </c>
    </row>
    <row r="488" spans="1:20" ht="12.75">
      <c r="A488" s="1" t="s">
        <v>1058</v>
      </c>
      <c r="B488" s="9" t="s">
        <v>128</v>
      </c>
      <c r="C488" s="12" t="s">
        <v>1110</v>
      </c>
      <c r="D488" s="165" t="s">
        <v>1111</v>
      </c>
      <c r="E488" s="20" t="s">
        <v>215</v>
      </c>
      <c r="F488" s="1"/>
      <c r="G488" s="1"/>
      <c r="H488" s="1"/>
      <c r="I488" s="18"/>
      <c r="J488" s="15">
        <f t="shared" si="21"/>
        <v>0</v>
      </c>
      <c r="K488" s="1"/>
      <c r="L488" s="13">
        <v>68838</v>
      </c>
      <c r="M488" s="13">
        <v>44847</v>
      </c>
      <c r="N488" s="18">
        <v>67319</v>
      </c>
      <c r="O488" s="15">
        <f t="shared" si="22"/>
        <v>181004</v>
      </c>
      <c r="P488" s="1"/>
      <c r="Q488" s="1"/>
      <c r="R488" s="1"/>
      <c r="S488" s="18"/>
      <c r="T488" s="15">
        <f t="shared" si="23"/>
        <v>0</v>
      </c>
    </row>
    <row r="489" spans="1:20" ht="12.75">
      <c r="A489" s="1" t="s">
        <v>1058</v>
      </c>
      <c r="B489" s="9" t="s">
        <v>128</v>
      </c>
      <c r="C489" s="12" t="s">
        <v>1112</v>
      </c>
      <c r="D489" s="165" t="s">
        <v>1113</v>
      </c>
      <c r="E489" s="20" t="s">
        <v>215</v>
      </c>
      <c r="F489" s="1"/>
      <c r="G489" s="1"/>
      <c r="H489" s="1"/>
      <c r="I489" s="18"/>
      <c r="J489" s="15">
        <f t="shared" si="21"/>
        <v>0</v>
      </c>
      <c r="K489" s="1"/>
      <c r="L489" s="13">
        <v>39415</v>
      </c>
      <c r="M489" s="13">
        <v>39044</v>
      </c>
      <c r="N489" s="18">
        <v>42150</v>
      </c>
      <c r="O489" s="15">
        <f t="shared" si="22"/>
        <v>120609</v>
      </c>
      <c r="P489" s="1"/>
      <c r="Q489" s="1"/>
      <c r="R489" s="1"/>
      <c r="S489" s="18"/>
      <c r="T489" s="15">
        <f t="shared" si="23"/>
        <v>0</v>
      </c>
    </row>
    <row r="490" spans="1:20" ht="12.75">
      <c r="A490" s="1" t="s">
        <v>1058</v>
      </c>
      <c r="B490" s="9" t="s">
        <v>128</v>
      </c>
      <c r="C490" s="12" t="s">
        <v>1114</v>
      </c>
      <c r="D490" s="165" t="s">
        <v>1115</v>
      </c>
      <c r="E490" s="20" t="s">
        <v>215</v>
      </c>
      <c r="F490" s="1"/>
      <c r="G490" s="1"/>
      <c r="H490" s="1"/>
      <c r="I490" s="18"/>
      <c r="J490" s="15">
        <f t="shared" si="21"/>
        <v>0</v>
      </c>
      <c r="K490" s="1"/>
      <c r="L490" s="13">
        <v>62668</v>
      </c>
      <c r="M490" s="13">
        <v>56818</v>
      </c>
      <c r="N490" s="18">
        <v>61310</v>
      </c>
      <c r="O490" s="15">
        <f t="shared" si="22"/>
        <v>180796</v>
      </c>
      <c r="P490" s="1"/>
      <c r="Q490" s="1"/>
      <c r="R490" s="1"/>
      <c r="S490" s="18"/>
      <c r="T490" s="15">
        <f t="shared" si="23"/>
        <v>0</v>
      </c>
    </row>
    <row r="491" spans="1:20" ht="12.75">
      <c r="A491" s="1" t="s">
        <v>1058</v>
      </c>
      <c r="B491" s="9" t="s">
        <v>128</v>
      </c>
      <c r="C491" s="12" t="s">
        <v>1116</v>
      </c>
      <c r="D491" s="165" t="s">
        <v>1117</v>
      </c>
      <c r="E491" s="20" t="s">
        <v>215</v>
      </c>
      <c r="F491" s="1"/>
      <c r="G491" s="1"/>
      <c r="H491" s="1"/>
      <c r="I491" s="18"/>
      <c r="J491" s="15">
        <f t="shared" si="21"/>
        <v>0</v>
      </c>
      <c r="K491" s="1"/>
      <c r="L491" s="13">
        <v>35705</v>
      </c>
      <c r="M491" s="13">
        <v>32556</v>
      </c>
      <c r="N491" s="18">
        <v>33867</v>
      </c>
      <c r="O491" s="15">
        <f t="shared" si="22"/>
        <v>102128</v>
      </c>
      <c r="P491" s="1"/>
      <c r="Q491" s="1"/>
      <c r="R491" s="1"/>
      <c r="S491" s="18"/>
      <c r="T491" s="15">
        <f t="shared" si="23"/>
        <v>0</v>
      </c>
    </row>
    <row r="492" spans="1:20" ht="12.75">
      <c r="A492" s="1" t="s">
        <v>1058</v>
      </c>
      <c r="B492" s="9" t="s">
        <v>128</v>
      </c>
      <c r="C492" s="12" t="s">
        <v>1118</v>
      </c>
      <c r="D492" s="165" t="s">
        <v>1119</v>
      </c>
      <c r="E492" s="20" t="s">
        <v>215</v>
      </c>
      <c r="F492" s="1"/>
      <c r="G492" s="1"/>
      <c r="H492" s="1"/>
      <c r="I492" s="18"/>
      <c r="J492" s="15">
        <f t="shared" si="21"/>
        <v>0</v>
      </c>
      <c r="K492" s="1"/>
      <c r="L492" s="13">
        <v>45936</v>
      </c>
      <c r="M492" s="13">
        <v>42602</v>
      </c>
      <c r="N492" s="18">
        <v>52275</v>
      </c>
      <c r="O492" s="15">
        <f t="shared" si="22"/>
        <v>140813</v>
      </c>
      <c r="P492" s="1"/>
      <c r="Q492" s="1"/>
      <c r="R492" s="1"/>
      <c r="S492" s="18"/>
      <c r="T492" s="15">
        <f t="shared" si="23"/>
        <v>0</v>
      </c>
    </row>
    <row r="493" spans="1:20" ht="12.75">
      <c r="A493" s="1" t="s">
        <v>1058</v>
      </c>
      <c r="B493" s="9" t="s">
        <v>128</v>
      </c>
      <c r="C493" s="12" t="s">
        <v>1120</v>
      </c>
      <c r="D493" s="165" t="s">
        <v>1121</v>
      </c>
      <c r="E493" s="20" t="s">
        <v>215</v>
      </c>
      <c r="F493" s="1"/>
      <c r="G493" s="1"/>
      <c r="H493" s="1"/>
      <c r="I493" s="18"/>
      <c r="J493" s="15">
        <f t="shared" si="21"/>
        <v>0</v>
      </c>
      <c r="K493" s="1"/>
      <c r="L493" s="13">
        <v>21141</v>
      </c>
      <c r="M493" s="13">
        <v>18968</v>
      </c>
      <c r="N493" s="18">
        <v>20477</v>
      </c>
      <c r="O493" s="15">
        <f t="shared" si="22"/>
        <v>60586</v>
      </c>
      <c r="P493" s="1"/>
      <c r="Q493" s="1"/>
      <c r="R493" s="1"/>
      <c r="S493" s="18"/>
      <c r="T493" s="15">
        <f t="shared" si="23"/>
        <v>0</v>
      </c>
    </row>
    <row r="494" spans="1:20" ht="12.75">
      <c r="A494" s="1" t="s">
        <v>1058</v>
      </c>
      <c r="B494" s="9" t="s">
        <v>128</v>
      </c>
      <c r="C494" s="12" t="s">
        <v>1122</v>
      </c>
      <c r="D494" s="165" t="s">
        <v>1123</v>
      </c>
      <c r="E494" s="20" t="s">
        <v>215</v>
      </c>
      <c r="F494" s="1"/>
      <c r="G494" s="1"/>
      <c r="H494" s="1"/>
      <c r="I494" s="18"/>
      <c r="J494" s="15">
        <f t="shared" si="21"/>
        <v>0</v>
      </c>
      <c r="K494" s="1"/>
      <c r="L494" s="13">
        <v>36782</v>
      </c>
      <c r="M494" s="13">
        <v>35436</v>
      </c>
      <c r="N494" s="18">
        <v>44539</v>
      </c>
      <c r="O494" s="15">
        <f t="shared" si="22"/>
        <v>116757</v>
      </c>
      <c r="P494" s="1"/>
      <c r="Q494" s="1"/>
      <c r="R494" s="1"/>
      <c r="S494" s="18"/>
      <c r="T494" s="15">
        <f t="shared" si="23"/>
        <v>0</v>
      </c>
    </row>
    <row r="495" spans="1:20" ht="12.75">
      <c r="A495" s="1" t="s">
        <v>1058</v>
      </c>
      <c r="B495" s="9" t="s">
        <v>128</v>
      </c>
      <c r="C495" s="12" t="s">
        <v>1124</v>
      </c>
      <c r="D495" s="165" t="s">
        <v>1125</v>
      </c>
      <c r="E495" s="20" t="s">
        <v>215</v>
      </c>
      <c r="F495" s="1"/>
      <c r="G495" s="1"/>
      <c r="H495" s="1"/>
      <c r="I495" s="18"/>
      <c r="J495" s="15">
        <f t="shared" si="21"/>
        <v>0</v>
      </c>
      <c r="K495" s="1"/>
      <c r="L495" s="13">
        <v>33953</v>
      </c>
      <c r="M495" s="13">
        <v>38020</v>
      </c>
      <c r="N495" s="18">
        <v>43371</v>
      </c>
      <c r="O495" s="15">
        <f t="shared" si="22"/>
        <v>115344</v>
      </c>
      <c r="P495" s="1"/>
      <c r="Q495" s="1"/>
      <c r="R495" s="1"/>
      <c r="S495" s="18"/>
      <c r="T495" s="15">
        <f t="shared" si="23"/>
        <v>0</v>
      </c>
    </row>
    <row r="496" spans="1:20" ht="12.75">
      <c r="A496" s="1" t="s">
        <v>1058</v>
      </c>
      <c r="B496" s="9" t="s">
        <v>128</v>
      </c>
      <c r="C496" s="12" t="s">
        <v>1126</v>
      </c>
      <c r="D496" s="165" t="s">
        <v>1127</v>
      </c>
      <c r="E496" s="20" t="s">
        <v>215</v>
      </c>
      <c r="F496" s="1"/>
      <c r="G496" s="1"/>
      <c r="H496" s="1"/>
      <c r="I496" s="18"/>
      <c r="J496" s="15">
        <f t="shared" si="21"/>
        <v>0</v>
      </c>
      <c r="K496" s="1"/>
      <c r="L496" s="13">
        <v>74544</v>
      </c>
      <c r="M496" s="13">
        <v>68720</v>
      </c>
      <c r="N496" s="18">
        <v>79898</v>
      </c>
      <c r="O496" s="15">
        <f t="shared" si="22"/>
        <v>223162</v>
      </c>
      <c r="P496" s="1"/>
      <c r="Q496" s="1"/>
      <c r="R496" s="1"/>
      <c r="S496" s="18"/>
      <c r="T496" s="15">
        <f t="shared" si="23"/>
        <v>0</v>
      </c>
    </row>
    <row r="497" spans="1:20" ht="12.75">
      <c r="A497" s="1" t="s">
        <v>1058</v>
      </c>
      <c r="B497" s="9" t="s">
        <v>128</v>
      </c>
      <c r="C497" s="12" t="s">
        <v>1128</v>
      </c>
      <c r="D497" s="165" t="s">
        <v>1129</v>
      </c>
      <c r="E497" s="20" t="s">
        <v>215</v>
      </c>
      <c r="F497" s="1"/>
      <c r="G497" s="1"/>
      <c r="H497" s="1"/>
      <c r="I497" s="18"/>
      <c r="J497" s="15">
        <f t="shared" si="21"/>
        <v>0</v>
      </c>
      <c r="K497" s="1"/>
      <c r="L497" s="13">
        <v>113889</v>
      </c>
      <c r="M497" s="13">
        <v>106259</v>
      </c>
      <c r="N497" s="18">
        <v>116241</v>
      </c>
      <c r="O497" s="15">
        <f t="shared" si="22"/>
        <v>336389</v>
      </c>
      <c r="P497" s="1"/>
      <c r="Q497" s="1"/>
      <c r="R497" s="1"/>
      <c r="S497" s="18"/>
      <c r="T497" s="15">
        <f t="shared" si="23"/>
        <v>0</v>
      </c>
    </row>
    <row r="498" spans="1:20" ht="12.75">
      <c r="A498" s="1" t="s">
        <v>1058</v>
      </c>
      <c r="B498" s="9" t="s">
        <v>128</v>
      </c>
      <c r="C498" s="12" t="s">
        <v>1130</v>
      </c>
      <c r="D498" s="165" t="s">
        <v>1131</v>
      </c>
      <c r="E498" s="20" t="s">
        <v>215</v>
      </c>
      <c r="F498" s="1"/>
      <c r="G498" s="1"/>
      <c r="H498" s="1"/>
      <c r="I498" s="18"/>
      <c r="J498" s="15">
        <f t="shared" si="21"/>
        <v>0</v>
      </c>
      <c r="K498" s="1"/>
      <c r="L498" s="13">
        <v>72215</v>
      </c>
      <c r="M498" s="13">
        <v>77080</v>
      </c>
      <c r="N498" s="18">
        <v>87199</v>
      </c>
      <c r="O498" s="15">
        <f t="shared" si="22"/>
        <v>236494</v>
      </c>
      <c r="P498" s="1"/>
      <c r="Q498" s="1"/>
      <c r="R498" s="1"/>
      <c r="S498" s="18"/>
      <c r="T498" s="15">
        <f t="shared" si="23"/>
        <v>0</v>
      </c>
    </row>
    <row r="499" spans="1:20" ht="12.75">
      <c r="A499" s="1" t="s">
        <v>1058</v>
      </c>
      <c r="B499" s="9" t="s">
        <v>128</v>
      </c>
      <c r="C499" s="12" t="s">
        <v>1132</v>
      </c>
      <c r="D499" s="165" t="s">
        <v>1133</v>
      </c>
      <c r="E499" s="20" t="s">
        <v>215</v>
      </c>
      <c r="F499" s="1"/>
      <c r="G499" s="1"/>
      <c r="H499" s="1"/>
      <c r="I499" s="18"/>
      <c r="J499" s="15">
        <f t="shared" si="21"/>
        <v>0</v>
      </c>
      <c r="K499" s="1"/>
      <c r="L499" s="13">
        <v>28118</v>
      </c>
      <c r="M499" s="13">
        <v>30446</v>
      </c>
      <c r="N499" s="18">
        <v>38751</v>
      </c>
      <c r="O499" s="15">
        <f t="shared" si="22"/>
        <v>97315</v>
      </c>
      <c r="P499" s="1"/>
      <c r="Q499" s="1"/>
      <c r="R499" s="1"/>
      <c r="S499" s="18"/>
      <c r="T499" s="15">
        <f t="shared" si="23"/>
        <v>0</v>
      </c>
    </row>
    <row r="500" spans="1:20" ht="12.75">
      <c r="A500" s="1" t="s">
        <v>1058</v>
      </c>
      <c r="B500" s="9" t="s">
        <v>128</v>
      </c>
      <c r="C500" s="12" t="s">
        <v>1134</v>
      </c>
      <c r="D500" s="165" t="s">
        <v>1135</v>
      </c>
      <c r="E500" s="20" t="s">
        <v>215</v>
      </c>
      <c r="F500" s="1"/>
      <c r="G500" s="1"/>
      <c r="H500" s="1"/>
      <c r="I500" s="18"/>
      <c r="J500" s="15">
        <f t="shared" si="21"/>
        <v>0</v>
      </c>
      <c r="K500" s="1"/>
      <c r="L500" s="13">
        <v>28195</v>
      </c>
      <c r="M500" s="13">
        <v>29050</v>
      </c>
      <c r="N500" s="18">
        <v>36633</v>
      </c>
      <c r="O500" s="15">
        <f t="shared" si="22"/>
        <v>93878</v>
      </c>
      <c r="P500" s="1"/>
      <c r="Q500" s="1"/>
      <c r="R500" s="1"/>
      <c r="S500" s="18"/>
      <c r="T500" s="15">
        <f t="shared" si="23"/>
        <v>0</v>
      </c>
    </row>
    <row r="501" spans="1:20" ht="12.75">
      <c r="A501" s="1" t="s">
        <v>1058</v>
      </c>
      <c r="B501" s="9" t="s">
        <v>128</v>
      </c>
      <c r="C501" s="12" t="s">
        <v>1136</v>
      </c>
      <c r="D501" s="165" t="s">
        <v>1137</v>
      </c>
      <c r="E501" s="20" t="s">
        <v>215</v>
      </c>
      <c r="F501" s="1"/>
      <c r="G501" s="1"/>
      <c r="H501" s="1"/>
      <c r="I501" s="18"/>
      <c r="J501" s="15">
        <f t="shared" si="21"/>
        <v>0</v>
      </c>
      <c r="K501" s="1"/>
      <c r="L501" s="13">
        <v>125542</v>
      </c>
      <c r="M501" s="13">
        <v>99592</v>
      </c>
      <c r="N501" s="18">
        <v>115393</v>
      </c>
      <c r="O501" s="15">
        <f t="shared" si="22"/>
        <v>340527</v>
      </c>
      <c r="P501" s="1"/>
      <c r="Q501" s="1"/>
      <c r="R501" s="1"/>
      <c r="S501" s="18"/>
      <c r="T501" s="15">
        <f t="shared" si="23"/>
        <v>0</v>
      </c>
    </row>
    <row r="502" spans="1:20" ht="12.75">
      <c r="A502" s="1" t="s">
        <v>1058</v>
      </c>
      <c r="B502" s="9" t="s">
        <v>128</v>
      </c>
      <c r="C502" s="12" t="s">
        <v>1138</v>
      </c>
      <c r="D502" s="165" t="s">
        <v>1139</v>
      </c>
      <c r="E502" s="20" t="s">
        <v>215</v>
      </c>
      <c r="F502" s="1"/>
      <c r="G502" s="1"/>
      <c r="H502" s="1"/>
      <c r="I502" s="18"/>
      <c r="J502" s="15">
        <f t="shared" si="21"/>
        <v>0</v>
      </c>
      <c r="K502" s="1"/>
      <c r="L502" s="13">
        <v>141757</v>
      </c>
      <c r="M502" s="13">
        <v>117808</v>
      </c>
      <c r="N502" s="18">
        <v>135830</v>
      </c>
      <c r="O502" s="15">
        <f t="shared" si="22"/>
        <v>395395</v>
      </c>
      <c r="P502" s="1"/>
      <c r="Q502" s="1"/>
      <c r="R502" s="1"/>
      <c r="S502" s="18"/>
      <c r="T502" s="15">
        <f t="shared" si="23"/>
        <v>0</v>
      </c>
    </row>
    <row r="503" spans="1:20" ht="12.75">
      <c r="A503" s="1" t="s">
        <v>1058</v>
      </c>
      <c r="B503" s="9" t="s">
        <v>128</v>
      </c>
      <c r="C503" s="12" t="s">
        <v>1140</v>
      </c>
      <c r="D503" s="165" t="s">
        <v>1141</v>
      </c>
      <c r="E503" s="20" t="s">
        <v>215</v>
      </c>
      <c r="F503" s="1"/>
      <c r="G503" s="1"/>
      <c r="H503" s="1"/>
      <c r="I503" s="18"/>
      <c r="J503" s="15">
        <f t="shared" si="21"/>
        <v>0</v>
      </c>
      <c r="K503" s="1"/>
      <c r="L503" s="13">
        <v>42395</v>
      </c>
      <c r="M503" s="13">
        <v>39382</v>
      </c>
      <c r="N503" s="18">
        <v>36837</v>
      </c>
      <c r="O503" s="15">
        <f t="shared" si="22"/>
        <v>118614</v>
      </c>
      <c r="P503" s="1"/>
      <c r="Q503" s="1"/>
      <c r="R503" s="1"/>
      <c r="S503" s="18"/>
      <c r="T503" s="15">
        <f t="shared" si="23"/>
        <v>0</v>
      </c>
    </row>
    <row r="504" spans="1:20" ht="12.75">
      <c r="A504" s="1" t="s">
        <v>1058</v>
      </c>
      <c r="B504" s="9" t="s">
        <v>128</v>
      </c>
      <c r="C504" s="12" t="s">
        <v>1142</v>
      </c>
      <c r="D504" s="165" t="s">
        <v>1143</v>
      </c>
      <c r="E504" s="20" t="s">
        <v>215</v>
      </c>
      <c r="F504" s="1"/>
      <c r="G504" s="1"/>
      <c r="H504" s="1"/>
      <c r="I504" s="18"/>
      <c r="J504" s="15">
        <f t="shared" si="21"/>
        <v>0</v>
      </c>
      <c r="K504" s="1"/>
      <c r="L504" s="13">
        <v>122134</v>
      </c>
      <c r="M504" s="13">
        <v>111538</v>
      </c>
      <c r="N504" s="18">
        <v>111560</v>
      </c>
      <c r="O504" s="15">
        <f t="shared" si="22"/>
        <v>345232</v>
      </c>
      <c r="P504" s="1"/>
      <c r="Q504" s="1"/>
      <c r="R504" s="1"/>
      <c r="S504" s="18"/>
      <c r="T504" s="15">
        <f t="shared" si="23"/>
        <v>0</v>
      </c>
    </row>
    <row r="505" spans="1:20" ht="12.75">
      <c r="A505" s="1" t="s">
        <v>1058</v>
      </c>
      <c r="B505" s="9" t="s">
        <v>128</v>
      </c>
      <c r="C505" s="12" t="s">
        <v>1144</v>
      </c>
      <c r="D505" s="165" t="s">
        <v>1145</v>
      </c>
      <c r="E505" s="20" t="s">
        <v>215</v>
      </c>
      <c r="F505" s="1"/>
      <c r="G505" s="1"/>
      <c r="H505" s="1"/>
      <c r="I505" s="18"/>
      <c r="J505" s="15">
        <f t="shared" si="21"/>
        <v>0</v>
      </c>
      <c r="K505" s="1"/>
      <c r="L505" s="13">
        <v>34096</v>
      </c>
      <c r="M505" s="13">
        <v>35068</v>
      </c>
      <c r="N505" s="18">
        <v>44934</v>
      </c>
      <c r="O505" s="15">
        <f t="shared" si="22"/>
        <v>114098</v>
      </c>
      <c r="P505" s="1"/>
      <c r="Q505" s="1"/>
      <c r="R505" s="1"/>
      <c r="S505" s="18"/>
      <c r="T505" s="15">
        <f t="shared" si="23"/>
        <v>0</v>
      </c>
    </row>
    <row r="506" spans="1:20" ht="12.75">
      <c r="A506" s="1" t="s">
        <v>1058</v>
      </c>
      <c r="B506" s="9" t="s">
        <v>128</v>
      </c>
      <c r="C506" s="12" t="s">
        <v>1146</v>
      </c>
      <c r="D506" s="165" t="s">
        <v>1147</v>
      </c>
      <c r="E506" s="20" t="s">
        <v>215</v>
      </c>
      <c r="F506" s="1"/>
      <c r="G506" s="1"/>
      <c r="H506" s="1"/>
      <c r="I506" s="18"/>
      <c r="J506" s="15">
        <f t="shared" si="21"/>
        <v>0</v>
      </c>
      <c r="K506" s="1"/>
      <c r="L506" s="13">
        <v>29581</v>
      </c>
      <c r="M506" s="13">
        <v>25518</v>
      </c>
      <c r="N506" s="18">
        <v>39871</v>
      </c>
      <c r="O506" s="15">
        <f t="shared" si="22"/>
        <v>94970</v>
      </c>
      <c r="P506" s="1"/>
      <c r="Q506" s="1"/>
      <c r="R506" s="1"/>
      <c r="S506" s="18"/>
      <c r="T506" s="15">
        <f t="shared" si="23"/>
        <v>0</v>
      </c>
    </row>
    <row r="507" spans="1:20" ht="12.75">
      <c r="A507" s="1" t="s">
        <v>1058</v>
      </c>
      <c r="B507" s="9" t="s">
        <v>128</v>
      </c>
      <c r="C507" s="12" t="s">
        <v>1148</v>
      </c>
      <c r="D507" s="165" t="s">
        <v>1149</v>
      </c>
      <c r="E507" s="20" t="s">
        <v>215</v>
      </c>
      <c r="F507" s="1"/>
      <c r="G507" s="1"/>
      <c r="H507" s="1"/>
      <c r="I507" s="18"/>
      <c r="J507" s="15">
        <f t="shared" si="21"/>
        <v>0</v>
      </c>
      <c r="K507" s="1"/>
      <c r="L507" s="13">
        <v>52883</v>
      </c>
      <c r="M507" s="13">
        <v>53772</v>
      </c>
      <c r="N507" s="18">
        <v>53631</v>
      </c>
      <c r="O507" s="15">
        <f t="shared" si="22"/>
        <v>160286</v>
      </c>
      <c r="P507" s="1"/>
      <c r="Q507" s="1"/>
      <c r="R507" s="1"/>
      <c r="S507" s="18"/>
      <c r="T507" s="15">
        <f t="shared" si="23"/>
        <v>0</v>
      </c>
    </row>
    <row r="508" spans="1:20" ht="12.75">
      <c r="A508" s="1" t="s">
        <v>1058</v>
      </c>
      <c r="B508" s="9" t="s">
        <v>128</v>
      </c>
      <c r="C508" s="12" t="s">
        <v>1150</v>
      </c>
      <c r="D508" s="165" t="s">
        <v>1151</v>
      </c>
      <c r="E508" s="20" t="s">
        <v>215</v>
      </c>
      <c r="F508" s="1"/>
      <c r="G508" s="1"/>
      <c r="H508" s="1"/>
      <c r="I508" s="18"/>
      <c r="J508" s="15">
        <f t="shared" si="21"/>
        <v>0</v>
      </c>
      <c r="K508" s="1"/>
      <c r="L508" s="13">
        <v>31410</v>
      </c>
      <c r="M508" s="13">
        <v>34094</v>
      </c>
      <c r="N508" s="18">
        <v>41133</v>
      </c>
      <c r="O508" s="15">
        <f t="shared" si="22"/>
        <v>106637</v>
      </c>
      <c r="P508" s="1"/>
      <c r="Q508" s="1"/>
      <c r="R508" s="1"/>
      <c r="S508" s="18"/>
      <c r="T508" s="15">
        <f t="shared" si="23"/>
        <v>0</v>
      </c>
    </row>
    <row r="509" spans="1:20" ht="12.75">
      <c r="A509" s="1" t="s">
        <v>1058</v>
      </c>
      <c r="B509" s="9" t="s">
        <v>128</v>
      </c>
      <c r="C509" s="12" t="s">
        <v>1152</v>
      </c>
      <c r="D509" s="165" t="s">
        <v>1153</v>
      </c>
      <c r="E509" s="20" t="s">
        <v>215</v>
      </c>
      <c r="F509" s="1"/>
      <c r="G509" s="1"/>
      <c r="H509" s="1"/>
      <c r="I509" s="18"/>
      <c r="J509" s="15">
        <f t="shared" si="21"/>
        <v>0</v>
      </c>
      <c r="K509" s="1"/>
      <c r="L509" s="13">
        <v>16746</v>
      </c>
      <c r="M509" s="13">
        <v>16133</v>
      </c>
      <c r="N509" s="18">
        <v>18433</v>
      </c>
      <c r="O509" s="15">
        <f t="shared" si="22"/>
        <v>51312</v>
      </c>
      <c r="P509" s="1"/>
      <c r="Q509" s="1"/>
      <c r="R509" s="1"/>
      <c r="S509" s="18"/>
      <c r="T509" s="15">
        <f t="shared" si="23"/>
        <v>0</v>
      </c>
    </row>
    <row r="510" spans="1:20" ht="12.75">
      <c r="A510" s="1" t="s">
        <v>1058</v>
      </c>
      <c r="B510" s="9" t="s">
        <v>128</v>
      </c>
      <c r="C510" s="12" t="s">
        <v>1154</v>
      </c>
      <c r="D510" s="165" t="s">
        <v>1155</v>
      </c>
      <c r="E510" s="20" t="s">
        <v>215</v>
      </c>
      <c r="F510" s="1"/>
      <c r="G510" s="1"/>
      <c r="H510" s="1"/>
      <c r="I510" s="18"/>
      <c r="J510" s="15">
        <f t="shared" si="21"/>
        <v>0</v>
      </c>
      <c r="K510" s="1"/>
      <c r="L510" s="13">
        <v>61152</v>
      </c>
      <c r="M510" s="13">
        <v>56559</v>
      </c>
      <c r="N510" s="18">
        <v>80312</v>
      </c>
      <c r="O510" s="15">
        <f t="shared" si="22"/>
        <v>198023</v>
      </c>
      <c r="P510" s="1"/>
      <c r="Q510" s="1"/>
      <c r="R510" s="1"/>
      <c r="S510" s="18"/>
      <c r="T510" s="15">
        <f t="shared" si="23"/>
        <v>0</v>
      </c>
    </row>
    <row r="511" spans="1:20" ht="12.75">
      <c r="A511" s="1" t="s">
        <v>1058</v>
      </c>
      <c r="B511" s="9" t="s">
        <v>128</v>
      </c>
      <c r="C511" s="12" t="s">
        <v>1156</v>
      </c>
      <c r="D511" s="165" t="s">
        <v>1157</v>
      </c>
      <c r="E511" s="20" t="s">
        <v>215</v>
      </c>
      <c r="F511" s="1"/>
      <c r="G511" s="1"/>
      <c r="H511" s="1"/>
      <c r="I511" s="18"/>
      <c r="J511" s="15">
        <f t="shared" si="21"/>
        <v>0</v>
      </c>
      <c r="K511" s="1"/>
      <c r="L511" s="13">
        <v>32811</v>
      </c>
      <c r="M511" s="13">
        <v>36763</v>
      </c>
      <c r="N511" s="18">
        <v>40835</v>
      </c>
      <c r="O511" s="15">
        <f t="shared" si="22"/>
        <v>110409</v>
      </c>
      <c r="P511" s="1"/>
      <c r="Q511" s="1"/>
      <c r="R511" s="1"/>
      <c r="S511" s="18"/>
      <c r="T511" s="15">
        <f t="shared" si="23"/>
        <v>0</v>
      </c>
    </row>
    <row r="512" spans="1:20" ht="12.75">
      <c r="A512" s="1" t="s">
        <v>1058</v>
      </c>
      <c r="B512" s="9" t="s">
        <v>128</v>
      </c>
      <c r="C512" s="12" t="s">
        <v>1158</v>
      </c>
      <c r="D512" s="165" t="s">
        <v>1159</v>
      </c>
      <c r="E512" s="20" t="s">
        <v>305</v>
      </c>
      <c r="F512" s="1"/>
      <c r="G512" s="1"/>
      <c r="H512" s="1"/>
      <c r="I512" s="18"/>
      <c r="J512" s="15">
        <f t="shared" si="21"/>
        <v>0</v>
      </c>
      <c r="K512" s="1"/>
      <c r="L512" s="1"/>
      <c r="M512" s="1"/>
      <c r="N512" s="18"/>
      <c r="O512" s="15">
        <f t="shared" si="22"/>
        <v>0</v>
      </c>
      <c r="P512" s="1"/>
      <c r="Q512" s="13">
        <f>3960+15048</f>
        <v>19008</v>
      </c>
      <c r="R512" s="1"/>
      <c r="S512" s="18"/>
      <c r="T512" s="15">
        <f t="shared" si="23"/>
        <v>19008</v>
      </c>
    </row>
    <row r="513" spans="1:20" ht="12.75">
      <c r="A513" s="1" t="s">
        <v>1058</v>
      </c>
      <c r="B513" s="9" t="s">
        <v>128</v>
      </c>
      <c r="C513" s="12" t="s">
        <v>1160</v>
      </c>
      <c r="D513" s="165" t="s">
        <v>1159</v>
      </c>
      <c r="E513" s="20" t="s">
        <v>305</v>
      </c>
      <c r="F513" s="1"/>
      <c r="G513" s="12">
        <v>21</v>
      </c>
      <c r="H513" s="12">
        <v>3</v>
      </c>
      <c r="I513" s="18">
        <v>59</v>
      </c>
      <c r="J513" s="15">
        <f t="shared" si="21"/>
        <v>83</v>
      </c>
      <c r="K513" s="1"/>
      <c r="L513" s="1"/>
      <c r="M513" s="1"/>
      <c r="N513" s="18"/>
      <c r="O513" s="15">
        <f t="shared" si="22"/>
        <v>0</v>
      </c>
      <c r="P513" s="1"/>
      <c r="Q513" s="13">
        <v>1547</v>
      </c>
      <c r="R513" s="13">
        <v>823</v>
      </c>
      <c r="S513" s="18">
        <v>1272</v>
      </c>
      <c r="T513" s="15">
        <f t="shared" si="23"/>
        <v>3642</v>
      </c>
    </row>
    <row r="514" spans="1:20" ht="12.75">
      <c r="A514" s="1" t="s">
        <v>1058</v>
      </c>
      <c r="B514" s="9" t="s">
        <v>128</v>
      </c>
      <c r="C514" s="12" t="s">
        <v>1161</v>
      </c>
      <c r="D514" s="165" t="s">
        <v>1159</v>
      </c>
      <c r="E514" s="20" t="s">
        <v>305</v>
      </c>
      <c r="F514" s="1"/>
      <c r="G514" s="12"/>
      <c r="H514" s="12"/>
      <c r="I514" s="18"/>
      <c r="J514" s="15">
        <f t="shared" si="21"/>
        <v>0</v>
      </c>
      <c r="K514" s="1"/>
      <c r="L514" s="1"/>
      <c r="M514" s="1"/>
      <c r="N514" s="18"/>
      <c r="O514" s="15">
        <f t="shared" si="22"/>
        <v>0</v>
      </c>
      <c r="P514" s="1"/>
      <c r="Q514" s="13"/>
      <c r="R514" s="13"/>
      <c r="S514" s="18"/>
      <c r="T514" s="15">
        <f t="shared" si="23"/>
        <v>0</v>
      </c>
    </row>
    <row r="515" spans="1:20" ht="12.75">
      <c r="A515" s="1" t="s">
        <v>1162</v>
      </c>
      <c r="B515" s="9" t="s">
        <v>128</v>
      </c>
      <c r="C515" s="12" t="s">
        <v>1163</v>
      </c>
      <c r="D515" s="165" t="s">
        <v>1164</v>
      </c>
      <c r="E515" s="14" t="s">
        <v>131</v>
      </c>
      <c r="F515" s="1"/>
      <c r="G515" s="13">
        <v>427884</v>
      </c>
      <c r="H515" s="13">
        <v>101957</v>
      </c>
      <c r="I515" s="18">
        <v>453173</v>
      </c>
      <c r="J515" s="15">
        <f t="shared" si="21"/>
        <v>983014</v>
      </c>
      <c r="K515" s="1"/>
      <c r="L515" s="1"/>
      <c r="M515" s="1"/>
      <c r="N515" s="18"/>
      <c r="O515" s="15">
        <f t="shared" si="22"/>
        <v>0</v>
      </c>
      <c r="P515" s="1"/>
      <c r="Q515" s="13">
        <v>50103</v>
      </c>
      <c r="R515" s="13">
        <v>23360</v>
      </c>
      <c r="S515" s="18">
        <v>49493</v>
      </c>
      <c r="T515" s="15">
        <f t="shared" si="23"/>
        <v>122956</v>
      </c>
    </row>
    <row r="516" spans="1:20" ht="12.75">
      <c r="A516" s="1" t="s">
        <v>1162</v>
      </c>
      <c r="B516" s="9" t="s">
        <v>128</v>
      </c>
      <c r="C516" s="12" t="s">
        <v>1165</v>
      </c>
      <c r="D516" s="165" t="s">
        <v>1166</v>
      </c>
      <c r="E516" s="14" t="s">
        <v>131</v>
      </c>
      <c r="F516" s="1"/>
      <c r="G516" s="13">
        <v>239128</v>
      </c>
      <c r="H516" s="13">
        <v>54758</v>
      </c>
      <c r="I516" s="18">
        <v>266544</v>
      </c>
      <c r="J516" s="15">
        <f t="shared" si="21"/>
        <v>560430</v>
      </c>
      <c r="K516" s="1"/>
      <c r="L516" s="1"/>
      <c r="M516" s="1"/>
      <c r="N516" s="18"/>
      <c r="O516" s="15">
        <f t="shared" si="22"/>
        <v>0</v>
      </c>
      <c r="P516" s="1"/>
      <c r="Q516" s="13">
        <v>34515</v>
      </c>
      <c r="R516" s="13">
        <v>16553</v>
      </c>
      <c r="S516" s="18">
        <v>36152</v>
      </c>
      <c r="T516" s="15">
        <f t="shared" si="23"/>
        <v>87220</v>
      </c>
    </row>
    <row r="517" spans="1:20" ht="12.75">
      <c r="A517" s="1" t="s">
        <v>1162</v>
      </c>
      <c r="B517" s="9" t="s">
        <v>128</v>
      </c>
      <c r="C517" s="12" t="s">
        <v>1167</v>
      </c>
      <c r="D517" s="165" t="s">
        <v>1168</v>
      </c>
      <c r="E517" s="14" t="s">
        <v>131</v>
      </c>
      <c r="F517" s="1"/>
      <c r="G517" s="13">
        <v>66139</v>
      </c>
      <c r="H517" s="13">
        <v>22246</v>
      </c>
      <c r="I517" s="18">
        <v>69446</v>
      </c>
      <c r="J517" s="15">
        <f t="shared" si="21"/>
        <v>157831</v>
      </c>
      <c r="K517" s="1"/>
      <c r="L517" s="1"/>
      <c r="M517" s="1"/>
      <c r="N517" s="18"/>
      <c r="O517" s="15">
        <f t="shared" si="22"/>
        <v>0</v>
      </c>
      <c r="P517" s="1"/>
      <c r="Q517" s="13">
        <v>24722</v>
      </c>
      <c r="R517" s="13">
        <v>19436</v>
      </c>
      <c r="S517" s="18">
        <v>23165</v>
      </c>
      <c r="T517" s="15">
        <f t="shared" si="23"/>
        <v>67323</v>
      </c>
    </row>
    <row r="518" spans="1:20" ht="12.75">
      <c r="A518" s="1" t="s">
        <v>1162</v>
      </c>
      <c r="B518" s="9" t="s">
        <v>128</v>
      </c>
      <c r="C518" s="12" t="s">
        <v>1169</v>
      </c>
      <c r="D518" s="165" t="s">
        <v>1170</v>
      </c>
      <c r="E518" s="14" t="s">
        <v>131</v>
      </c>
      <c r="F518" s="1"/>
      <c r="G518" s="13">
        <v>247482</v>
      </c>
      <c r="H518" s="13">
        <v>65312</v>
      </c>
      <c r="I518" s="18">
        <v>263099</v>
      </c>
      <c r="J518" s="15">
        <f aca="true" t="shared" si="24" ref="J518:J581">SUM(F518:I518)</f>
        <v>575893</v>
      </c>
      <c r="K518" s="1"/>
      <c r="L518" s="1"/>
      <c r="M518" s="1"/>
      <c r="N518" s="18"/>
      <c r="O518" s="15">
        <f aca="true" t="shared" si="25" ref="O518:O581">SUM(K518:N518)</f>
        <v>0</v>
      </c>
      <c r="P518" s="1"/>
      <c r="Q518" s="13">
        <v>66643</v>
      </c>
      <c r="R518" s="13">
        <v>26036</v>
      </c>
      <c r="S518" s="18">
        <v>67367</v>
      </c>
      <c r="T518" s="15">
        <f aca="true" t="shared" si="26" ref="T518:T581">SUM(P518:S518)</f>
        <v>160046</v>
      </c>
    </row>
    <row r="519" spans="1:20" ht="12.75">
      <c r="A519" s="1" t="s">
        <v>1162</v>
      </c>
      <c r="B519" s="9" t="s">
        <v>128</v>
      </c>
      <c r="C519" s="12" t="s">
        <v>1171</v>
      </c>
      <c r="D519" s="165" t="s">
        <v>1172</v>
      </c>
      <c r="E519" s="14" t="s">
        <v>131</v>
      </c>
      <c r="F519" s="1"/>
      <c r="G519" s="13">
        <v>222996</v>
      </c>
      <c r="H519" s="13">
        <v>70896</v>
      </c>
      <c r="I519" s="18">
        <v>237234</v>
      </c>
      <c r="J519" s="15">
        <f t="shared" si="24"/>
        <v>531126</v>
      </c>
      <c r="K519" s="1"/>
      <c r="L519" s="1"/>
      <c r="M519" s="1"/>
      <c r="N519" s="18"/>
      <c r="O519" s="15">
        <f t="shared" si="25"/>
        <v>0</v>
      </c>
      <c r="P519" s="1"/>
      <c r="Q519" s="13">
        <v>34055</v>
      </c>
      <c r="R519" s="13">
        <v>21739</v>
      </c>
      <c r="S519" s="18">
        <v>34341</v>
      </c>
      <c r="T519" s="15">
        <f t="shared" si="26"/>
        <v>90135</v>
      </c>
    </row>
    <row r="520" spans="1:28" ht="12.75">
      <c r="A520" s="1" t="s">
        <v>1162</v>
      </c>
      <c r="B520" s="9" t="s">
        <v>128</v>
      </c>
      <c r="C520" s="12" t="s">
        <v>1173</v>
      </c>
      <c r="D520" s="165" t="s">
        <v>1174</v>
      </c>
      <c r="E520" s="14" t="s">
        <v>131</v>
      </c>
      <c r="F520" s="1"/>
      <c r="G520" s="13">
        <v>413776</v>
      </c>
      <c r="H520" s="13">
        <v>87004</v>
      </c>
      <c r="I520" s="18">
        <v>443821</v>
      </c>
      <c r="J520" s="15">
        <f t="shared" si="24"/>
        <v>944601</v>
      </c>
      <c r="K520" s="1"/>
      <c r="L520" s="1"/>
      <c r="M520" s="1"/>
      <c r="N520" s="18"/>
      <c r="O520" s="15">
        <f t="shared" si="25"/>
        <v>0</v>
      </c>
      <c r="P520" s="1"/>
      <c r="Q520" s="13">
        <v>113629</v>
      </c>
      <c r="R520" s="13">
        <v>27707</v>
      </c>
      <c r="S520" s="18">
        <v>114560</v>
      </c>
      <c r="T520" s="15">
        <f t="shared" si="26"/>
        <v>255896</v>
      </c>
      <c r="U520" s="1"/>
      <c r="V520" s="1"/>
      <c r="W520" s="1"/>
      <c r="X520" s="1"/>
      <c r="Y520" s="1"/>
      <c r="Z520" s="1"/>
      <c r="AA520" s="1"/>
      <c r="AB520" s="13"/>
    </row>
    <row r="521" spans="1:20" ht="12.75">
      <c r="A521" s="1" t="s">
        <v>1162</v>
      </c>
      <c r="B521" s="9" t="s">
        <v>128</v>
      </c>
      <c r="C521" s="12" t="s">
        <v>1175</v>
      </c>
      <c r="D521" s="165" t="s">
        <v>1176</v>
      </c>
      <c r="E521" s="14" t="s">
        <v>136</v>
      </c>
      <c r="F521" s="1"/>
      <c r="G521" s="13">
        <v>183632</v>
      </c>
      <c r="H521" s="13">
        <v>57412</v>
      </c>
      <c r="I521" s="18">
        <v>190303</v>
      </c>
      <c r="J521" s="15">
        <f t="shared" si="24"/>
        <v>431347</v>
      </c>
      <c r="K521" s="1"/>
      <c r="L521" s="1"/>
      <c r="M521" s="1"/>
      <c r="N521" s="18"/>
      <c r="O521" s="15">
        <f t="shared" si="25"/>
        <v>0</v>
      </c>
      <c r="P521" s="1"/>
      <c r="Q521" s="13">
        <v>29491</v>
      </c>
      <c r="R521" s="13">
        <v>15245</v>
      </c>
      <c r="S521" s="18">
        <v>31057</v>
      </c>
      <c r="T521" s="15">
        <f t="shared" si="26"/>
        <v>75793</v>
      </c>
    </row>
    <row r="522" spans="1:21" ht="12.75">
      <c r="A522" s="1" t="s">
        <v>1162</v>
      </c>
      <c r="B522" s="9" t="s">
        <v>128</v>
      </c>
      <c r="C522" s="12" t="s">
        <v>1177</v>
      </c>
      <c r="D522" s="165" t="s">
        <v>1178</v>
      </c>
      <c r="E522" s="14" t="s">
        <v>136</v>
      </c>
      <c r="F522" s="1"/>
      <c r="G522" s="13">
        <v>47773</v>
      </c>
      <c r="H522" s="13">
        <v>17646</v>
      </c>
      <c r="I522" s="18">
        <v>54691</v>
      </c>
      <c r="J522" s="15">
        <f t="shared" si="24"/>
        <v>120110</v>
      </c>
      <c r="K522" s="1"/>
      <c r="L522" s="1"/>
      <c r="M522" s="1"/>
      <c r="N522" s="18"/>
      <c r="O522" s="15">
        <f t="shared" si="25"/>
        <v>0</v>
      </c>
      <c r="P522" s="1"/>
      <c r="Q522" s="13">
        <v>19867</v>
      </c>
      <c r="R522" s="13">
        <v>11702</v>
      </c>
      <c r="S522" s="18">
        <v>21079</v>
      </c>
      <c r="T522" s="15">
        <f t="shared" si="26"/>
        <v>52648</v>
      </c>
      <c r="U522" s="13"/>
    </row>
    <row r="523" spans="1:21" ht="12.75">
      <c r="A523" s="1" t="s">
        <v>1162</v>
      </c>
      <c r="B523" s="9" t="s">
        <v>128</v>
      </c>
      <c r="C523" s="12" t="s">
        <v>1179</v>
      </c>
      <c r="D523" s="165" t="s">
        <v>1180</v>
      </c>
      <c r="E523" s="14" t="s">
        <v>139</v>
      </c>
      <c r="F523" s="1"/>
      <c r="G523" s="13">
        <v>64070</v>
      </c>
      <c r="H523" s="13">
        <v>20907</v>
      </c>
      <c r="I523" s="18">
        <v>67415</v>
      </c>
      <c r="J523" s="15">
        <f t="shared" si="24"/>
        <v>152392</v>
      </c>
      <c r="K523" s="1"/>
      <c r="L523" s="1"/>
      <c r="M523" s="1"/>
      <c r="N523" s="18"/>
      <c r="O523" s="15">
        <f t="shared" si="25"/>
        <v>0</v>
      </c>
      <c r="P523" s="1"/>
      <c r="Q523" s="13">
        <v>12326</v>
      </c>
      <c r="R523" s="13">
        <v>12763</v>
      </c>
      <c r="S523" s="18">
        <v>11852</v>
      </c>
      <c r="T523" s="15">
        <f t="shared" si="26"/>
        <v>36941</v>
      </c>
      <c r="U523" s="12"/>
    </row>
    <row r="524" spans="1:21" ht="12.75">
      <c r="A524" s="1" t="s">
        <v>1162</v>
      </c>
      <c r="B524" s="9" t="s">
        <v>128</v>
      </c>
      <c r="C524" s="12" t="s">
        <v>1181</v>
      </c>
      <c r="D524" s="165" t="s">
        <v>1182</v>
      </c>
      <c r="E524" s="14" t="s">
        <v>139</v>
      </c>
      <c r="F524" s="1"/>
      <c r="G524" s="13">
        <v>78665</v>
      </c>
      <c r="H524" s="13">
        <v>25695</v>
      </c>
      <c r="I524" s="18">
        <v>83739</v>
      </c>
      <c r="J524" s="15">
        <f t="shared" si="24"/>
        <v>188099</v>
      </c>
      <c r="K524" s="1"/>
      <c r="L524" s="1"/>
      <c r="M524" s="1"/>
      <c r="N524" s="18"/>
      <c r="O524" s="15">
        <f t="shared" si="25"/>
        <v>0</v>
      </c>
      <c r="P524" s="1"/>
      <c r="Q524" s="13">
        <v>5172</v>
      </c>
      <c r="R524" s="13">
        <v>2601</v>
      </c>
      <c r="S524" s="18">
        <v>4812</v>
      </c>
      <c r="T524" s="15">
        <f t="shared" si="26"/>
        <v>12585</v>
      </c>
      <c r="U524" s="12"/>
    </row>
    <row r="525" spans="1:21" ht="12.75">
      <c r="A525" s="1" t="s">
        <v>1162</v>
      </c>
      <c r="B525" s="9" t="s">
        <v>128</v>
      </c>
      <c r="C525" s="12" t="s">
        <v>1183</v>
      </c>
      <c r="D525" s="165" t="s">
        <v>1184</v>
      </c>
      <c r="E525" s="14" t="s">
        <v>139</v>
      </c>
      <c r="F525" s="1"/>
      <c r="G525" s="13">
        <v>62605</v>
      </c>
      <c r="H525" s="13">
        <v>13214</v>
      </c>
      <c r="I525" s="18">
        <v>67461</v>
      </c>
      <c r="J525" s="15">
        <f t="shared" si="24"/>
        <v>143280</v>
      </c>
      <c r="K525" s="1"/>
      <c r="L525" s="1"/>
      <c r="M525" s="1"/>
      <c r="N525" s="18"/>
      <c r="O525" s="15">
        <f t="shared" si="25"/>
        <v>0</v>
      </c>
      <c r="P525" s="1"/>
      <c r="Q525" s="13">
        <v>6769</v>
      </c>
      <c r="R525" s="13">
        <v>4759</v>
      </c>
      <c r="S525" s="18">
        <v>7187</v>
      </c>
      <c r="T525" s="15">
        <f t="shared" si="26"/>
        <v>18715</v>
      </c>
      <c r="U525" s="13"/>
    </row>
    <row r="526" spans="1:21" ht="12.75">
      <c r="A526" s="1" t="s">
        <v>1162</v>
      </c>
      <c r="B526" s="9" t="s">
        <v>128</v>
      </c>
      <c r="C526" s="12" t="s">
        <v>1185</v>
      </c>
      <c r="D526" s="165" t="s">
        <v>1186</v>
      </c>
      <c r="E526" s="14" t="s">
        <v>139</v>
      </c>
      <c r="F526" s="1"/>
      <c r="G526" s="13">
        <v>131924</v>
      </c>
      <c r="H526" s="13">
        <v>38180</v>
      </c>
      <c r="I526" s="18">
        <v>142429</v>
      </c>
      <c r="J526" s="15">
        <f t="shared" si="24"/>
        <v>312533</v>
      </c>
      <c r="K526" s="1"/>
      <c r="L526" s="1"/>
      <c r="M526" s="1"/>
      <c r="N526" s="18"/>
      <c r="O526" s="15">
        <f t="shared" si="25"/>
        <v>0</v>
      </c>
      <c r="P526" s="1"/>
      <c r="Q526" s="13">
        <v>7386</v>
      </c>
      <c r="R526" s="13">
        <v>6376</v>
      </c>
      <c r="S526" s="18">
        <v>6857</v>
      </c>
      <c r="T526" s="15">
        <f t="shared" si="26"/>
        <v>20619</v>
      </c>
      <c r="U526" s="13"/>
    </row>
    <row r="527" spans="1:20" ht="12.75">
      <c r="A527" s="1" t="s">
        <v>1162</v>
      </c>
      <c r="B527" s="9" t="s">
        <v>128</v>
      </c>
      <c r="C527" s="12" t="s">
        <v>1187</v>
      </c>
      <c r="D527" s="165" t="s">
        <v>1188</v>
      </c>
      <c r="E527" s="14" t="s">
        <v>139</v>
      </c>
      <c r="F527" s="1"/>
      <c r="G527" s="13">
        <v>206260</v>
      </c>
      <c r="H527" s="13">
        <v>60989</v>
      </c>
      <c r="I527" s="18">
        <v>224598</v>
      </c>
      <c r="J527" s="15">
        <f t="shared" si="24"/>
        <v>491847</v>
      </c>
      <c r="K527" s="1"/>
      <c r="L527" s="1"/>
      <c r="M527" s="1"/>
      <c r="N527" s="18"/>
      <c r="O527" s="15">
        <f t="shared" si="25"/>
        <v>0</v>
      </c>
      <c r="P527" s="1"/>
      <c r="Q527" s="13">
        <v>13985</v>
      </c>
      <c r="R527" s="13">
        <v>10291</v>
      </c>
      <c r="S527" s="18">
        <v>15426</v>
      </c>
      <c r="T527" s="15">
        <f t="shared" si="26"/>
        <v>39702</v>
      </c>
    </row>
    <row r="528" spans="1:20" ht="12.75">
      <c r="A528" s="1" t="s">
        <v>1162</v>
      </c>
      <c r="B528" s="9" t="s">
        <v>128</v>
      </c>
      <c r="C528" s="12" t="s">
        <v>1189</v>
      </c>
      <c r="D528" s="165" t="s">
        <v>1190</v>
      </c>
      <c r="E528" s="14" t="s">
        <v>139</v>
      </c>
      <c r="F528" s="1"/>
      <c r="G528" s="13">
        <v>129897</v>
      </c>
      <c r="H528" s="13">
        <v>44249</v>
      </c>
      <c r="I528" s="18">
        <v>138558</v>
      </c>
      <c r="J528" s="15">
        <f t="shared" si="24"/>
        <v>312704</v>
      </c>
      <c r="K528" s="1"/>
      <c r="L528" s="1"/>
      <c r="M528" s="1"/>
      <c r="N528" s="18"/>
      <c r="O528" s="15">
        <f t="shared" si="25"/>
        <v>0</v>
      </c>
      <c r="P528" s="1"/>
      <c r="Q528" s="13">
        <v>8112</v>
      </c>
      <c r="R528" s="13">
        <v>6335</v>
      </c>
      <c r="S528" s="18">
        <v>7810</v>
      </c>
      <c r="T528" s="15">
        <f t="shared" si="26"/>
        <v>22257</v>
      </c>
    </row>
    <row r="529" spans="1:20" ht="12.75">
      <c r="A529" s="1" t="s">
        <v>1162</v>
      </c>
      <c r="B529" s="9" t="s">
        <v>128</v>
      </c>
      <c r="C529" s="12" t="s">
        <v>1191</v>
      </c>
      <c r="D529" s="165" t="s">
        <v>1192</v>
      </c>
      <c r="E529" s="14" t="s">
        <v>139</v>
      </c>
      <c r="F529" s="1"/>
      <c r="G529" s="13">
        <v>22397</v>
      </c>
      <c r="H529" s="13">
        <v>7083</v>
      </c>
      <c r="I529" s="18">
        <v>25192</v>
      </c>
      <c r="J529" s="15">
        <f t="shared" si="24"/>
        <v>54672</v>
      </c>
      <c r="K529" s="1"/>
      <c r="L529" s="1"/>
      <c r="M529" s="1"/>
      <c r="N529" s="18"/>
      <c r="O529" s="15">
        <f t="shared" si="25"/>
        <v>0</v>
      </c>
      <c r="P529" s="1"/>
      <c r="Q529" s="13">
        <v>3642</v>
      </c>
      <c r="R529" s="13">
        <v>3989</v>
      </c>
      <c r="S529" s="18">
        <v>3028</v>
      </c>
      <c r="T529" s="15">
        <f t="shared" si="26"/>
        <v>10659</v>
      </c>
    </row>
    <row r="530" spans="1:21" ht="12.75">
      <c r="A530" s="1" t="s">
        <v>1162</v>
      </c>
      <c r="B530" s="9" t="s">
        <v>128</v>
      </c>
      <c r="C530" s="12" t="s">
        <v>1193</v>
      </c>
      <c r="D530" s="165" t="s">
        <v>1194</v>
      </c>
      <c r="E530" s="14" t="s">
        <v>139</v>
      </c>
      <c r="F530" s="1"/>
      <c r="G530" s="13">
        <v>37320</v>
      </c>
      <c r="H530" s="13">
        <v>15968</v>
      </c>
      <c r="I530" s="18">
        <v>44354</v>
      </c>
      <c r="J530" s="15">
        <f t="shared" si="24"/>
        <v>97642</v>
      </c>
      <c r="K530" s="1"/>
      <c r="L530" s="1"/>
      <c r="M530" s="1"/>
      <c r="N530" s="18"/>
      <c r="O530" s="15">
        <f t="shared" si="25"/>
        <v>0</v>
      </c>
      <c r="P530" s="1"/>
      <c r="Q530" s="13">
        <v>7472</v>
      </c>
      <c r="R530" s="13">
        <v>6070</v>
      </c>
      <c r="S530" s="18">
        <v>7951</v>
      </c>
      <c r="T530" s="15">
        <f t="shared" si="26"/>
        <v>21493</v>
      </c>
      <c r="U530" s="13"/>
    </row>
    <row r="531" spans="1:20" ht="12.75">
      <c r="A531" s="1" t="s">
        <v>1162</v>
      </c>
      <c r="B531" s="9" t="s">
        <v>128</v>
      </c>
      <c r="C531" s="12" t="s">
        <v>1195</v>
      </c>
      <c r="D531" s="165" t="s">
        <v>1196</v>
      </c>
      <c r="E531" s="14" t="s">
        <v>139</v>
      </c>
      <c r="F531" s="1"/>
      <c r="G531" s="13">
        <v>62998</v>
      </c>
      <c r="H531" s="13">
        <v>23401</v>
      </c>
      <c r="I531" s="18">
        <v>61330</v>
      </c>
      <c r="J531" s="15">
        <f t="shared" si="24"/>
        <v>147729</v>
      </c>
      <c r="K531" s="1"/>
      <c r="L531" s="1"/>
      <c r="M531" s="1"/>
      <c r="N531" s="18"/>
      <c r="O531" s="15">
        <f t="shared" si="25"/>
        <v>0</v>
      </c>
      <c r="P531" s="1"/>
      <c r="Q531" s="13">
        <v>6604</v>
      </c>
      <c r="R531" s="13">
        <v>4495</v>
      </c>
      <c r="S531" s="18">
        <v>5900</v>
      </c>
      <c r="T531" s="15">
        <f t="shared" si="26"/>
        <v>16999</v>
      </c>
    </row>
    <row r="532" spans="1:20" ht="12.75">
      <c r="A532" s="1" t="s">
        <v>1162</v>
      </c>
      <c r="B532" s="9" t="s">
        <v>128</v>
      </c>
      <c r="C532" s="12" t="s">
        <v>1197</v>
      </c>
      <c r="D532" s="165" t="s">
        <v>1198</v>
      </c>
      <c r="E532" s="14" t="s">
        <v>139</v>
      </c>
      <c r="F532" s="1"/>
      <c r="G532" s="13">
        <v>97970</v>
      </c>
      <c r="H532" s="13">
        <v>19753</v>
      </c>
      <c r="I532" s="18">
        <v>95000</v>
      </c>
      <c r="J532" s="15">
        <f t="shared" si="24"/>
        <v>212723</v>
      </c>
      <c r="K532" s="1"/>
      <c r="L532" s="1"/>
      <c r="M532" s="1"/>
      <c r="N532" s="18"/>
      <c r="O532" s="15">
        <f t="shared" si="25"/>
        <v>0</v>
      </c>
      <c r="P532" s="1"/>
      <c r="Q532" s="13">
        <v>14237</v>
      </c>
      <c r="R532" s="13">
        <v>3719</v>
      </c>
      <c r="S532" s="18">
        <v>14481</v>
      </c>
      <c r="T532" s="15">
        <f t="shared" si="26"/>
        <v>32437</v>
      </c>
    </row>
    <row r="533" spans="1:20" ht="12.75">
      <c r="A533" s="1" t="s">
        <v>1162</v>
      </c>
      <c r="B533" s="9" t="s">
        <v>128</v>
      </c>
      <c r="C533" s="12" t="s">
        <v>1199</v>
      </c>
      <c r="D533" s="165" t="s">
        <v>1200</v>
      </c>
      <c r="E533" s="20" t="s">
        <v>139</v>
      </c>
      <c r="F533" s="1"/>
      <c r="G533" s="13">
        <v>36372</v>
      </c>
      <c r="H533" s="13">
        <v>12015</v>
      </c>
      <c r="I533" s="18">
        <v>36341</v>
      </c>
      <c r="J533" s="15">
        <f t="shared" si="24"/>
        <v>84728</v>
      </c>
      <c r="K533" s="1"/>
      <c r="L533" s="1"/>
      <c r="M533" s="1"/>
      <c r="N533" s="18"/>
      <c r="O533" s="15">
        <f t="shared" si="25"/>
        <v>0</v>
      </c>
      <c r="P533" s="1"/>
      <c r="Q533" s="13">
        <v>18135</v>
      </c>
      <c r="R533" s="13">
        <v>8955</v>
      </c>
      <c r="S533" s="18">
        <v>18202</v>
      </c>
      <c r="T533" s="15">
        <f t="shared" si="26"/>
        <v>45292</v>
      </c>
    </row>
    <row r="534" spans="1:20" ht="12.75">
      <c r="A534" s="1" t="s">
        <v>1162</v>
      </c>
      <c r="B534" s="9" t="s">
        <v>128</v>
      </c>
      <c r="C534" s="12" t="s">
        <v>1201</v>
      </c>
      <c r="D534" s="165" t="s">
        <v>1202</v>
      </c>
      <c r="E534" s="14" t="s">
        <v>139</v>
      </c>
      <c r="F534" s="1"/>
      <c r="G534" s="13">
        <v>157368</v>
      </c>
      <c r="H534" s="13">
        <v>41252</v>
      </c>
      <c r="I534" s="18">
        <v>161240</v>
      </c>
      <c r="J534" s="15">
        <f t="shared" si="24"/>
        <v>359860</v>
      </c>
      <c r="K534" s="1"/>
      <c r="L534" s="1"/>
      <c r="M534" s="1"/>
      <c r="N534" s="18"/>
      <c r="O534" s="15">
        <f t="shared" si="25"/>
        <v>0</v>
      </c>
      <c r="P534" s="1"/>
      <c r="Q534" s="13">
        <v>10317</v>
      </c>
      <c r="R534" s="13">
        <v>5147</v>
      </c>
      <c r="S534" s="18">
        <v>10778</v>
      </c>
      <c r="T534" s="15">
        <f t="shared" si="26"/>
        <v>26242</v>
      </c>
    </row>
    <row r="535" spans="1:20" ht="12.75">
      <c r="A535" s="1" t="s">
        <v>1162</v>
      </c>
      <c r="B535" s="9" t="s">
        <v>128</v>
      </c>
      <c r="C535" s="12" t="s">
        <v>1203</v>
      </c>
      <c r="D535" s="165" t="s">
        <v>1204</v>
      </c>
      <c r="E535" s="14" t="s">
        <v>139</v>
      </c>
      <c r="F535" s="1"/>
      <c r="G535" s="13">
        <v>156900</v>
      </c>
      <c r="H535" s="13">
        <v>47148</v>
      </c>
      <c r="I535" s="18">
        <v>165118</v>
      </c>
      <c r="J535" s="15">
        <f t="shared" si="24"/>
        <v>369166</v>
      </c>
      <c r="K535" s="1"/>
      <c r="L535" s="1"/>
      <c r="M535" s="1"/>
      <c r="N535" s="18"/>
      <c r="O535" s="15">
        <f t="shared" si="25"/>
        <v>0</v>
      </c>
      <c r="P535" s="1"/>
      <c r="Q535" s="13">
        <v>11837</v>
      </c>
      <c r="R535" s="13">
        <v>6412</v>
      </c>
      <c r="S535" s="18">
        <v>12681</v>
      </c>
      <c r="T535" s="15">
        <f t="shared" si="26"/>
        <v>30930</v>
      </c>
    </row>
    <row r="536" spans="1:20" ht="12.75">
      <c r="A536" s="1" t="s">
        <v>1162</v>
      </c>
      <c r="B536" s="9" t="s">
        <v>128</v>
      </c>
      <c r="C536" s="12" t="s">
        <v>1205</v>
      </c>
      <c r="D536" s="165" t="s">
        <v>1206</v>
      </c>
      <c r="E536" s="14" t="s">
        <v>139</v>
      </c>
      <c r="F536" s="1"/>
      <c r="G536" s="13">
        <v>26274</v>
      </c>
      <c r="H536" s="13">
        <v>9255</v>
      </c>
      <c r="I536" s="18">
        <v>27177</v>
      </c>
      <c r="J536" s="15">
        <f t="shared" si="24"/>
        <v>62706</v>
      </c>
      <c r="K536" s="1"/>
      <c r="L536" s="1"/>
      <c r="M536" s="1"/>
      <c r="N536" s="18"/>
      <c r="O536" s="15">
        <f t="shared" si="25"/>
        <v>0</v>
      </c>
      <c r="P536" s="1"/>
      <c r="Q536" s="13">
        <v>5118</v>
      </c>
      <c r="R536" s="13">
        <v>4070</v>
      </c>
      <c r="S536" s="18">
        <v>5114</v>
      </c>
      <c r="T536" s="15">
        <f t="shared" si="26"/>
        <v>14302</v>
      </c>
    </row>
    <row r="537" spans="1:22" ht="12.75">
      <c r="A537" s="1" t="s">
        <v>1162</v>
      </c>
      <c r="B537" s="9" t="s">
        <v>128</v>
      </c>
      <c r="C537" s="12" t="s">
        <v>1207</v>
      </c>
      <c r="D537" s="165" t="s">
        <v>1208</v>
      </c>
      <c r="E537" s="14" t="s">
        <v>139</v>
      </c>
      <c r="F537" s="1"/>
      <c r="G537" s="13">
        <v>63179</v>
      </c>
      <c r="H537" s="13">
        <v>15489</v>
      </c>
      <c r="I537" s="18">
        <v>69957</v>
      </c>
      <c r="J537" s="15">
        <f t="shared" si="24"/>
        <v>148625</v>
      </c>
      <c r="K537" s="1"/>
      <c r="L537" s="1"/>
      <c r="M537" s="1"/>
      <c r="N537" s="18"/>
      <c r="O537" s="15">
        <f t="shared" si="25"/>
        <v>0</v>
      </c>
      <c r="P537" s="1"/>
      <c r="Q537" s="13">
        <v>5385</v>
      </c>
      <c r="R537" s="13">
        <v>4181</v>
      </c>
      <c r="S537" s="18">
        <v>4804</v>
      </c>
      <c r="T537" s="15">
        <f t="shared" si="26"/>
        <v>14370</v>
      </c>
      <c r="U537" s="1"/>
      <c r="V537" s="2"/>
    </row>
    <row r="538" spans="1:20" ht="12.75">
      <c r="A538" s="1" t="s">
        <v>1162</v>
      </c>
      <c r="B538" s="9" t="s">
        <v>128</v>
      </c>
      <c r="C538" s="12" t="s">
        <v>1209</v>
      </c>
      <c r="D538" s="165" t="s">
        <v>1210</v>
      </c>
      <c r="E538" s="14" t="s">
        <v>148</v>
      </c>
      <c r="F538" s="1"/>
      <c r="G538" s="13">
        <v>65578</v>
      </c>
      <c r="H538" s="13">
        <v>19375</v>
      </c>
      <c r="I538" s="18">
        <v>70676</v>
      </c>
      <c r="J538" s="15">
        <f t="shared" si="24"/>
        <v>155629</v>
      </c>
      <c r="K538" s="1"/>
      <c r="L538" s="1"/>
      <c r="M538" s="1"/>
      <c r="N538" s="18"/>
      <c r="O538" s="15">
        <f t="shared" si="25"/>
        <v>0</v>
      </c>
      <c r="P538" s="1"/>
      <c r="Q538" s="13">
        <v>2059</v>
      </c>
      <c r="R538" s="13">
        <v>1797</v>
      </c>
      <c r="S538" s="18">
        <v>2075</v>
      </c>
      <c r="T538" s="15">
        <f t="shared" si="26"/>
        <v>5931</v>
      </c>
    </row>
    <row r="539" spans="1:20" ht="12.75">
      <c r="A539" s="1" t="s">
        <v>1162</v>
      </c>
      <c r="B539" s="9" t="s">
        <v>128</v>
      </c>
      <c r="C539" s="12" t="s">
        <v>1211</v>
      </c>
      <c r="D539" s="165" t="s">
        <v>1212</v>
      </c>
      <c r="E539" s="14" t="s">
        <v>148</v>
      </c>
      <c r="F539" s="1"/>
      <c r="G539" s="13">
        <v>55919</v>
      </c>
      <c r="H539" s="13">
        <v>15096</v>
      </c>
      <c r="I539" s="18">
        <v>60338</v>
      </c>
      <c r="J539" s="15">
        <f t="shared" si="24"/>
        <v>131353</v>
      </c>
      <c r="K539" s="1"/>
      <c r="L539" s="1"/>
      <c r="M539" s="1"/>
      <c r="N539" s="18"/>
      <c r="O539" s="15">
        <f t="shared" si="25"/>
        <v>0</v>
      </c>
      <c r="P539" s="1"/>
      <c r="Q539" s="13">
        <v>2628</v>
      </c>
      <c r="R539" s="13">
        <v>1756</v>
      </c>
      <c r="S539" s="18">
        <v>2799</v>
      </c>
      <c r="T539" s="15">
        <f t="shared" si="26"/>
        <v>7183</v>
      </c>
    </row>
    <row r="540" spans="1:20" ht="12.75">
      <c r="A540" s="1" t="s">
        <v>1162</v>
      </c>
      <c r="B540" s="9" t="s">
        <v>128</v>
      </c>
      <c r="C540" s="12" t="s">
        <v>1213</v>
      </c>
      <c r="D540" s="165" t="s">
        <v>1214</v>
      </c>
      <c r="E540" s="14" t="s">
        <v>148</v>
      </c>
      <c r="F540" s="1"/>
      <c r="G540" s="13">
        <v>68428</v>
      </c>
      <c r="H540" s="13">
        <v>18249</v>
      </c>
      <c r="I540" s="18">
        <v>75767</v>
      </c>
      <c r="J540" s="15">
        <f t="shared" si="24"/>
        <v>162444</v>
      </c>
      <c r="K540" s="1"/>
      <c r="L540" s="1"/>
      <c r="M540" s="1"/>
      <c r="N540" s="18"/>
      <c r="O540" s="15">
        <f t="shared" si="25"/>
        <v>0</v>
      </c>
      <c r="P540" s="1"/>
      <c r="Q540" s="13">
        <v>3590</v>
      </c>
      <c r="R540" s="13">
        <v>4604</v>
      </c>
      <c r="S540" s="18">
        <v>3658</v>
      </c>
      <c r="T540" s="15">
        <f t="shared" si="26"/>
        <v>11852</v>
      </c>
    </row>
    <row r="541" spans="1:24" ht="12.75">
      <c r="A541" s="1" t="s">
        <v>1162</v>
      </c>
      <c r="B541" s="9" t="s">
        <v>128</v>
      </c>
      <c r="C541" s="12" t="s">
        <v>1215</v>
      </c>
      <c r="D541" s="165" t="s">
        <v>1216</v>
      </c>
      <c r="E541" s="14" t="s">
        <v>148</v>
      </c>
      <c r="F541" s="1"/>
      <c r="G541" s="13">
        <v>10576</v>
      </c>
      <c r="H541" s="13">
        <v>5259</v>
      </c>
      <c r="I541" s="18">
        <v>17337</v>
      </c>
      <c r="J541" s="15">
        <f t="shared" si="24"/>
        <v>33172</v>
      </c>
      <c r="K541" s="1"/>
      <c r="L541" s="1"/>
      <c r="M541" s="1"/>
      <c r="N541" s="18"/>
      <c r="O541" s="15">
        <f t="shared" si="25"/>
        <v>0</v>
      </c>
      <c r="P541" s="1"/>
      <c r="Q541" s="13">
        <v>3903</v>
      </c>
      <c r="R541" s="13">
        <v>2121</v>
      </c>
      <c r="S541" s="18">
        <v>4434</v>
      </c>
      <c r="T541" s="15">
        <f t="shared" si="26"/>
        <v>10458</v>
      </c>
      <c r="U541" s="1"/>
      <c r="V541" s="12"/>
      <c r="W541" s="1"/>
      <c r="X541" s="12"/>
    </row>
    <row r="542" spans="1:20" ht="12.75">
      <c r="A542" s="1" t="s">
        <v>1162</v>
      </c>
      <c r="B542" s="9" t="s">
        <v>128</v>
      </c>
      <c r="C542" s="12" t="s">
        <v>1217</v>
      </c>
      <c r="D542" s="165" t="s">
        <v>1218</v>
      </c>
      <c r="E542" s="14" t="s">
        <v>148</v>
      </c>
      <c r="F542" s="1"/>
      <c r="G542" s="13">
        <v>17354</v>
      </c>
      <c r="H542" s="13">
        <v>5735</v>
      </c>
      <c r="I542" s="18">
        <v>18324</v>
      </c>
      <c r="J542" s="15">
        <f t="shared" si="24"/>
        <v>41413</v>
      </c>
      <c r="K542" s="1"/>
      <c r="L542" s="1"/>
      <c r="M542" s="1"/>
      <c r="N542" s="18"/>
      <c r="O542" s="15">
        <f t="shared" si="25"/>
        <v>0</v>
      </c>
      <c r="P542" s="1"/>
      <c r="Q542" s="13">
        <v>2401</v>
      </c>
      <c r="R542" s="13">
        <v>1884</v>
      </c>
      <c r="S542" s="18">
        <v>2434</v>
      </c>
      <c r="T542" s="15">
        <f t="shared" si="26"/>
        <v>6719</v>
      </c>
    </row>
    <row r="543" spans="1:20" ht="12.75">
      <c r="A543" s="1" t="s">
        <v>1162</v>
      </c>
      <c r="B543" s="9" t="s">
        <v>128</v>
      </c>
      <c r="C543" s="12" t="s">
        <v>1219</v>
      </c>
      <c r="D543" s="165" t="s">
        <v>1220</v>
      </c>
      <c r="E543" s="14" t="s">
        <v>148</v>
      </c>
      <c r="F543" s="1"/>
      <c r="G543" s="13">
        <v>130721</v>
      </c>
      <c r="H543" s="13">
        <v>58920</v>
      </c>
      <c r="I543" s="18">
        <v>134574</v>
      </c>
      <c r="J543" s="15">
        <f t="shared" si="24"/>
        <v>324215</v>
      </c>
      <c r="K543" s="1"/>
      <c r="L543" s="1"/>
      <c r="M543" s="1"/>
      <c r="N543" s="18"/>
      <c r="O543" s="15">
        <f t="shared" si="25"/>
        <v>0</v>
      </c>
      <c r="P543" s="1"/>
      <c r="Q543" s="13">
        <v>4239</v>
      </c>
      <c r="R543" s="13">
        <v>4355</v>
      </c>
      <c r="S543" s="18">
        <v>4972</v>
      </c>
      <c r="T543" s="15">
        <f t="shared" si="26"/>
        <v>13566</v>
      </c>
    </row>
    <row r="544" spans="1:24" ht="12.75">
      <c r="A544" s="1" t="s">
        <v>1162</v>
      </c>
      <c r="B544" s="9" t="s">
        <v>128</v>
      </c>
      <c r="C544" s="12" t="s">
        <v>1221</v>
      </c>
      <c r="D544" s="165" t="s">
        <v>1222</v>
      </c>
      <c r="E544" s="14" t="s">
        <v>157</v>
      </c>
      <c r="F544" s="1"/>
      <c r="G544" s="13">
        <v>6990</v>
      </c>
      <c r="H544" s="13">
        <v>3319</v>
      </c>
      <c r="I544" s="18">
        <v>7015</v>
      </c>
      <c r="J544" s="15">
        <f t="shared" si="24"/>
        <v>17324</v>
      </c>
      <c r="K544" s="1"/>
      <c r="L544" s="1"/>
      <c r="M544" s="1"/>
      <c r="N544" s="18"/>
      <c r="O544" s="15">
        <f t="shared" si="25"/>
        <v>0</v>
      </c>
      <c r="P544" s="1"/>
      <c r="Q544" s="13">
        <v>1377</v>
      </c>
      <c r="R544" s="13">
        <v>1101</v>
      </c>
      <c r="S544" s="18">
        <v>1428</v>
      </c>
      <c r="T544" s="15">
        <f t="shared" si="26"/>
        <v>3906</v>
      </c>
      <c r="U544" s="1"/>
      <c r="V544" s="12"/>
      <c r="W544" s="1"/>
      <c r="X544" s="12"/>
    </row>
    <row r="545" spans="1:24" ht="12.75">
      <c r="A545" s="1" t="s">
        <v>1162</v>
      </c>
      <c r="B545" s="9" t="s">
        <v>128</v>
      </c>
      <c r="C545" s="12" t="s">
        <v>1223</v>
      </c>
      <c r="D545" s="1"/>
      <c r="E545" s="14" t="s">
        <v>157</v>
      </c>
      <c r="F545" s="1"/>
      <c r="G545" s="13">
        <v>3771</v>
      </c>
      <c r="H545" s="13">
        <v>3012</v>
      </c>
      <c r="I545" s="18">
        <v>3789</v>
      </c>
      <c r="J545" s="15">
        <f t="shared" si="24"/>
        <v>10572</v>
      </c>
      <c r="K545" s="1"/>
      <c r="L545" s="1"/>
      <c r="M545" s="1"/>
      <c r="N545" s="18"/>
      <c r="O545" s="15">
        <f t="shared" si="25"/>
        <v>0</v>
      </c>
      <c r="P545" s="1"/>
      <c r="Q545" s="13">
        <v>1104</v>
      </c>
      <c r="R545" s="13">
        <v>1035</v>
      </c>
      <c r="S545" s="18">
        <v>1074</v>
      </c>
      <c r="T545" s="15">
        <f t="shared" si="26"/>
        <v>3213</v>
      </c>
      <c r="U545" s="1"/>
      <c r="V545" s="12"/>
      <c r="W545" s="1"/>
      <c r="X545" s="12"/>
    </row>
    <row r="546" spans="1:24" ht="12.75">
      <c r="A546" s="1" t="s">
        <v>1162</v>
      </c>
      <c r="B546" s="9" t="s">
        <v>128</v>
      </c>
      <c r="C546" s="12" t="s">
        <v>1224</v>
      </c>
      <c r="D546" s="165" t="s">
        <v>1225</v>
      </c>
      <c r="E546" s="14" t="s">
        <v>157</v>
      </c>
      <c r="F546" s="1"/>
      <c r="G546" s="13">
        <v>7131</v>
      </c>
      <c r="H546" s="13">
        <v>3178</v>
      </c>
      <c r="I546" s="18">
        <v>7752</v>
      </c>
      <c r="J546" s="15">
        <f t="shared" si="24"/>
        <v>18061</v>
      </c>
      <c r="K546" s="1"/>
      <c r="L546" s="1"/>
      <c r="M546" s="1"/>
      <c r="N546" s="18"/>
      <c r="O546" s="15">
        <f t="shared" si="25"/>
        <v>0</v>
      </c>
      <c r="P546" s="1"/>
      <c r="Q546" s="13">
        <v>3455</v>
      </c>
      <c r="R546" s="13">
        <v>3302</v>
      </c>
      <c r="S546" s="18">
        <v>3099</v>
      </c>
      <c r="T546" s="15">
        <f t="shared" si="26"/>
        <v>9856</v>
      </c>
      <c r="U546" s="1"/>
      <c r="V546" s="12"/>
      <c r="W546" s="1"/>
      <c r="X546" s="12"/>
    </row>
    <row r="547" spans="1:24" ht="12.75">
      <c r="A547" s="1" t="s">
        <v>1162</v>
      </c>
      <c r="B547" s="9" t="s">
        <v>128</v>
      </c>
      <c r="C547" s="12" t="s">
        <v>1226</v>
      </c>
      <c r="D547" s="165" t="s">
        <v>1227</v>
      </c>
      <c r="E547" s="14" t="s">
        <v>157</v>
      </c>
      <c r="F547" s="1"/>
      <c r="G547" s="13">
        <v>13908</v>
      </c>
      <c r="H547" s="13">
        <v>7174</v>
      </c>
      <c r="I547" s="18">
        <v>14104</v>
      </c>
      <c r="J547" s="15">
        <f t="shared" si="24"/>
        <v>35186</v>
      </c>
      <c r="K547" s="1"/>
      <c r="L547" s="1"/>
      <c r="M547" s="1"/>
      <c r="N547" s="18"/>
      <c r="O547" s="15">
        <f t="shared" si="25"/>
        <v>0</v>
      </c>
      <c r="P547" s="1"/>
      <c r="Q547" s="13">
        <v>2487</v>
      </c>
      <c r="R547" s="13">
        <v>2145</v>
      </c>
      <c r="S547" s="18">
        <v>2679</v>
      </c>
      <c r="T547" s="15">
        <f t="shared" si="26"/>
        <v>7311</v>
      </c>
      <c r="U547" s="1"/>
      <c r="V547" s="12"/>
      <c r="W547" s="1"/>
      <c r="X547" s="12"/>
    </row>
    <row r="548" spans="1:20" ht="12.75">
      <c r="A548" s="1" t="s">
        <v>1162</v>
      </c>
      <c r="B548" s="9" t="s">
        <v>128</v>
      </c>
      <c r="C548" s="12" t="s">
        <v>1228</v>
      </c>
      <c r="D548" s="165" t="s">
        <v>1229</v>
      </c>
      <c r="E548" s="14" t="s">
        <v>166</v>
      </c>
      <c r="F548" s="1"/>
      <c r="G548" s="13">
        <v>15023</v>
      </c>
      <c r="H548" s="13">
        <v>2670</v>
      </c>
      <c r="I548" s="18">
        <v>17476</v>
      </c>
      <c r="J548" s="15">
        <f t="shared" si="24"/>
        <v>35169</v>
      </c>
      <c r="K548" s="1"/>
      <c r="L548" s="1"/>
      <c r="M548" s="1"/>
      <c r="N548" s="18"/>
      <c r="O548" s="15">
        <f t="shared" si="25"/>
        <v>0</v>
      </c>
      <c r="P548" s="1"/>
      <c r="Q548" s="13">
        <v>0</v>
      </c>
      <c r="R548" s="13">
        <v>0</v>
      </c>
      <c r="S548" s="18">
        <v>0</v>
      </c>
      <c r="T548" s="15">
        <f t="shared" si="26"/>
        <v>0</v>
      </c>
    </row>
    <row r="549" spans="1:20" ht="12.75">
      <c r="A549" s="1" t="s">
        <v>1162</v>
      </c>
      <c r="B549" s="9" t="s">
        <v>128</v>
      </c>
      <c r="C549" s="12" t="s">
        <v>1230</v>
      </c>
      <c r="D549" s="165" t="s">
        <v>1231</v>
      </c>
      <c r="E549" s="14" t="s">
        <v>166</v>
      </c>
      <c r="F549" s="1"/>
      <c r="G549" s="13">
        <v>71509</v>
      </c>
      <c r="H549" s="13">
        <v>18730</v>
      </c>
      <c r="I549" s="18">
        <v>75506</v>
      </c>
      <c r="J549" s="15">
        <f t="shared" si="24"/>
        <v>165745</v>
      </c>
      <c r="K549" s="1"/>
      <c r="L549" s="1"/>
      <c r="M549" s="1"/>
      <c r="N549" s="18"/>
      <c r="O549" s="15">
        <f t="shared" si="25"/>
        <v>0</v>
      </c>
      <c r="P549" s="1"/>
      <c r="Q549" s="13">
        <v>0</v>
      </c>
      <c r="R549" s="13">
        <v>0</v>
      </c>
      <c r="S549" s="18">
        <v>0</v>
      </c>
      <c r="T549" s="15">
        <f t="shared" si="26"/>
        <v>0</v>
      </c>
    </row>
    <row r="550" spans="1:20" ht="12.75">
      <c r="A550" s="1" t="s">
        <v>1162</v>
      </c>
      <c r="B550" s="9" t="s">
        <v>128</v>
      </c>
      <c r="C550" s="12" t="s">
        <v>1232</v>
      </c>
      <c r="D550" s="165" t="s">
        <v>1233</v>
      </c>
      <c r="E550" s="14" t="s">
        <v>170</v>
      </c>
      <c r="F550" s="1"/>
      <c r="G550" s="13">
        <v>37498</v>
      </c>
      <c r="H550" s="13">
        <f>4556+313096</f>
        <v>317652</v>
      </c>
      <c r="I550" s="18">
        <v>34076</v>
      </c>
      <c r="J550" s="15">
        <f t="shared" si="24"/>
        <v>389226</v>
      </c>
      <c r="K550" s="13">
        <v>52372</v>
      </c>
      <c r="L550" s="13">
        <v>1885</v>
      </c>
      <c r="M550" s="13">
        <v>27450</v>
      </c>
      <c r="N550" s="18">
        <v>15511</v>
      </c>
      <c r="O550" s="15">
        <f t="shared" si="25"/>
        <v>97218</v>
      </c>
      <c r="P550" s="1"/>
      <c r="Q550" s="1"/>
      <c r="R550" s="1"/>
      <c r="S550" s="18"/>
      <c r="T550" s="15">
        <f t="shared" si="26"/>
        <v>0</v>
      </c>
    </row>
    <row r="551" spans="1:20" ht="12.75">
      <c r="A551" s="1" t="s">
        <v>1162</v>
      </c>
      <c r="B551" s="9" t="s">
        <v>128</v>
      </c>
      <c r="C551" s="12" t="s">
        <v>1234</v>
      </c>
      <c r="D551" s="165" t="s">
        <v>1235</v>
      </c>
      <c r="E551" s="14" t="s">
        <v>170</v>
      </c>
      <c r="F551" s="1"/>
      <c r="G551" s="13">
        <v>50713</v>
      </c>
      <c r="H551" s="13">
        <f>12358+3706</f>
        <v>16064</v>
      </c>
      <c r="I551" s="18">
        <v>52370</v>
      </c>
      <c r="J551" s="15">
        <f t="shared" si="24"/>
        <v>119147</v>
      </c>
      <c r="K551" s="13">
        <v>137506</v>
      </c>
      <c r="L551" s="13">
        <v>78303</v>
      </c>
      <c r="M551" s="13">
        <v>72789</v>
      </c>
      <c r="N551" s="18">
        <v>136553</v>
      </c>
      <c r="O551" s="15">
        <f t="shared" si="25"/>
        <v>425151</v>
      </c>
      <c r="P551" s="1"/>
      <c r="Q551" s="1"/>
      <c r="R551" s="1"/>
      <c r="S551" s="18"/>
      <c r="T551" s="15">
        <f t="shared" si="26"/>
        <v>0</v>
      </c>
    </row>
    <row r="552" spans="1:20" ht="12.75">
      <c r="A552" s="1" t="s">
        <v>1162</v>
      </c>
      <c r="B552" s="9" t="s">
        <v>128</v>
      </c>
      <c r="C552" s="12" t="s">
        <v>1236</v>
      </c>
      <c r="D552" s="165" t="s">
        <v>1237</v>
      </c>
      <c r="E552" s="14" t="s">
        <v>170</v>
      </c>
      <c r="F552" s="1"/>
      <c r="G552" s="13">
        <v>32182</v>
      </c>
      <c r="H552" s="13">
        <v>9202</v>
      </c>
      <c r="I552" s="18">
        <v>33599</v>
      </c>
      <c r="J552" s="15">
        <f t="shared" si="24"/>
        <v>74983</v>
      </c>
      <c r="K552" s="13">
        <v>91150</v>
      </c>
      <c r="L552" s="13">
        <v>60745</v>
      </c>
      <c r="M552" s="13">
        <v>68698</v>
      </c>
      <c r="N552" s="18">
        <v>76363</v>
      </c>
      <c r="O552" s="15">
        <f t="shared" si="25"/>
        <v>296956</v>
      </c>
      <c r="P552" s="1"/>
      <c r="Q552" s="1"/>
      <c r="R552" s="1"/>
      <c r="S552" s="18"/>
      <c r="T552" s="15">
        <f t="shared" si="26"/>
        <v>0</v>
      </c>
    </row>
    <row r="553" spans="1:24" ht="12.75">
      <c r="A553" s="1" t="s">
        <v>1162</v>
      </c>
      <c r="B553" s="9" t="s">
        <v>128</v>
      </c>
      <c r="C553" s="12" t="s">
        <v>1238</v>
      </c>
      <c r="D553" s="165" t="s">
        <v>1239</v>
      </c>
      <c r="E553" s="20" t="s">
        <v>170</v>
      </c>
      <c r="F553" s="1"/>
      <c r="G553" s="13">
        <v>190209</v>
      </c>
      <c r="H553" s="13">
        <v>100152</v>
      </c>
      <c r="I553" s="18">
        <v>198564</v>
      </c>
      <c r="J553" s="15">
        <f t="shared" si="24"/>
        <v>488925</v>
      </c>
      <c r="K553" s="13">
        <v>90746</v>
      </c>
      <c r="L553" s="13">
        <v>97633</v>
      </c>
      <c r="M553" s="13">
        <v>70933</v>
      </c>
      <c r="N553" s="18">
        <v>135894</v>
      </c>
      <c r="O553" s="15">
        <f t="shared" si="25"/>
        <v>395206</v>
      </c>
      <c r="P553" s="1"/>
      <c r="Q553" s="1"/>
      <c r="R553" s="1"/>
      <c r="S553" s="18"/>
      <c r="T553" s="15">
        <f t="shared" si="26"/>
        <v>0</v>
      </c>
      <c r="U553" s="12"/>
      <c r="V553" s="13"/>
      <c r="W553" s="12"/>
      <c r="X553" s="13"/>
    </row>
    <row r="554" spans="1:20" ht="12.75">
      <c r="A554" s="1" t="s">
        <v>1162</v>
      </c>
      <c r="B554" s="9" t="s">
        <v>128</v>
      </c>
      <c r="C554" s="12" t="s">
        <v>1240</v>
      </c>
      <c r="D554" s="165" t="s">
        <v>1241</v>
      </c>
      <c r="E554" s="14" t="s">
        <v>170</v>
      </c>
      <c r="F554" s="1"/>
      <c r="G554" s="13">
        <v>26687</v>
      </c>
      <c r="H554" s="13">
        <v>10868</v>
      </c>
      <c r="I554" s="18">
        <v>26056</v>
      </c>
      <c r="J554" s="15">
        <f t="shared" si="24"/>
        <v>63611</v>
      </c>
      <c r="K554" s="13">
        <v>36076</v>
      </c>
      <c r="L554" s="13">
        <v>46029</v>
      </c>
      <c r="M554" s="13">
        <v>54062</v>
      </c>
      <c r="N554" s="18">
        <v>36615</v>
      </c>
      <c r="O554" s="15">
        <f t="shared" si="25"/>
        <v>172782</v>
      </c>
      <c r="P554" s="1"/>
      <c r="Q554" s="1"/>
      <c r="R554" s="1"/>
      <c r="S554" s="18"/>
      <c r="T554" s="15">
        <f t="shared" si="26"/>
        <v>0</v>
      </c>
    </row>
    <row r="555" spans="1:37" ht="12.75">
      <c r="A555" s="1" t="s">
        <v>1162</v>
      </c>
      <c r="B555" s="9" t="s">
        <v>128</v>
      </c>
      <c r="C555" s="12" t="s">
        <v>1242</v>
      </c>
      <c r="D555" s="165" t="s">
        <v>1243</v>
      </c>
      <c r="E555" s="14" t="s">
        <v>170</v>
      </c>
      <c r="F555" s="1"/>
      <c r="G555" s="13">
        <v>84918</v>
      </c>
      <c r="H555" s="13">
        <v>37987</v>
      </c>
      <c r="I555" s="18">
        <v>94976</v>
      </c>
      <c r="J555" s="15">
        <f t="shared" si="24"/>
        <v>217881</v>
      </c>
      <c r="K555" s="13">
        <v>14973</v>
      </c>
      <c r="L555" s="13">
        <v>14823</v>
      </c>
      <c r="M555" s="13">
        <v>15035</v>
      </c>
      <c r="N555" s="18">
        <v>17894</v>
      </c>
      <c r="O555" s="15">
        <f t="shared" si="25"/>
        <v>62725</v>
      </c>
      <c r="P555" s="1"/>
      <c r="Q555" s="1"/>
      <c r="R555" s="1"/>
      <c r="S555" s="18"/>
      <c r="T555" s="15">
        <f t="shared" si="26"/>
        <v>0</v>
      </c>
      <c r="U555" s="1"/>
      <c r="V555" s="1"/>
      <c r="W555" s="1"/>
      <c r="X555" s="1"/>
      <c r="Y555" s="1"/>
      <c r="Z555" s="1"/>
      <c r="AA555" s="1"/>
      <c r="AB555" s="1"/>
      <c r="AC555" s="1"/>
      <c r="AD555" s="33"/>
      <c r="AE555" s="33"/>
      <c r="AF555" s="33"/>
      <c r="AG555" s="33"/>
      <c r="AH555" s="33"/>
      <c r="AI555" s="33"/>
      <c r="AJ555" s="33"/>
      <c r="AK555" s="33"/>
    </row>
    <row r="556" spans="1:37" ht="12.75">
      <c r="A556" s="1" t="s">
        <v>1162</v>
      </c>
      <c r="B556" s="9" t="s">
        <v>128</v>
      </c>
      <c r="C556" s="12" t="s">
        <v>1244</v>
      </c>
      <c r="D556" s="165" t="s">
        <v>1245</v>
      </c>
      <c r="E556" s="14" t="s">
        <v>170</v>
      </c>
      <c r="F556" s="1"/>
      <c r="G556" s="13">
        <v>21455</v>
      </c>
      <c r="H556" s="13">
        <v>8383</v>
      </c>
      <c r="I556" s="18">
        <v>23749</v>
      </c>
      <c r="J556" s="15">
        <f t="shared" si="24"/>
        <v>53587</v>
      </c>
      <c r="K556" s="13">
        <v>12839</v>
      </c>
      <c r="L556" s="13">
        <v>11753</v>
      </c>
      <c r="M556" s="13">
        <v>9874</v>
      </c>
      <c r="N556" s="18">
        <v>22736</v>
      </c>
      <c r="O556" s="15">
        <f t="shared" si="25"/>
        <v>57202</v>
      </c>
      <c r="P556" s="1"/>
      <c r="Q556" s="1"/>
      <c r="R556" s="1"/>
      <c r="S556" s="18"/>
      <c r="T556" s="15">
        <f t="shared" si="26"/>
        <v>0</v>
      </c>
      <c r="U556" s="1"/>
      <c r="V556" s="1"/>
      <c r="W556" s="1"/>
      <c r="X556" s="1"/>
      <c r="Y556" s="13"/>
      <c r="Z556" s="1"/>
      <c r="AA556" s="1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</row>
    <row r="557" spans="1:25" ht="12.75">
      <c r="A557" s="1" t="s">
        <v>1162</v>
      </c>
      <c r="B557" s="9" t="s">
        <v>128</v>
      </c>
      <c r="C557" s="12" t="s">
        <v>1246</v>
      </c>
      <c r="D557" s="165" t="s">
        <v>1247</v>
      </c>
      <c r="E557" s="14" t="s">
        <v>170</v>
      </c>
      <c r="F557" s="1"/>
      <c r="G557" s="13">
        <v>57674</v>
      </c>
      <c r="H557" s="13">
        <v>23358</v>
      </c>
      <c r="I557" s="18">
        <v>58988</v>
      </c>
      <c r="J557" s="15">
        <f t="shared" si="24"/>
        <v>140020</v>
      </c>
      <c r="K557" s="13">
        <v>57503</v>
      </c>
      <c r="L557" s="13">
        <v>50889</v>
      </c>
      <c r="M557" s="13">
        <v>53991</v>
      </c>
      <c r="N557" s="18">
        <v>70232</v>
      </c>
      <c r="O557" s="15">
        <f t="shared" si="25"/>
        <v>232615</v>
      </c>
      <c r="P557" s="1"/>
      <c r="Q557" s="1"/>
      <c r="R557" s="1"/>
      <c r="S557" s="18"/>
      <c r="T557" s="15">
        <f t="shared" si="26"/>
        <v>0</v>
      </c>
      <c r="U557" s="1"/>
      <c r="V557" s="1"/>
      <c r="W557" s="1"/>
      <c r="X557" s="1"/>
      <c r="Y557" s="13"/>
    </row>
    <row r="558" spans="1:20" ht="12.75">
      <c r="A558" s="1" t="s">
        <v>1162</v>
      </c>
      <c r="B558" s="9" t="s">
        <v>128</v>
      </c>
      <c r="C558" s="12" t="s">
        <v>1248</v>
      </c>
      <c r="D558" s="165" t="s">
        <v>1249</v>
      </c>
      <c r="E558" s="14" t="s">
        <v>170</v>
      </c>
      <c r="F558" s="1"/>
      <c r="G558" s="13">
        <v>19805</v>
      </c>
      <c r="H558" s="13">
        <v>9100</v>
      </c>
      <c r="I558" s="18">
        <v>22379</v>
      </c>
      <c r="J558" s="15">
        <f t="shared" si="24"/>
        <v>51284</v>
      </c>
      <c r="K558" s="13">
        <v>51622</v>
      </c>
      <c r="L558" s="13">
        <v>74357</v>
      </c>
      <c r="M558" s="13">
        <v>61111</v>
      </c>
      <c r="N558" s="18">
        <v>62765</v>
      </c>
      <c r="O558" s="15">
        <f t="shared" si="25"/>
        <v>249855</v>
      </c>
      <c r="P558" s="1"/>
      <c r="Q558" s="1"/>
      <c r="R558" s="1"/>
      <c r="S558" s="18"/>
      <c r="T558" s="15">
        <f t="shared" si="26"/>
        <v>0</v>
      </c>
    </row>
    <row r="559" spans="1:20" ht="12.75">
      <c r="A559" s="1" t="s">
        <v>1162</v>
      </c>
      <c r="B559" s="9" t="s">
        <v>128</v>
      </c>
      <c r="C559" s="12" t="s">
        <v>1250</v>
      </c>
      <c r="D559" s="165" t="s">
        <v>1251</v>
      </c>
      <c r="E559" s="14" t="s">
        <v>170</v>
      </c>
      <c r="F559" s="1"/>
      <c r="G559" s="13">
        <v>73459</v>
      </c>
      <c r="H559" s="13">
        <v>47533</v>
      </c>
      <c r="I559" s="18">
        <v>59562</v>
      </c>
      <c r="J559" s="15">
        <f t="shared" si="24"/>
        <v>180554</v>
      </c>
      <c r="K559" s="13">
        <v>67594</v>
      </c>
      <c r="L559" s="13">
        <v>80887</v>
      </c>
      <c r="M559" s="13">
        <v>63410</v>
      </c>
      <c r="N559" s="18">
        <v>126963</v>
      </c>
      <c r="O559" s="15">
        <f t="shared" si="25"/>
        <v>338854</v>
      </c>
      <c r="P559" s="1"/>
      <c r="Q559" s="1"/>
      <c r="R559" s="1"/>
      <c r="S559" s="18"/>
      <c r="T559" s="15">
        <f t="shared" si="26"/>
        <v>0</v>
      </c>
    </row>
    <row r="560" spans="1:20" ht="12.75">
      <c r="A560" s="1" t="s">
        <v>1162</v>
      </c>
      <c r="B560" s="9" t="s">
        <v>128</v>
      </c>
      <c r="C560" s="12" t="s">
        <v>1252</v>
      </c>
      <c r="D560" s="165" t="s">
        <v>1253</v>
      </c>
      <c r="E560" s="14" t="s">
        <v>170</v>
      </c>
      <c r="F560" s="1"/>
      <c r="G560" s="13">
        <v>23157</v>
      </c>
      <c r="H560" s="13">
        <v>6028</v>
      </c>
      <c r="I560" s="18">
        <v>26161</v>
      </c>
      <c r="J560" s="15">
        <f t="shared" si="24"/>
        <v>55346</v>
      </c>
      <c r="K560" s="13">
        <v>31132</v>
      </c>
      <c r="L560" s="13">
        <v>25596</v>
      </c>
      <c r="M560" s="13">
        <v>17595</v>
      </c>
      <c r="N560" s="18">
        <v>10362</v>
      </c>
      <c r="O560" s="15">
        <f t="shared" si="25"/>
        <v>84685</v>
      </c>
      <c r="P560" s="1"/>
      <c r="Q560" s="1"/>
      <c r="R560" s="1"/>
      <c r="S560" s="18"/>
      <c r="T560" s="15">
        <f t="shared" si="26"/>
        <v>0</v>
      </c>
    </row>
    <row r="561" spans="1:39" ht="12.75">
      <c r="A561" s="1" t="s">
        <v>1162</v>
      </c>
      <c r="B561" s="9" t="s">
        <v>128</v>
      </c>
      <c r="C561" s="12" t="s">
        <v>1254</v>
      </c>
      <c r="D561" s="165" t="s">
        <v>1255</v>
      </c>
      <c r="E561" s="14" t="s">
        <v>170</v>
      </c>
      <c r="F561" s="1"/>
      <c r="G561" s="13">
        <v>7629</v>
      </c>
      <c r="H561" s="13">
        <v>2337</v>
      </c>
      <c r="I561" s="18">
        <v>7872</v>
      </c>
      <c r="J561" s="15">
        <f t="shared" si="24"/>
        <v>17838</v>
      </c>
      <c r="K561" s="13">
        <v>30836</v>
      </c>
      <c r="L561" s="13">
        <v>26172</v>
      </c>
      <c r="M561" s="13">
        <v>34150</v>
      </c>
      <c r="N561" s="18">
        <v>29227</v>
      </c>
      <c r="O561" s="15">
        <f t="shared" si="25"/>
        <v>120385</v>
      </c>
      <c r="P561" s="1"/>
      <c r="Q561" s="1"/>
      <c r="R561" s="1"/>
      <c r="S561" s="18"/>
      <c r="T561" s="15">
        <f t="shared" si="26"/>
        <v>0</v>
      </c>
      <c r="U561" s="1"/>
      <c r="V561" s="1"/>
      <c r="W561" s="1"/>
      <c r="X561" s="1"/>
      <c r="Y561" s="1"/>
      <c r="Z561" s="1"/>
      <c r="AA561" s="1"/>
      <c r="AB561" s="33"/>
      <c r="AC561" s="9"/>
      <c r="AD561" s="9"/>
      <c r="AE561" s="9"/>
      <c r="AF561" s="9"/>
      <c r="AG561" s="9"/>
      <c r="AH561" s="9"/>
      <c r="AI561" s="9"/>
      <c r="AJ561" s="9"/>
      <c r="AK561" s="9"/>
      <c r="AL561" s="1"/>
      <c r="AM561" s="13"/>
    </row>
    <row r="562" spans="1:37" ht="12.75">
      <c r="A562" s="1" t="s">
        <v>1162</v>
      </c>
      <c r="B562" s="9" t="s">
        <v>128</v>
      </c>
      <c r="C562" s="12" t="s">
        <v>1256</v>
      </c>
      <c r="D562" s="165" t="s">
        <v>1257</v>
      </c>
      <c r="E562" s="14" t="s">
        <v>170</v>
      </c>
      <c r="F562" s="1"/>
      <c r="G562" s="13">
        <v>29402</v>
      </c>
      <c r="H562" s="13">
        <v>11892</v>
      </c>
      <c r="I562" s="18">
        <v>29707</v>
      </c>
      <c r="J562" s="15">
        <f t="shared" si="24"/>
        <v>71001</v>
      </c>
      <c r="K562" s="13">
        <v>72965</v>
      </c>
      <c r="L562" s="13">
        <v>34736</v>
      </c>
      <c r="M562" s="13">
        <v>46842</v>
      </c>
      <c r="N562" s="18">
        <v>53804</v>
      </c>
      <c r="O562" s="15">
        <f t="shared" si="25"/>
        <v>208347</v>
      </c>
      <c r="P562" s="1"/>
      <c r="Q562" s="1"/>
      <c r="R562" s="1"/>
      <c r="S562" s="18"/>
      <c r="T562" s="15">
        <f t="shared" si="26"/>
        <v>0</v>
      </c>
      <c r="U562" s="1"/>
      <c r="V562" s="1"/>
      <c r="W562" s="1"/>
      <c r="X562" s="1"/>
      <c r="Y562" s="1"/>
      <c r="Z562" s="1"/>
      <c r="AA562" s="1"/>
      <c r="AB562" s="33"/>
      <c r="AC562" s="9"/>
      <c r="AD562" s="9"/>
      <c r="AE562" s="9"/>
      <c r="AF562" s="9"/>
      <c r="AG562" s="9"/>
      <c r="AH562" s="9"/>
      <c r="AI562" s="9"/>
      <c r="AJ562" s="9"/>
      <c r="AK562" s="9"/>
    </row>
    <row r="563" spans="1:48" ht="15.75">
      <c r="A563" s="1" t="s">
        <v>1162</v>
      </c>
      <c r="B563" s="9" t="s">
        <v>128</v>
      </c>
      <c r="C563" s="12" t="s">
        <v>1258</v>
      </c>
      <c r="D563" s="165" t="s">
        <v>1259</v>
      </c>
      <c r="E563" s="14" t="s">
        <v>170</v>
      </c>
      <c r="F563" s="1"/>
      <c r="G563" s="13">
        <v>73853</v>
      </c>
      <c r="H563" s="13">
        <v>29714</v>
      </c>
      <c r="I563" s="18">
        <v>80659</v>
      </c>
      <c r="J563" s="15">
        <f t="shared" si="24"/>
        <v>184226</v>
      </c>
      <c r="K563" s="13">
        <v>79581</v>
      </c>
      <c r="L563" s="13">
        <v>52113</v>
      </c>
      <c r="M563" s="13">
        <v>76896</v>
      </c>
      <c r="N563" s="18">
        <v>102695</v>
      </c>
      <c r="O563" s="15">
        <f t="shared" si="25"/>
        <v>311285</v>
      </c>
      <c r="P563" s="1"/>
      <c r="Q563" s="1"/>
      <c r="R563" s="1"/>
      <c r="S563" s="18"/>
      <c r="T563" s="15">
        <f t="shared" si="26"/>
        <v>0</v>
      </c>
      <c r="U563" s="1"/>
      <c r="V563" s="1"/>
      <c r="W563" s="1"/>
      <c r="X563" s="1"/>
      <c r="Y563" s="1"/>
      <c r="Z563" s="13"/>
      <c r="AA563" s="1"/>
      <c r="AB563" s="33"/>
      <c r="AC563" s="9"/>
      <c r="AD563" s="9"/>
      <c r="AE563" s="9"/>
      <c r="AF563" s="9"/>
      <c r="AG563" s="9"/>
      <c r="AH563" s="9"/>
      <c r="AI563" s="9"/>
      <c r="AJ563" s="9"/>
      <c r="AK563" s="9"/>
      <c r="AL563" s="1"/>
      <c r="AM563" s="1"/>
      <c r="AN563" s="1"/>
      <c r="AO563" s="1"/>
      <c r="AP563" s="1"/>
      <c r="AQ563" s="1"/>
      <c r="AR563" s="1"/>
      <c r="AS563" s="1"/>
      <c r="AT563" s="1"/>
      <c r="AU563" s="34"/>
      <c r="AV563" s="35"/>
    </row>
    <row r="564" spans="1:48" ht="15.75">
      <c r="A564" s="1" t="s">
        <v>1162</v>
      </c>
      <c r="B564" s="9" t="s">
        <v>128</v>
      </c>
      <c r="C564" s="12" t="s">
        <v>1260</v>
      </c>
      <c r="D564" s="165" t="s">
        <v>1261</v>
      </c>
      <c r="E564" s="14" t="s">
        <v>170</v>
      </c>
      <c r="F564" s="1"/>
      <c r="G564" s="13">
        <v>85376</v>
      </c>
      <c r="H564" s="13">
        <v>31519</v>
      </c>
      <c r="I564" s="18">
        <v>89166</v>
      </c>
      <c r="J564" s="15">
        <f t="shared" si="24"/>
        <v>206061</v>
      </c>
      <c r="K564" s="13">
        <v>136112</v>
      </c>
      <c r="L564" s="13">
        <v>62277</v>
      </c>
      <c r="M564" s="13">
        <v>111060</v>
      </c>
      <c r="N564" s="18">
        <v>149455</v>
      </c>
      <c r="O564" s="15">
        <f t="shared" si="25"/>
        <v>458904</v>
      </c>
      <c r="P564" s="1"/>
      <c r="Q564" s="1"/>
      <c r="R564" s="1"/>
      <c r="S564" s="18"/>
      <c r="T564" s="15">
        <f t="shared" si="26"/>
        <v>0</v>
      </c>
      <c r="U564" s="1"/>
      <c r="V564" s="1"/>
      <c r="W564" s="1"/>
      <c r="X564" s="1"/>
      <c r="Y564" s="1"/>
      <c r="Z564" s="13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34"/>
      <c r="AV564" s="35"/>
    </row>
    <row r="565" spans="1:48" ht="15.75">
      <c r="A565" s="1" t="s">
        <v>1162</v>
      </c>
      <c r="B565" s="9" t="s">
        <v>128</v>
      </c>
      <c r="C565" s="12" t="s">
        <v>1262</v>
      </c>
      <c r="D565" s="165" t="s">
        <v>1263</v>
      </c>
      <c r="E565" s="14" t="s">
        <v>170</v>
      </c>
      <c r="F565" s="1"/>
      <c r="G565" s="13">
        <v>63248</v>
      </c>
      <c r="H565" s="13">
        <v>23734</v>
      </c>
      <c r="I565" s="18">
        <v>66923</v>
      </c>
      <c r="J565" s="15">
        <f t="shared" si="24"/>
        <v>153905</v>
      </c>
      <c r="K565" s="13">
        <v>63509</v>
      </c>
      <c r="L565" s="13">
        <v>36991</v>
      </c>
      <c r="M565" s="13">
        <v>23914</v>
      </c>
      <c r="N565" s="18">
        <v>67963</v>
      </c>
      <c r="O565" s="15">
        <f t="shared" si="25"/>
        <v>192377</v>
      </c>
      <c r="P565" s="1"/>
      <c r="Q565" s="1"/>
      <c r="R565" s="1"/>
      <c r="S565" s="18"/>
      <c r="T565" s="15">
        <f t="shared" si="26"/>
        <v>0</v>
      </c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34"/>
      <c r="AV565" s="35"/>
    </row>
    <row r="566" spans="1:48" ht="15.75">
      <c r="A566" s="1" t="s">
        <v>1162</v>
      </c>
      <c r="B566" s="9" t="s">
        <v>128</v>
      </c>
      <c r="C566" s="12" t="s">
        <v>1264</v>
      </c>
      <c r="D566" s="165" t="s">
        <v>1265</v>
      </c>
      <c r="E566" s="14" t="s">
        <v>170</v>
      </c>
      <c r="F566" s="1"/>
      <c r="G566" s="13">
        <v>42539</v>
      </c>
      <c r="H566" s="13">
        <v>12139</v>
      </c>
      <c r="I566" s="18">
        <v>39866</v>
      </c>
      <c r="J566" s="15">
        <f t="shared" si="24"/>
        <v>94544</v>
      </c>
      <c r="K566" s="13">
        <v>180159</v>
      </c>
      <c r="L566" s="13">
        <v>176244</v>
      </c>
      <c r="M566" s="13">
        <v>134367</v>
      </c>
      <c r="N566" s="18">
        <v>203013</v>
      </c>
      <c r="O566" s="15">
        <f t="shared" si="25"/>
        <v>693783</v>
      </c>
      <c r="P566" s="1"/>
      <c r="Q566" s="1"/>
      <c r="R566" s="1"/>
      <c r="S566" s="18"/>
      <c r="T566" s="15">
        <f t="shared" si="26"/>
        <v>0</v>
      </c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34"/>
      <c r="AV566" s="35"/>
    </row>
    <row r="567" spans="1:20" ht="12.75">
      <c r="A567" s="1" t="s">
        <v>1162</v>
      </c>
      <c r="B567" s="9" t="s">
        <v>128</v>
      </c>
      <c r="C567" s="12" t="s">
        <v>1266</v>
      </c>
      <c r="D567" s="165" t="s">
        <v>1267</v>
      </c>
      <c r="E567" s="14" t="s">
        <v>170</v>
      </c>
      <c r="F567" s="1"/>
      <c r="G567" s="13">
        <v>177120</v>
      </c>
      <c r="H567" s="13">
        <v>36700</v>
      </c>
      <c r="I567" s="18">
        <v>201243</v>
      </c>
      <c r="J567" s="15">
        <f t="shared" si="24"/>
        <v>415063</v>
      </c>
      <c r="K567" s="13">
        <v>200258</v>
      </c>
      <c r="L567" s="13">
        <v>181088</v>
      </c>
      <c r="M567" s="13">
        <v>151758</v>
      </c>
      <c r="N567" s="18">
        <v>233787</v>
      </c>
      <c r="O567" s="15">
        <f t="shared" si="25"/>
        <v>766891</v>
      </c>
      <c r="P567" s="1"/>
      <c r="Q567" s="1"/>
      <c r="R567" s="1"/>
      <c r="S567" s="18"/>
      <c r="T567" s="15">
        <f t="shared" si="26"/>
        <v>0</v>
      </c>
    </row>
    <row r="568" spans="1:48" ht="12.75">
      <c r="A568" s="1" t="s">
        <v>1162</v>
      </c>
      <c r="B568" s="9" t="s">
        <v>128</v>
      </c>
      <c r="C568" s="12" t="s">
        <v>1268</v>
      </c>
      <c r="D568" s="165" t="s">
        <v>1269</v>
      </c>
      <c r="E568" s="14" t="s">
        <v>170</v>
      </c>
      <c r="F568" s="1"/>
      <c r="G568" s="13">
        <v>9659</v>
      </c>
      <c r="H568" s="13">
        <v>2413</v>
      </c>
      <c r="I568" s="18">
        <v>10589</v>
      </c>
      <c r="J568" s="15">
        <f t="shared" si="24"/>
        <v>22661</v>
      </c>
      <c r="K568" s="13">
        <v>34610</v>
      </c>
      <c r="L568" s="13">
        <v>22694</v>
      </c>
      <c r="M568" s="13">
        <v>19130</v>
      </c>
      <c r="N568" s="18">
        <v>35129</v>
      </c>
      <c r="O568" s="15">
        <f t="shared" si="25"/>
        <v>111563</v>
      </c>
      <c r="P568" s="1"/>
      <c r="Q568" s="1"/>
      <c r="R568" s="1"/>
      <c r="S568" s="18"/>
      <c r="T568" s="15">
        <f t="shared" si="26"/>
        <v>0</v>
      </c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36"/>
      <c r="AV568" s="36"/>
    </row>
    <row r="569" spans="1:48" ht="12.75">
      <c r="A569" s="1" t="s">
        <v>1162</v>
      </c>
      <c r="B569" s="9" t="s">
        <v>128</v>
      </c>
      <c r="C569" s="12" t="s">
        <v>1270</v>
      </c>
      <c r="D569" s="165" t="s">
        <v>1271</v>
      </c>
      <c r="E569" s="14" t="s">
        <v>170</v>
      </c>
      <c r="F569" s="1"/>
      <c r="G569" s="13">
        <v>19000</v>
      </c>
      <c r="H569" s="13">
        <v>6024</v>
      </c>
      <c r="I569" s="18">
        <v>17815</v>
      </c>
      <c r="J569" s="15">
        <f t="shared" si="24"/>
        <v>42839</v>
      </c>
      <c r="K569" s="13">
        <v>49155</v>
      </c>
      <c r="L569" s="13">
        <v>11675</v>
      </c>
      <c r="M569" s="13">
        <v>24706</v>
      </c>
      <c r="N569" s="18">
        <v>34137</v>
      </c>
      <c r="O569" s="15">
        <f t="shared" si="25"/>
        <v>119673</v>
      </c>
      <c r="P569" s="1"/>
      <c r="Q569" s="1"/>
      <c r="R569" s="1"/>
      <c r="S569" s="18"/>
      <c r="T569" s="15">
        <f t="shared" si="26"/>
        <v>0</v>
      </c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37"/>
      <c r="AV569" s="36"/>
    </row>
    <row r="570" spans="1:48" ht="12.75">
      <c r="A570" s="1" t="s">
        <v>1162</v>
      </c>
      <c r="B570" s="9" t="s">
        <v>128</v>
      </c>
      <c r="C570" s="12" t="s">
        <v>1272</v>
      </c>
      <c r="D570" s="165" t="s">
        <v>1273</v>
      </c>
      <c r="E570" s="14" t="s">
        <v>170</v>
      </c>
      <c r="F570" s="1"/>
      <c r="G570" s="13">
        <v>26273</v>
      </c>
      <c r="H570" s="13">
        <v>6613</v>
      </c>
      <c r="I570" s="18">
        <v>27049</v>
      </c>
      <c r="J570" s="15">
        <f t="shared" si="24"/>
        <v>59935</v>
      </c>
      <c r="K570" s="13">
        <v>77894</v>
      </c>
      <c r="L570" s="13">
        <v>69783</v>
      </c>
      <c r="M570" s="13">
        <v>57518</v>
      </c>
      <c r="N570" s="18">
        <v>95057</v>
      </c>
      <c r="O570" s="15">
        <f t="shared" si="25"/>
        <v>300252</v>
      </c>
      <c r="P570" s="1"/>
      <c r="Q570" s="1"/>
      <c r="R570" s="1"/>
      <c r="S570" s="18"/>
      <c r="T570" s="15">
        <f t="shared" si="26"/>
        <v>0</v>
      </c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7" ht="12.75">
      <c r="A571" s="1" t="s">
        <v>1162</v>
      </c>
      <c r="B571" s="9" t="s">
        <v>128</v>
      </c>
      <c r="C571" s="12" t="s">
        <v>1274</v>
      </c>
      <c r="D571" s="165" t="s">
        <v>1275</v>
      </c>
      <c r="E571" s="14" t="s">
        <v>170</v>
      </c>
      <c r="F571" s="1"/>
      <c r="G571" s="13">
        <v>20269</v>
      </c>
      <c r="H571" s="13">
        <v>4525</v>
      </c>
      <c r="I571" s="18">
        <v>22141</v>
      </c>
      <c r="J571" s="15">
        <f t="shared" si="24"/>
        <v>46935</v>
      </c>
      <c r="K571" s="13">
        <v>9156</v>
      </c>
      <c r="L571" s="13">
        <v>6989</v>
      </c>
      <c r="M571" s="13">
        <v>0</v>
      </c>
      <c r="N571" s="18">
        <v>62</v>
      </c>
      <c r="O571" s="15">
        <f t="shared" si="25"/>
        <v>16207</v>
      </c>
      <c r="P571" s="1"/>
      <c r="Q571" s="1"/>
      <c r="R571" s="1"/>
      <c r="S571" s="18"/>
      <c r="T571" s="15">
        <f t="shared" si="26"/>
        <v>0</v>
      </c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1:47" ht="12.75">
      <c r="A572" s="1" t="s">
        <v>1162</v>
      </c>
      <c r="B572" s="9" t="s">
        <v>128</v>
      </c>
      <c r="C572" s="12" t="s">
        <v>1276</v>
      </c>
      <c r="D572" s="165" t="s">
        <v>1277</v>
      </c>
      <c r="E572" s="14" t="s">
        <v>170</v>
      </c>
      <c r="F572" s="1"/>
      <c r="G572" s="13">
        <v>267150</v>
      </c>
      <c r="H572" s="13">
        <v>131756</v>
      </c>
      <c r="I572" s="18">
        <v>257877</v>
      </c>
      <c r="J572" s="15">
        <f t="shared" si="24"/>
        <v>656783</v>
      </c>
      <c r="K572" s="13">
        <v>887549</v>
      </c>
      <c r="L572" s="13">
        <v>717743</v>
      </c>
      <c r="M572" s="13">
        <v>940090</v>
      </c>
      <c r="N572" s="18">
        <v>1064429</v>
      </c>
      <c r="O572" s="15">
        <f t="shared" si="25"/>
        <v>3609811</v>
      </c>
      <c r="P572" s="1"/>
      <c r="Q572" s="1"/>
      <c r="R572" s="1"/>
      <c r="S572" s="18"/>
      <c r="T572" s="15">
        <f t="shared" si="26"/>
        <v>0</v>
      </c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1:47" ht="12.75">
      <c r="A573" s="1" t="s">
        <v>1162</v>
      </c>
      <c r="B573" s="9" t="s">
        <v>128</v>
      </c>
      <c r="C573" s="12" t="s">
        <v>1278</v>
      </c>
      <c r="D573" s="165" t="s">
        <v>1279</v>
      </c>
      <c r="E573" s="20" t="s">
        <v>170</v>
      </c>
      <c r="F573" s="1"/>
      <c r="G573" s="13">
        <v>22586</v>
      </c>
      <c r="H573" s="13">
        <v>4834</v>
      </c>
      <c r="I573" s="18">
        <v>22046</v>
      </c>
      <c r="J573" s="15">
        <f t="shared" si="24"/>
        <v>49466</v>
      </c>
      <c r="K573" s="13">
        <v>148995</v>
      </c>
      <c r="L573" s="13">
        <v>139569</v>
      </c>
      <c r="M573" s="13">
        <v>136973</v>
      </c>
      <c r="N573" s="18">
        <v>133153</v>
      </c>
      <c r="O573" s="15">
        <f t="shared" si="25"/>
        <v>558690</v>
      </c>
      <c r="P573" s="1"/>
      <c r="Q573" s="1"/>
      <c r="R573" s="1"/>
      <c r="S573" s="18"/>
      <c r="T573" s="15">
        <f t="shared" si="26"/>
        <v>0</v>
      </c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1:47" ht="12.75">
      <c r="A574" s="1" t="s">
        <v>1162</v>
      </c>
      <c r="B574" s="9" t="s">
        <v>128</v>
      </c>
      <c r="C574" s="12" t="s">
        <v>1280</v>
      </c>
      <c r="D574" s="165" t="s">
        <v>1281</v>
      </c>
      <c r="E574" s="14" t="s">
        <v>170</v>
      </c>
      <c r="F574" s="1"/>
      <c r="G574" s="13">
        <v>40411</v>
      </c>
      <c r="H574" s="13">
        <v>9148</v>
      </c>
      <c r="I574" s="18">
        <v>41749</v>
      </c>
      <c r="J574" s="15">
        <f t="shared" si="24"/>
        <v>91308</v>
      </c>
      <c r="K574" s="13">
        <v>185839</v>
      </c>
      <c r="L574" s="13">
        <v>206490</v>
      </c>
      <c r="M574" s="13">
        <v>202222</v>
      </c>
      <c r="N574" s="18">
        <v>166872</v>
      </c>
      <c r="O574" s="15">
        <f t="shared" si="25"/>
        <v>761423</v>
      </c>
      <c r="P574" s="1"/>
      <c r="Q574" s="1"/>
      <c r="R574" s="1"/>
      <c r="S574" s="18"/>
      <c r="T574" s="15">
        <f t="shared" si="26"/>
        <v>0</v>
      </c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1:47" ht="12.75">
      <c r="A575" s="1" t="s">
        <v>1162</v>
      </c>
      <c r="B575" s="9" t="s">
        <v>128</v>
      </c>
      <c r="C575" s="12" t="s">
        <v>1282</v>
      </c>
      <c r="D575" s="1"/>
      <c r="E575" s="14" t="s">
        <v>170</v>
      </c>
      <c r="F575" s="1"/>
      <c r="G575" s="13">
        <v>12118</v>
      </c>
      <c r="H575" s="13">
        <v>1504</v>
      </c>
      <c r="I575" s="18">
        <v>12268</v>
      </c>
      <c r="J575" s="15">
        <f t="shared" si="24"/>
        <v>25890</v>
      </c>
      <c r="K575" s="13">
        <v>22344</v>
      </c>
      <c r="L575" s="13">
        <v>27072</v>
      </c>
      <c r="M575" s="13">
        <v>16120</v>
      </c>
      <c r="N575" s="18">
        <v>27336</v>
      </c>
      <c r="O575" s="15">
        <f t="shared" si="25"/>
        <v>92872</v>
      </c>
      <c r="P575" s="1"/>
      <c r="Q575" s="1"/>
      <c r="R575" s="1"/>
      <c r="S575" s="18"/>
      <c r="T575" s="15">
        <f t="shared" si="26"/>
        <v>0</v>
      </c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1:47" ht="12.75">
      <c r="A576" s="1" t="s">
        <v>1162</v>
      </c>
      <c r="B576" s="9" t="s">
        <v>128</v>
      </c>
      <c r="C576" s="12" t="s">
        <v>1283</v>
      </c>
      <c r="D576" s="165" t="s">
        <v>1284</v>
      </c>
      <c r="E576" s="14" t="s">
        <v>170</v>
      </c>
      <c r="F576" s="1"/>
      <c r="G576" s="13">
        <v>11869</v>
      </c>
      <c r="H576" s="13">
        <v>3193</v>
      </c>
      <c r="I576" s="18">
        <v>13537</v>
      </c>
      <c r="J576" s="15">
        <f t="shared" si="24"/>
        <v>28599</v>
      </c>
      <c r="K576" s="13">
        <v>0</v>
      </c>
      <c r="L576" s="13">
        <v>528</v>
      </c>
      <c r="M576" s="13">
        <v>432</v>
      </c>
      <c r="N576" s="18">
        <v>411</v>
      </c>
      <c r="O576" s="15">
        <f t="shared" si="25"/>
        <v>1371</v>
      </c>
      <c r="P576" s="1"/>
      <c r="Q576" s="1"/>
      <c r="R576" s="1"/>
      <c r="S576" s="18"/>
      <c r="T576" s="15">
        <f t="shared" si="26"/>
        <v>0</v>
      </c>
      <c r="U576" s="12"/>
      <c r="V576" s="12"/>
      <c r="W576" s="12"/>
      <c r="X576" s="12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1:47" ht="12.75">
      <c r="A577" s="1" t="s">
        <v>1162</v>
      </c>
      <c r="B577" s="9" t="s">
        <v>128</v>
      </c>
      <c r="C577" s="12" t="s">
        <v>1285</v>
      </c>
      <c r="D577" s="165" t="s">
        <v>1286</v>
      </c>
      <c r="E577" s="14" t="s">
        <v>170</v>
      </c>
      <c r="F577" s="1"/>
      <c r="G577" s="13">
        <v>22557</v>
      </c>
      <c r="H577" s="13">
        <v>8820</v>
      </c>
      <c r="I577" s="18">
        <v>19988</v>
      </c>
      <c r="J577" s="15">
        <f t="shared" si="24"/>
        <v>51365</v>
      </c>
      <c r="K577" s="13">
        <v>3420</v>
      </c>
      <c r="L577" s="13">
        <v>2400</v>
      </c>
      <c r="M577" s="13">
        <v>2496</v>
      </c>
      <c r="N577" s="18">
        <v>1440</v>
      </c>
      <c r="O577" s="15">
        <f t="shared" si="25"/>
        <v>9756</v>
      </c>
      <c r="P577" s="1"/>
      <c r="Q577" s="1"/>
      <c r="R577" s="1"/>
      <c r="S577" s="18"/>
      <c r="T577" s="15">
        <f t="shared" si="26"/>
        <v>0</v>
      </c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1:47" ht="12.75">
      <c r="A578" s="1" t="s">
        <v>1162</v>
      </c>
      <c r="B578" s="9" t="s">
        <v>128</v>
      </c>
      <c r="C578" s="12" t="s">
        <v>1287</v>
      </c>
      <c r="D578" s="165" t="s">
        <v>1288</v>
      </c>
      <c r="E578" s="14" t="s">
        <v>170</v>
      </c>
      <c r="F578" s="1"/>
      <c r="G578" s="13">
        <v>60552</v>
      </c>
      <c r="H578" s="13">
        <v>17427</v>
      </c>
      <c r="I578" s="18">
        <v>64417</v>
      </c>
      <c r="J578" s="15">
        <f t="shared" si="24"/>
        <v>142396</v>
      </c>
      <c r="K578" s="13">
        <v>64837</v>
      </c>
      <c r="L578" s="13">
        <v>92459</v>
      </c>
      <c r="M578" s="13">
        <v>91600</v>
      </c>
      <c r="N578" s="18">
        <v>106692</v>
      </c>
      <c r="O578" s="15">
        <f t="shared" si="25"/>
        <v>355588</v>
      </c>
      <c r="P578" s="1"/>
      <c r="Q578" s="1"/>
      <c r="R578" s="1"/>
      <c r="S578" s="18"/>
      <c r="T578" s="15">
        <f t="shared" si="26"/>
        <v>0</v>
      </c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1:47" ht="12.75">
      <c r="A579" s="1" t="s">
        <v>1162</v>
      </c>
      <c r="B579" s="9" t="s">
        <v>128</v>
      </c>
      <c r="C579" s="12" t="s">
        <v>1289</v>
      </c>
      <c r="D579" s="165" t="s">
        <v>1290</v>
      </c>
      <c r="E579" s="14" t="s">
        <v>170</v>
      </c>
      <c r="F579" s="1"/>
      <c r="G579" s="13">
        <v>45248</v>
      </c>
      <c r="H579" s="13">
        <v>20332</v>
      </c>
      <c r="I579" s="18">
        <v>45991</v>
      </c>
      <c r="J579" s="15">
        <f t="shared" si="24"/>
        <v>111571</v>
      </c>
      <c r="K579" s="13">
        <v>104507</v>
      </c>
      <c r="L579" s="13">
        <v>150825</v>
      </c>
      <c r="M579" s="13">
        <v>108014</v>
      </c>
      <c r="N579" s="18">
        <v>153168</v>
      </c>
      <c r="O579" s="15">
        <f t="shared" si="25"/>
        <v>516514</v>
      </c>
      <c r="P579" s="1"/>
      <c r="Q579" s="1"/>
      <c r="R579" s="1"/>
      <c r="S579" s="18"/>
      <c r="T579" s="15">
        <f t="shared" si="26"/>
        <v>0</v>
      </c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1:47" ht="12.75">
      <c r="A580" s="1" t="s">
        <v>1162</v>
      </c>
      <c r="B580" s="9" t="s">
        <v>128</v>
      </c>
      <c r="C580" s="12" t="s">
        <v>1291</v>
      </c>
      <c r="D580" s="165" t="s">
        <v>1292</v>
      </c>
      <c r="E580" s="14" t="s">
        <v>170</v>
      </c>
      <c r="F580" s="1"/>
      <c r="G580" s="13">
        <v>51834</v>
      </c>
      <c r="H580" s="13">
        <v>18405</v>
      </c>
      <c r="I580" s="18">
        <v>52969</v>
      </c>
      <c r="J580" s="15">
        <f t="shared" si="24"/>
        <v>123208</v>
      </c>
      <c r="K580" s="13">
        <v>54724</v>
      </c>
      <c r="L580" s="13">
        <v>30344</v>
      </c>
      <c r="M580" s="13">
        <v>17928</v>
      </c>
      <c r="N580" s="18">
        <v>45192</v>
      </c>
      <c r="O580" s="15">
        <f t="shared" si="25"/>
        <v>148188</v>
      </c>
      <c r="P580" s="1"/>
      <c r="Q580" s="1"/>
      <c r="R580" s="1"/>
      <c r="S580" s="18"/>
      <c r="T580" s="15">
        <f t="shared" si="26"/>
        <v>0</v>
      </c>
      <c r="U580" s="13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1:47" ht="12.75">
      <c r="A581" s="1" t="s">
        <v>1162</v>
      </c>
      <c r="B581" s="9" t="s">
        <v>128</v>
      </c>
      <c r="C581" s="12" t="s">
        <v>1293</v>
      </c>
      <c r="D581" s="165" t="s">
        <v>1294</v>
      </c>
      <c r="E581" s="14" t="s">
        <v>170</v>
      </c>
      <c r="F581" s="1"/>
      <c r="G581" s="13">
        <v>30434</v>
      </c>
      <c r="H581" s="13">
        <v>8681</v>
      </c>
      <c r="I581" s="18">
        <v>31579</v>
      </c>
      <c r="J581" s="15">
        <f t="shared" si="24"/>
        <v>70694</v>
      </c>
      <c r="K581" s="13">
        <v>19846</v>
      </c>
      <c r="L581" s="13">
        <v>10311</v>
      </c>
      <c r="M581" s="13">
        <v>15182</v>
      </c>
      <c r="N581" s="18">
        <v>20651</v>
      </c>
      <c r="O581" s="15">
        <f t="shared" si="25"/>
        <v>65990</v>
      </c>
      <c r="P581" s="1"/>
      <c r="Q581" s="1"/>
      <c r="R581" s="1"/>
      <c r="S581" s="18"/>
      <c r="T581" s="15">
        <f t="shared" si="26"/>
        <v>0</v>
      </c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1:47" ht="12.75">
      <c r="A582" s="1" t="s">
        <v>1162</v>
      </c>
      <c r="B582" s="9" t="s">
        <v>128</v>
      </c>
      <c r="C582" s="12" t="s">
        <v>1295</v>
      </c>
      <c r="D582" s="165" t="s">
        <v>1296</v>
      </c>
      <c r="E582" s="14" t="s">
        <v>170</v>
      </c>
      <c r="F582" s="1"/>
      <c r="G582" s="13">
        <v>44904</v>
      </c>
      <c r="H582" s="13">
        <v>17758</v>
      </c>
      <c r="I582" s="18">
        <v>48740</v>
      </c>
      <c r="J582" s="15">
        <f aca="true" t="shared" si="27" ref="J582:J645">SUM(F582:I582)</f>
        <v>111402</v>
      </c>
      <c r="K582" s="13">
        <v>36397</v>
      </c>
      <c r="L582" s="13">
        <v>24159</v>
      </c>
      <c r="M582" s="13">
        <v>29271</v>
      </c>
      <c r="N582" s="18">
        <v>45676</v>
      </c>
      <c r="O582" s="15">
        <f aca="true" t="shared" si="28" ref="O582:O645">SUM(K582:N582)</f>
        <v>135503</v>
      </c>
      <c r="P582" s="1"/>
      <c r="Q582" s="1"/>
      <c r="R582" s="1"/>
      <c r="S582" s="18"/>
      <c r="T582" s="15">
        <f aca="true" t="shared" si="29" ref="T582:T645">SUM(P582:S582)</f>
        <v>0</v>
      </c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1:47" ht="12.75">
      <c r="A583" s="1" t="s">
        <v>1162</v>
      </c>
      <c r="B583" s="9" t="s">
        <v>128</v>
      </c>
      <c r="C583" s="12" t="s">
        <v>1297</v>
      </c>
      <c r="D583" s="165" t="s">
        <v>1298</v>
      </c>
      <c r="E583" s="14" t="s">
        <v>170</v>
      </c>
      <c r="F583" s="1"/>
      <c r="G583" s="13">
        <v>32058</v>
      </c>
      <c r="H583" s="13">
        <v>10409</v>
      </c>
      <c r="I583" s="18">
        <v>33500</v>
      </c>
      <c r="J583" s="15">
        <f t="shared" si="27"/>
        <v>75967</v>
      </c>
      <c r="K583" s="13">
        <v>20312</v>
      </c>
      <c r="L583" s="13">
        <v>15064</v>
      </c>
      <c r="M583" s="13">
        <v>14541</v>
      </c>
      <c r="N583" s="18">
        <v>14060</v>
      </c>
      <c r="O583" s="15">
        <f t="shared" si="28"/>
        <v>63977</v>
      </c>
      <c r="P583" s="1"/>
      <c r="Q583" s="1"/>
      <c r="R583" s="1"/>
      <c r="S583" s="18"/>
      <c r="T583" s="15">
        <f t="shared" si="29"/>
        <v>0</v>
      </c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1:47" ht="12.75">
      <c r="A584" s="1" t="s">
        <v>1162</v>
      </c>
      <c r="B584" s="9" t="s">
        <v>128</v>
      </c>
      <c r="C584" s="12" t="s">
        <v>1299</v>
      </c>
      <c r="D584" s="165" t="s">
        <v>1300</v>
      </c>
      <c r="E584" s="14" t="s">
        <v>170</v>
      </c>
      <c r="F584" s="1"/>
      <c r="G584" s="13">
        <v>33237</v>
      </c>
      <c r="H584" s="13">
        <v>8755</v>
      </c>
      <c r="I584" s="18">
        <v>33829</v>
      </c>
      <c r="J584" s="15">
        <f t="shared" si="27"/>
        <v>75821</v>
      </c>
      <c r="K584" s="13">
        <v>4894</v>
      </c>
      <c r="L584" s="13">
        <v>2779</v>
      </c>
      <c r="M584" s="13">
        <v>1476</v>
      </c>
      <c r="N584" s="18">
        <v>7303</v>
      </c>
      <c r="O584" s="15">
        <f t="shared" si="28"/>
        <v>16452</v>
      </c>
      <c r="P584" s="1"/>
      <c r="Q584" s="1"/>
      <c r="R584" s="1"/>
      <c r="S584" s="18"/>
      <c r="T584" s="15">
        <f t="shared" si="29"/>
        <v>0</v>
      </c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1:47" ht="12.75">
      <c r="A585" s="1" t="s">
        <v>1162</v>
      </c>
      <c r="B585" s="9" t="s">
        <v>128</v>
      </c>
      <c r="C585" s="12" t="s">
        <v>1301</v>
      </c>
      <c r="D585" s="165" t="s">
        <v>1302</v>
      </c>
      <c r="E585" s="14" t="s">
        <v>170</v>
      </c>
      <c r="F585" s="1"/>
      <c r="G585" s="13">
        <v>145573</v>
      </c>
      <c r="H585" s="13">
        <v>49247</v>
      </c>
      <c r="I585" s="18">
        <v>162591</v>
      </c>
      <c r="J585" s="15">
        <f t="shared" si="27"/>
        <v>357411</v>
      </c>
      <c r="K585" s="13">
        <v>86239</v>
      </c>
      <c r="L585" s="13">
        <v>51567</v>
      </c>
      <c r="M585" s="13">
        <v>82191</v>
      </c>
      <c r="N585" s="18">
        <v>98141</v>
      </c>
      <c r="O585" s="15">
        <f t="shared" si="28"/>
        <v>318138</v>
      </c>
      <c r="P585" s="1"/>
      <c r="Q585" s="1"/>
      <c r="R585" s="1"/>
      <c r="S585" s="18"/>
      <c r="T585" s="15">
        <f t="shared" si="29"/>
        <v>0</v>
      </c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1:47" ht="12.75">
      <c r="A586" s="1" t="s">
        <v>1162</v>
      </c>
      <c r="B586" s="9" t="s">
        <v>128</v>
      </c>
      <c r="C586" s="12" t="s">
        <v>1303</v>
      </c>
      <c r="D586" s="165" t="s">
        <v>1304</v>
      </c>
      <c r="E586" s="14" t="s">
        <v>170</v>
      </c>
      <c r="F586" s="1"/>
      <c r="G586" s="13">
        <v>47212</v>
      </c>
      <c r="H586" s="13">
        <v>18977</v>
      </c>
      <c r="I586" s="18">
        <v>44341</v>
      </c>
      <c r="J586" s="15">
        <f t="shared" si="27"/>
        <v>110530</v>
      </c>
      <c r="K586" s="13">
        <v>45788</v>
      </c>
      <c r="L586" s="13">
        <v>38606</v>
      </c>
      <c r="M586" s="13">
        <v>64621</v>
      </c>
      <c r="N586" s="18">
        <v>62095</v>
      </c>
      <c r="O586" s="15">
        <f t="shared" si="28"/>
        <v>211110</v>
      </c>
      <c r="P586" s="1"/>
      <c r="Q586" s="1"/>
      <c r="R586" s="1"/>
      <c r="S586" s="18"/>
      <c r="T586" s="15">
        <f t="shared" si="29"/>
        <v>0</v>
      </c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1:47" ht="12.75">
      <c r="A587" s="1" t="s">
        <v>1162</v>
      </c>
      <c r="B587" s="9" t="s">
        <v>128</v>
      </c>
      <c r="C587" s="12" t="s">
        <v>1305</v>
      </c>
      <c r="D587" s="165" t="s">
        <v>1306</v>
      </c>
      <c r="E587" s="14" t="s">
        <v>170</v>
      </c>
      <c r="F587" s="1"/>
      <c r="G587" s="13">
        <v>20010</v>
      </c>
      <c r="H587" s="13">
        <v>6076</v>
      </c>
      <c r="I587" s="18">
        <v>20646</v>
      </c>
      <c r="J587" s="15">
        <f t="shared" si="27"/>
        <v>46732</v>
      </c>
      <c r="K587" s="13">
        <v>18135</v>
      </c>
      <c r="L587" s="13">
        <v>23159</v>
      </c>
      <c r="M587" s="13">
        <v>16546</v>
      </c>
      <c r="N587" s="18">
        <v>26984</v>
      </c>
      <c r="O587" s="15">
        <f t="shared" si="28"/>
        <v>84824</v>
      </c>
      <c r="P587" s="1"/>
      <c r="Q587" s="1"/>
      <c r="R587" s="1"/>
      <c r="S587" s="18"/>
      <c r="T587" s="15">
        <f t="shared" si="29"/>
        <v>0</v>
      </c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1:47" ht="12.75">
      <c r="A588" s="1" t="s">
        <v>1162</v>
      </c>
      <c r="B588" s="9" t="s">
        <v>128</v>
      </c>
      <c r="C588" s="12" t="s">
        <v>1307</v>
      </c>
      <c r="D588" s="165" t="s">
        <v>1308</v>
      </c>
      <c r="E588" s="14" t="s">
        <v>170</v>
      </c>
      <c r="F588" s="1"/>
      <c r="G588" s="13">
        <v>37440</v>
      </c>
      <c r="H588" s="13">
        <v>10385</v>
      </c>
      <c r="I588" s="18">
        <v>39882</v>
      </c>
      <c r="J588" s="15">
        <f t="shared" si="27"/>
        <v>87707</v>
      </c>
      <c r="K588" s="13">
        <v>64529</v>
      </c>
      <c r="L588" s="13">
        <v>49841</v>
      </c>
      <c r="M588" s="13">
        <v>61387</v>
      </c>
      <c r="N588" s="18">
        <v>99672</v>
      </c>
      <c r="O588" s="15">
        <f t="shared" si="28"/>
        <v>275429</v>
      </c>
      <c r="P588" s="1"/>
      <c r="Q588" s="1"/>
      <c r="R588" s="1"/>
      <c r="S588" s="18"/>
      <c r="T588" s="15">
        <f t="shared" si="29"/>
        <v>0</v>
      </c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1:47" ht="12.75">
      <c r="A589" s="1" t="s">
        <v>1162</v>
      </c>
      <c r="B589" s="9" t="s">
        <v>128</v>
      </c>
      <c r="C589" s="12" t="s">
        <v>1309</v>
      </c>
      <c r="D589" s="165" t="s">
        <v>1310</v>
      </c>
      <c r="E589" s="14" t="s">
        <v>170</v>
      </c>
      <c r="F589" s="1"/>
      <c r="G589" s="13">
        <v>55701</v>
      </c>
      <c r="H589" s="13">
        <v>15551</v>
      </c>
      <c r="I589" s="18">
        <v>60328</v>
      </c>
      <c r="J589" s="15">
        <f t="shared" si="27"/>
        <v>131580</v>
      </c>
      <c r="K589" s="13">
        <v>15943</v>
      </c>
      <c r="L589" s="13">
        <v>16424</v>
      </c>
      <c r="M589" s="13">
        <v>15458</v>
      </c>
      <c r="N589" s="18">
        <v>16907</v>
      </c>
      <c r="O589" s="15">
        <f t="shared" si="28"/>
        <v>64732</v>
      </c>
      <c r="P589" s="1"/>
      <c r="Q589" s="1"/>
      <c r="R589" s="1"/>
      <c r="S589" s="18"/>
      <c r="T589" s="15">
        <f t="shared" si="29"/>
        <v>0</v>
      </c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1:48" ht="12.75">
      <c r="A590" s="1" t="s">
        <v>1162</v>
      </c>
      <c r="B590" s="9" t="s">
        <v>128</v>
      </c>
      <c r="C590" s="12" t="s">
        <v>1311</v>
      </c>
      <c r="D590" s="165" t="s">
        <v>1312</v>
      </c>
      <c r="E590" s="14" t="s">
        <v>170</v>
      </c>
      <c r="F590" s="1"/>
      <c r="G590" s="13">
        <v>14931</v>
      </c>
      <c r="H590" s="13">
        <v>5925</v>
      </c>
      <c r="I590" s="18">
        <v>17519</v>
      </c>
      <c r="J590" s="15">
        <f t="shared" si="27"/>
        <v>38375</v>
      </c>
      <c r="K590" s="13">
        <v>7594</v>
      </c>
      <c r="L590" s="13">
        <v>6482</v>
      </c>
      <c r="M590" s="13">
        <v>4360</v>
      </c>
      <c r="N590" s="18">
        <v>8770</v>
      </c>
      <c r="O590" s="15">
        <f t="shared" si="28"/>
        <v>27206</v>
      </c>
      <c r="P590" s="1"/>
      <c r="Q590" s="1"/>
      <c r="R590" s="1"/>
      <c r="S590" s="18"/>
      <c r="T590" s="15">
        <f t="shared" si="29"/>
        <v>0</v>
      </c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20" ht="12.75">
      <c r="A591" s="1" t="s">
        <v>1162</v>
      </c>
      <c r="B591" s="9" t="s">
        <v>128</v>
      </c>
      <c r="C591" s="12" t="s">
        <v>1313</v>
      </c>
      <c r="D591" s="165" t="s">
        <v>1314</v>
      </c>
      <c r="E591" s="14" t="s">
        <v>170</v>
      </c>
      <c r="F591" s="1"/>
      <c r="G591" s="13">
        <v>22891</v>
      </c>
      <c r="H591" s="13">
        <v>7597</v>
      </c>
      <c r="I591" s="18">
        <v>25925</v>
      </c>
      <c r="J591" s="15">
        <f t="shared" si="27"/>
        <v>56413</v>
      </c>
      <c r="K591" s="13">
        <v>14024</v>
      </c>
      <c r="L591" s="13">
        <v>11837</v>
      </c>
      <c r="M591" s="13">
        <v>16942</v>
      </c>
      <c r="N591" s="18">
        <v>18119</v>
      </c>
      <c r="O591" s="15">
        <f t="shared" si="28"/>
        <v>60922</v>
      </c>
      <c r="P591" s="1"/>
      <c r="Q591" s="1"/>
      <c r="R591" s="1"/>
      <c r="S591" s="18"/>
      <c r="T591" s="15">
        <f t="shared" si="29"/>
        <v>0</v>
      </c>
    </row>
    <row r="592" spans="1:48" ht="12.75">
      <c r="A592" s="1" t="s">
        <v>1162</v>
      </c>
      <c r="B592" s="9" t="s">
        <v>128</v>
      </c>
      <c r="C592" s="12" t="s">
        <v>1315</v>
      </c>
      <c r="D592" s="165" t="s">
        <v>1316</v>
      </c>
      <c r="E592" s="14" t="s">
        <v>170</v>
      </c>
      <c r="F592" s="1"/>
      <c r="G592" s="13">
        <v>7727</v>
      </c>
      <c r="H592" s="13">
        <v>2717</v>
      </c>
      <c r="I592" s="18">
        <v>9412</v>
      </c>
      <c r="J592" s="15">
        <f t="shared" si="27"/>
        <v>19856</v>
      </c>
      <c r="K592" s="13">
        <v>14181</v>
      </c>
      <c r="L592" s="13">
        <v>15151</v>
      </c>
      <c r="M592" s="13">
        <v>8159</v>
      </c>
      <c r="N592" s="18">
        <v>0</v>
      </c>
      <c r="O592" s="15">
        <f t="shared" si="28"/>
        <v>37491</v>
      </c>
      <c r="P592" s="1"/>
      <c r="Q592" s="1"/>
      <c r="R592" s="1"/>
      <c r="S592" s="18"/>
      <c r="T592" s="15">
        <f t="shared" si="29"/>
        <v>0</v>
      </c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38"/>
      <c r="AV592" s="33"/>
    </row>
    <row r="593" spans="1:48" ht="12.75">
      <c r="A593" s="1" t="s">
        <v>1162</v>
      </c>
      <c r="B593" s="9" t="s">
        <v>128</v>
      </c>
      <c r="C593" s="12" t="s">
        <v>1317</v>
      </c>
      <c r="D593" s="165" t="s">
        <v>1318</v>
      </c>
      <c r="E593" s="14" t="s">
        <v>170</v>
      </c>
      <c r="F593" s="1"/>
      <c r="G593" s="13">
        <v>92711</v>
      </c>
      <c r="H593" s="13">
        <v>42556</v>
      </c>
      <c r="I593" s="18">
        <v>95514</v>
      </c>
      <c r="J593" s="15">
        <f t="shared" si="27"/>
        <v>230781</v>
      </c>
      <c r="K593" s="13">
        <v>137308</v>
      </c>
      <c r="L593" s="13">
        <v>110011</v>
      </c>
      <c r="M593" s="13">
        <v>129437</v>
      </c>
      <c r="N593" s="18">
        <v>192220</v>
      </c>
      <c r="O593" s="15">
        <f t="shared" si="28"/>
        <v>568976</v>
      </c>
      <c r="P593" s="1"/>
      <c r="Q593" s="1"/>
      <c r="R593" s="1"/>
      <c r="S593" s="18"/>
      <c r="T593" s="15">
        <f t="shared" si="29"/>
        <v>0</v>
      </c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33"/>
      <c r="AV593" s="33"/>
    </row>
    <row r="594" spans="1:24" ht="12.75">
      <c r="A594" s="1" t="s">
        <v>1162</v>
      </c>
      <c r="B594" s="9" t="s">
        <v>128</v>
      </c>
      <c r="C594" s="12" t="s">
        <v>1319</v>
      </c>
      <c r="D594" s="165" t="s">
        <v>1320</v>
      </c>
      <c r="E594" s="14" t="s">
        <v>170</v>
      </c>
      <c r="F594" s="1"/>
      <c r="G594" s="13">
        <v>167907</v>
      </c>
      <c r="H594" s="13">
        <v>62576</v>
      </c>
      <c r="I594" s="18">
        <v>183769</v>
      </c>
      <c r="J594" s="15">
        <f t="shared" si="27"/>
        <v>414252</v>
      </c>
      <c r="K594" s="13">
        <v>102265</v>
      </c>
      <c r="L594" s="13">
        <v>85737</v>
      </c>
      <c r="M594" s="13">
        <v>85106</v>
      </c>
      <c r="N594" s="18">
        <v>113747</v>
      </c>
      <c r="O594" s="15">
        <f t="shared" si="28"/>
        <v>386855</v>
      </c>
      <c r="P594" s="1"/>
      <c r="Q594" s="1"/>
      <c r="R594" s="1"/>
      <c r="S594" s="18"/>
      <c r="T594" s="15">
        <f t="shared" si="29"/>
        <v>0</v>
      </c>
      <c r="U594" s="1"/>
      <c r="V594" s="12"/>
      <c r="W594" s="1"/>
      <c r="X594" s="12"/>
    </row>
    <row r="595" spans="1:24" ht="12.75">
      <c r="A595" s="1" t="s">
        <v>1162</v>
      </c>
      <c r="B595" s="9" t="s">
        <v>128</v>
      </c>
      <c r="C595" s="12" t="s">
        <v>1321</v>
      </c>
      <c r="D595" s="165" t="s">
        <v>1322</v>
      </c>
      <c r="E595" s="20" t="s">
        <v>170</v>
      </c>
      <c r="F595" s="1"/>
      <c r="G595" s="13">
        <v>145591</v>
      </c>
      <c r="H595" s="13">
        <v>51124</v>
      </c>
      <c r="I595" s="18">
        <v>159789</v>
      </c>
      <c r="J595" s="15">
        <f t="shared" si="27"/>
        <v>356504</v>
      </c>
      <c r="K595" s="13">
        <v>79175</v>
      </c>
      <c r="L595" s="13">
        <v>0</v>
      </c>
      <c r="M595" s="13">
        <v>0</v>
      </c>
      <c r="N595" s="18">
        <v>86261</v>
      </c>
      <c r="O595" s="15">
        <f t="shared" si="28"/>
        <v>165436</v>
      </c>
      <c r="P595" s="1"/>
      <c r="Q595" s="1"/>
      <c r="R595" s="1"/>
      <c r="S595" s="18"/>
      <c r="T595" s="15">
        <f t="shared" si="29"/>
        <v>0</v>
      </c>
      <c r="U595" s="1"/>
      <c r="V595" s="12"/>
      <c r="W595" s="1"/>
      <c r="X595" s="12"/>
    </row>
    <row r="596" spans="1:24" ht="12.75">
      <c r="A596" s="1" t="s">
        <v>1162</v>
      </c>
      <c r="B596" s="9" t="s">
        <v>128</v>
      </c>
      <c r="C596" s="12" t="s">
        <v>1323</v>
      </c>
      <c r="D596" s="165" t="s">
        <v>1324</v>
      </c>
      <c r="E596" s="14" t="s">
        <v>170</v>
      </c>
      <c r="F596" s="1"/>
      <c r="G596" s="13">
        <v>53267</v>
      </c>
      <c r="H596" s="13">
        <v>18125</v>
      </c>
      <c r="I596" s="18">
        <v>58566</v>
      </c>
      <c r="J596" s="15">
        <f t="shared" si="27"/>
        <v>129958</v>
      </c>
      <c r="K596" s="13">
        <v>120820</v>
      </c>
      <c r="L596" s="13">
        <v>14442</v>
      </c>
      <c r="M596" s="13">
        <v>16859</v>
      </c>
      <c r="N596" s="18">
        <v>18945</v>
      </c>
      <c r="O596" s="15">
        <f t="shared" si="28"/>
        <v>171066</v>
      </c>
      <c r="P596" s="1"/>
      <c r="Q596" s="1"/>
      <c r="R596" s="1"/>
      <c r="S596" s="18"/>
      <c r="T596" s="15">
        <f t="shared" si="29"/>
        <v>0</v>
      </c>
      <c r="U596" s="1"/>
      <c r="V596" s="12"/>
      <c r="W596" s="1"/>
      <c r="X596" s="12"/>
    </row>
    <row r="597" spans="1:24" ht="12.75">
      <c r="A597" s="1" t="s">
        <v>1162</v>
      </c>
      <c r="B597" s="9" t="s">
        <v>128</v>
      </c>
      <c r="C597" s="12" t="s">
        <v>1325</v>
      </c>
      <c r="D597" s="165" t="s">
        <v>1326</v>
      </c>
      <c r="E597" s="14" t="s">
        <v>170</v>
      </c>
      <c r="F597" s="1"/>
      <c r="G597" s="13">
        <v>16904</v>
      </c>
      <c r="H597" s="13">
        <v>29731</v>
      </c>
      <c r="I597" s="18">
        <v>28668</v>
      </c>
      <c r="J597" s="15">
        <f t="shared" si="27"/>
        <v>75303</v>
      </c>
      <c r="K597" s="13">
        <v>11030</v>
      </c>
      <c r="L597" s="13">
        <v>15915</v>
      </c>
      <c r="M597" s="13">
        <v>7434</v>
      </c>
      <c r="N597" s="18">
        <v>18483</v>
      </c>
      <c r="O597" s="15">
        <f t="shared" si="28"/>
        <v>52862</v>
      </c>
      <c r="P597" s="1"/>
      <c r="Q597" s="1"/>
      <c r="R597" s="1"/>
      <c r="S597" s="18"/>
      <c r="T597" s="15">
        <f t="shared" si="29"/>
        <v>0</v>
      </c>
      <c r="U597" s="1"/>
      <c r="V597" s="12"/>
      <c r="W597" s="1"/>
      <c r="X597" s="12"/>
    </row>
    <row r="598" spans="1:24" ht="12.75">
      <c r="A598" s="1" t="s">
        <v>1162</v>
      </c>
      <c r="B598" s="9" t="s">
        <v>128</v>
      </c>
      <c r="C598" s="12" t="s">
        <v>1327</v>
      </c>
      <c r="D598" s="165" t="s">
        <v>1328</v>
      </c>
      <c r="E598" s="14" t="s">
        <v>170</v>
      </c>
      <c r="F598" s="1"/>
      <c r="G598" s="13">
        <v>31044</v>
      </c>
      <c r="H598" s="13">
        <v>6089</v>
      </c>
      <c r="I598" s="18">
        <v>32278</v>
      </c>
      <c r="J598" s="15">
        <f t="shared" si="27"/>
        <v>69411</v>
      </c>
      <c r="K598" s="13">
        <v>13735</v>
      </c>
      <c r="L598" s="13">
        <v>14643</v>
      </c>
      <c r="M598" s="13">
        <v>5964</v>
      </c>
      <c r="N598" s="18">
        <v>11068</v>
      </c>
      <c r="O598" s="15">
        <f t="shared" si="28"/>
        <v>45410</v>
      </c>
      <c r="P598" s="1"/>
      <c r="Q598" s="1"/>
      <c r="R598" s="1"/>
      <c r="S598" s="18"/>
      <c r="T598" s="15">
        <f t="shared" si="29"/>
        <v>0</v>
      </c>
      <c r="U598" s="1"/>
      <c r="V598" s="12"/>
      <c r="W598" s="1"/>
      <c r="X598" s="12"/>
    </row>
    <row r="599" spans="1:20" ht="12.75">
      <c r="A599" s="1" t="s">
        <v>1162</v>
      </c>
      <c r="B599" s="9" t="s">
        <v>128</v>
      </c>
      <c r="C599" s="12" t="s">
        <v>1329</v>
      </c>
      <c r="D599" s="165" t="s">
        <v>1330</v>
      </c>
      <c r="E599" s="14" t="s">
        <v>170</v>
      </c>
      <c r="F599" s="1"/>
      <c r="G599" s="13">
        <v>64559</v>
      </c>
      <c r="H599" s="13">
        <v>20275</v>
      </c>
      <c r="I599" s="18">
        <v>61564</v>
      </c>
      <c r="J599" s="15">
        <f t="shared" si="27"/>
        <v>146398</v>
      </c>
      <c r="K599" s="13">
        <v>20377</v>
      </c>
      <c r="L599" s="13">
        <v>10001</v>
      </c>
      <c r="M599" s="13">
        <v>4837</v>
      </c>
      <c r="N599" s="18">
        <v>17646</v>
      </c>
      <c r="O599" s="15">
        <f t="shared" si="28"/>
        <v>52861</v>
      </c>
      <c r="P599" s="1"/>
      <c r="Q599" s="1"/>
      <c r="R599" s="1"/>
      <c r="S599" s="18"/>
      <c r="T599" s="15">
        <f t="shared" si="29"/>
        <v>0</v>
      </c>
    </row>
    <row r="600" spans="1:20" ht="12.75">
      <c r="A600" s="1" t="s">
        <v>1162</v>
      </c>
      <c r="B600" s="9" t="s">
        <v>128</v>
      </c>
      <c r="C600" s="12" t="s">
        <v>1331</v>
      </c>
      <c r="D600" s="165" t="s">
        <v>1332</v>
      </c>
      <c r="E600" s="14" t="s">
        <v>170</v>
      </c>
      <c r="F600" s="1"/>
      <c r="G600" s="13">
        <v>196610</v>
      </c>
      <c r="H600" s="13">
        <v>65168</v>
      </c>
      <c r="I600" s="18">
        <v>212652</v>
      </c>
      <c r="J600" s="15">
        <f t="shared" si="27"/>
        <v>474430</v>
      </c>
      <c r="K600" s="13">
        <v>135899</v>
      </c>
      <c r="L600" s="13">
        <v>0</v>
      </c>
      <c r="M600" s="13">
        <v>0</v>
      </c>
      <c r="N600" s="18">
        <v>133549</v>
      </c>
      <c r="O600" s="15">
        <f t="shared" si="28"/>
        <v>269448</v>
      </c>
      <c r="P600" s="1"/>
      <c r="Q600" s="1"/>
      <c r="R600" s="1"/>
      <c r="S600" s="18"/>
      <c r="T600" s="15">
        <f t="shared" si="29"/>
        <v>0</v>
      </c>
    </row>
    <row r="601" spans="1:48" ht="12.75">
      <c r="A601" s="1" t="s">
        <v>1162</v>
      </c>
      <c r="B601" s="9" t="s">
        <v>128</v>
      </c>
      <c r="C601" s="12" t="s">
        <v>1333</v>
      </c>
      <c r="D601" s="165" t="s">
        <v>1334</v>
      </c>
      <c r="E601" s="14" t="s">
        <v>170</v>
      </c>
      <c r="F601" s="1"/>
      <c r="G601" s="13">
        <v>20970</v>
      </c>
      <c r="H601" s="13">
        <v>8414</v>
      </c>
      <c r="I601" s="18">
        <v>21918</v>
      </c>
      <c r="J601" s="15">
        <f t="shared" si="27"/>
        <v>51302</v>
      </c>
      <c r="K601" s="13">
        <v>2835</v>
      </c>
      <c r="L601" s="13">
        <v>4665</v>
      </c>
      <c r="M601" s="13">
        <v>4837</v>
      </c>
      <c r="N601" s="18">
        <v>4781</v>
      </c>
      <c r="O601" s="15">
        <f t="shared" si="28"/>
        <v>17118</v>
      </c>
      <c r="P601" s="1"/>
      <c r="Q601" s="1"/>
      <c r="R601" s="1"/>
      <c r="S601" s="18"/>
      <c r="T601" s="15">
        <f t="shared" si="29"/>
        <v>0</v>
      </c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3"/>
    </row>
    <row r="602" spans="1:20" ht="12.75">
      <c r="A602" s="1" t="s">
        <v>1162</v>
      </c>
      <c r="B602" s="9" t="s">
        <v>128</v>
      </c>
      <c r="C602" s="12" t="s">
        <v>1335</v>
      </c>
      <c r="D602" s="165" t="s">
        <v>1336</v>
      </c>
      <c r="E602" s="14" t="s">
        <v>170</v>
      </c>
      <c r="F602" s="1"/>
      <c r="G602" s="13">
        <v>29621</v>
      </c>
      <c r="H602" s="13">
        <v>6499</v>
      </c>
      <c r="I602" s="18">
        <v>31631</v>
      </c>
      <c r="J602" s="15">
        <f t="shared" si="27"/>
        <v>67751</v>
      </c>
      <c r="K602" s="13">
        <v>187514</v>
      </c>
      <c r="L602" s="13">
        <v>182955</v>
      </c>
      <c r="M602" s="13">
        <v>312916</v>
      </c>
      <c r="N602" s="18">
        <v>175202</v>
      </c>
      <c r="O602" s="15">
        <f t="shared" si="28"/>
        <v>858587</v>
      </c>
      <c r="P602" s="1"/>
      <c r="Q602" s="1"/>
      <c r="R602" s="1"/>
      <c r="S602" s="18"/>
      <c r="T602" s="15">
        <f t="shared" si="29"/>
        <v>0</v>
      </c>
    </row>
    <row r="603" spans="1:24" ht="12.75">
      <c r="A603" s="1" t="s">
        <v>1162</v>
      </c>
      <c r="B603" s="9" t="s">
        <v>128</v>
      </c>
      <c r="C603" s="12" t="s">
        <v>1337</v>
      </c>
      <c r="D603" s="165" t="s">
        <v>1338</v>
      </c>
      <c r="E603" s="14" t="s">
        <v>170</v>
      </c>
      <c r="F603" s="1"/>
      <c r="G603" s="13">
        <v>58822</v>
      </c>
      <c r="H603" s="13">
        <v>20475</v>
      </c>
      <c r="I603" s="18">
        <v>59741</v>
      </c>
      <c r="J603" s="15">
        <f t="shared" si="27"/>
        <v>139038</v>
      </c>
      <c r="K603" s="13">
        <v>68330</v>
      </c>
      <c r="L603" s="13">
        <v>85044</v>
      </c>
      <c r="M603" s="13">
        <v>55890</v>
      </c>
      <c r="N603" s="18">
        <v>79107</v>
      </c>
      <c r="O603" s="15">
        <f t="shared" si="28"/>
        <v>288371</v>
      </c>
      <c r="P603" s="1"/>
      <c r="Q603" s="1"/>
      <c r="R603" s="1"/>
      <c r="S603" s="18"/>
      <c r="T603" s="15">
        <f t="shared" si="29"/>
        <v>0</v>
      </c>
      <c r="U603" s="1"/>
      <c r="V603" s="12"/>
      <c r="W603" s="1"/>
      <c r="X603" s="12"/>
    </row>
    <row r="604" spans="1:20" ht="12.75">
      <c r="A604" s="1" t="s">
        <v>1162</v>
      </c>
      <c r="B604" s="9" t="s">
        <v>128</v>
      </c>
      <c r="C604" s="12" t="s">
        <v>1339</v>
      </c>
      <c r="D604" s="165" t="s">
        <v>1340</v>
      </c>
      <c r="E604" s="14" t="s">
        <v>170</v>
      </c>
      <c r="F604" s="1"/>
      <c r="G604" s="13">
        <v>3280</v>
      </c>
      <c r="H604" s="13">
        <v>5864</v>
      </c>
      <c r="I604" s="18">
        <v>4642</v>
      </c>
      <c r="J604" s="15">
        <f t="shared" si="27"/>
        <v>13786</v>
      </c>
      <c r="K604" s="13">
        <v>21118</v>
      </c>
      <c r="L604" s="13">
        <v>33698</v>
      </c>
      <c r="M604" s="13">
        <v>988</v>
      </c>
      <c r="N604" s="18">
        <v>0</v>
      </c>
      <c r="O604" s="15">
        <f t="shared" si="28"/>
        <v>55804</v>
      </c>
      <c r="P604" s="1"/>
      <c r="Q604" s="1"/>
      <c r="R604" s="1"/>
      <c r="S604" s="18"/>
      <c r="T604" s="15">
        <f t="shared" si="29"/>
        <v>0</v>
      </c>
    </row>
    <row r="605" spans="1:20" ht="12.75">
      <c r="A605" s="1" t="s">
        <v>1162</v>
      </c>
      <c r="B605" s="9" t="s">
        <v>128</v>
      </c>
      <c r="C605" s="12" t="s">
        <v>1341</v>
      </c>
      <c r="D605" s="165" t="s">
        <v>1342</v>
      </c>
      <c r="E605" s="14" t="s">
        <v>170</v>
      </c>
      <c r="F605" s="1"/>
      <c r="G605" s="13">
        <v>24927</v>
      </c>
      <c r="H605" s="13">
        <v>43439</v>
      </c>
      <c r="I605" s="18">
        <v>27246</v>
      </c>
      <c r="J605" s="15">
        <f t="shared" si="27"/>
        <v>95612</v>
      </c>
      <c r="K605" s="13">
        <v>15868</v>
      </c>
      <c r="L605" s="13">
        <v>19316</v>
      </c>
      <c r="M605" s="13">
        <v>11094</v>
      </c>
      <c r="N605" s="18">
        <v>16675</v>
      </c>
      <c r="O605" s="15">
        <f t="shared" si="28"/>
        <v>62953</v>
      </c>
      <c r="P605" s="1"/>
      <c r="Q605" s="1"/>
      <c r="R605" s="1"/>
      <c r="S605" s="18"/>
      <c r="T605" s="15">
        <f t="shared" si="29"/>
        <v>0</v>
      </c>
    </row>
    <row r="606" spans="1:24" ht="12.75">
      <c r="A606" s="1" t="s">
        <v>1162</v>
      </c>
      <c r="B606" s="9" t="s">
        <v>128</v>
      </c>
      <c r="C606" s="12" t="s">
        <v>1343</v>
      </c>
      <c r="D606" s="165" t="s">
        <v>1344</v>
      </c>
      <c r="E606" s="14" t="s">
        <v>170</v>
      </c>
      <c r="F606" s="1"/>
      <c r="G606" s="13">
        <v>8658</v>
      </c>
      <c r="H606" s="13">
        <v>15877</v>
      </c>
      <c r="I606" s="18">
        <v>9140</v>
      </c>
      <c r="J606" s="15">
        <f t="shared" si="27"/>
        <v>33675</v>
      </c>
      <c r="K606" s="13">
        <v>115008</v>
      </c>
      <c r="L606" s="13">
        <v>144001</v>
      </c>
      <c r="M606" s="13">
        <v>62936</v>
      </c>
      <c r="N606" s="18">
        <v>98055</v>
      </c>
      <c r="O606" s="15">
        <f t="shared" si="28"/>
        <v>420000</v>
      </c>
      <c r="P606" s="1"/>
      <c r="Q606" s="1"/>
      <c r="R606" s="1"/>
      <c r="S606" s="18"/>
      <c r="T606" s="15">
        <f t="shared" si="29"/>
        <v>0</v>
      </c>
      <c r="U606" s="1"/>
      <c r="V606" s="12"/>
      <c r="W606" s="1"/>
      <c r="X606" s="12"/>
    </row>
    <row r="607" spans="1:20" ht="12.75">
      <c r="A607" s="1" t="s">
        <v>1162</v>
      </c>
      <c r="B607" s="9" t="s">
        <v>128</v>
      </c>
      <c r="C607" s="12" t="s">
        <v>1345</v>
      </c>
      <c r="D607" s="165" t="s">
        <v>1346</v>
      </c>
      <c r="E607" s="14" t="s">
        <v>170</v>
      </c>
      <c r="F607" s="1"/>
      <c r="G607" s="13">
        <v>31882</v>
      </c>
      <c r="H607" s="13">
        <v>55045</v>
      </c>
      <c r="I607" s="18">
        <v>36836</v>
      </c>
      <c r="J607" s="15">
        <f t="shared" si="27"/>
        <v>123763</v>
      </c>
      <c r="K607" s="13">
        <v>13684</v>
      </c>
      <c r="L607" s="13">
        <v>11706</v>
      </c>
      <c r="M607" s="13">
        <v>7574</v>
      </c>
      <c r="N607" s="18">
        <v>5737</v>
      </c>
      <c r="O607" s="15">
        <f t="shared" si="28"/>
        <v>38701</v>
      </c>
      <c r="P607" s="1"/>
      <c r="Q607" s="1"/>
      <c r="R607" s="1"/>
      <c r="S607" s="18"/>
      <c r="T607" s="15">
        <f t="shared" si="29"/>
        <v>0</v>
      </c>
    </row>
    <row r="608" spans="1:20" ht="12.75">
      <c r="A608" s="1" t="s">
        <v>1162</v>
      </c>
      <c r="B608" s="9" t="s">
        <v>128</v>
      </c>
      <c r="C608" s="12" t="s">
        <v>1347</v>
      </c>
      <c r="D608" s="165" t="s">
        <v>1348</v>
      </c>
      <c r="E608" s="14" t="s">
        <v>170</v>
      </c>
      <c r="F608" s="1"/>
      <c r="G608" s="13">
        <v>39593</v>
      </c>
      <c r="H608" s="13">
        <v>14195</v>
      </c>
      <c r="I608" s="18">
        <v>42645</v>
      </c>
      <c r="J608" s="15">
        <f t="shared" si="27"/>
        <v>96433</v>
      </c>
      <c r="K608" s="13">
        <v>117644</v>
      </c>
      <c r="L608" s="13">
        <v>215584</v>
      </c>
      <c r="M608" s="13">
        <v>152732</v>
      </c>
      <c r="N608" s="18">
        <v>111141</v>
      </c>
      <c r="O608" s="15">
        <f t="shared" si="28"/>
        <v>597101</v>
      </c>
      <c r="P608" s="1"/>
      <c r="Q608" s="1"/>
      <c r="R608" s="1"/>
      <c r="S608" s="18"/>
      <c r="T608" s="15">
        <f t="shared" si="29"/>
        <v>0</v>
      </c>
    </row>
    <row r="609" spans="1:20" ht="12.75">
      <c r="A609" s="1" t="s">
        <v>1162</v>
      </c>
      <c r="B609" s="9" t="s">
        <v>128</v>
      </c>
      <c r="C609" s="12" t="s">
        <v>1349</v>
      </c>
      <c r="D609" s="165" t="s">
        <v>1350</v>
      </c>
      <c r="E609" s="14" t="s">
        <v>170</v>
      </c>
      <c r="F609" s="1"/>
      <c r="G609" s="13">
        <v>67467</v>
      </c>
      <c r="H609" s="13">
        <v>15976</v>
      </c>
      <c r="I609" s="18">
        <v>77802</v>
      </c>
      <c r="J609" s="15">
        <f t="shared" si="27"/>
        <v>161245</v>
      </c>
      <c r="K609" s="13">
        <v>38713</v>
      </c>
      <c r="L609" s="13">
        <v>46649</v>
      </c>
      <c r="M609" s="13">
        <v>37875</v>
      </c>
      <c r="N609" s="18">
        <v>32149</v>
      </c>
      <c r="O609" s="15">
        <f t="shared" si="28"/>
        <v>155386</v>
      </c>
      <c r="P609" s="1"/>
      <c r="Q609" s="1"/>
      <c r="R609" s="1"/>
      <c r="S609" s="18"/>
      <c r="T609" s="15">
        <f t="shared" si="29"/>
        <v>0</v>
      </c>
    </row>
    <row r="610" spans="1:20" ht="12.75">
      <c r="A610" s="1" t="s">
        <v>1162</v>
      </c>
      <c r="B610" s="9" t="s">
        <v>128</v>
      </c>
      <c r="C610" s="12" t="s">
        <v>1351</v>
      </c>
      <c r="D610" s="166" t="s">
        <v>1352</v>
      </c>
      <c r="E610" s="14" t="s">
        <v>170</v>
      </c>
      <c r="F610" s="1"/>
      <c r="G610" s="13">
        <v>12974</v>
      </c>
      <c r="H610" s="13">
        <v>8463</v>
      </c>
      <c r="I610" s="18">
        <v>15270</v>
      </c>
      <c r="J610" s="15">
        <f t="shared" si="27"/>
        <v>36707</v>
      </c>
      <c r="K610" s="13">
        <v>43134</v>
      </c>
      <c r="L610" s="13">
        <v>33851</v>
      </c>
      <c r="M610" s="13">
        <v>29687</v>
      </c>
      <c r="N610" s="18">
        <v>39630</v>
      </c>
      <c r="O610" s="15">
        <f t="shared" si="28"/>
        <v>146302</v>
      </c>
      <c r="P610" s="1"/>
      <c r="Q610" s="1"/>
      <c r="R610" s="1"/>
      <c r="S610" s="18"/>
      <c r="T610" s="15">
        <f t="shared" si="29"/>
        <v>0</v>
      </c>
    </row>
    <row r="611" spans="1:20" ht="12.75">
      <c r="A611" s="1" t="s">
        <v>1162</v>
      </c>
      <c r="B611" s="9" t="s">
        <v>128</v>
      </c>
      <c r="C611" s="12" t="s">
        <v>1353</v>
      </c>
      <c r="D611" s="165" t="s">
        <v>1354</v>
      </c>
      <c r="E611" s="14" t="s">
        <v>170</v>
      </c>
      <c r="F611" s="1"/>
      <c r="G611" s="13">
        <v>29250</v>
      </c>
      <c r="H611" s="13">
        <v>8542</v>
      </c>
      <c r="I611" s="18">
        <v>33713</v>
      </c>
      <c r="J611" s="15">
        <f t="shared" si="27"/>
        <v>71505</v>
      </c>
      <c r="K611" s="13">
        <v>61961</v>
      </c>
      <c r="L611" s="13">
        <v>25094</v>
      </c>
      <c r="M611" s="13">
        <v>43745</v>
      </c>
      <c r="N611" s="18">
        <v>52221</v>
      </c>
      <c r="O611" s="15">
        <f t="shared" si="28"/>
        <v>183021</v>
      </c>
      <c r="P611" s="1"/>
      <c r="Q611" s="1"/>
      <c r="R611" s="1"/>
      <c r="S611" s="18"/>
      <c r="T611" s="15">
        <f t="shared" si="29"/>
        <v>0</v>
      </c>
    </row>
    <row r="612" spans="1:20" ht="12.75">
      <c r="A612" s="1" t="s">
        <v>1162</v>
      </c>
      <c r="B612" s="9" t="s">
        <v>128</v>
      </c>
      <c r="C612" s="12" t="s">
        <v>1355</v>
      </c>
      <c r="D612" s="165" t="s">
        <v>1356</v>
      </c>
      <c r="E612" s="14" t="s">
        <v>170</v>
      </c>
      <c r="F612" s="1"/>
      <c r="G612" s="13">
        <v>22644</v>
      </c>
      <c r="H612" s="13">
        <v>5282</v>
      </c>
      <c r="I612" s="18">
        <v>24357</v>
      </c>
      <c r="J612" s="15">
        <f t="shared" si="27"/>
        <v>52283</v>
      </c>
      <c r="K612" s="13">
        <v>24035</v>
      </c>
      <c r="L612" s="13">
        <v>34140</v>
      </c>
      <c r="M612" s="13">
        <v>20746</v>
      </c>
      <c r="N612" s="18">
        <v>21550</v>
      </c>
      <c r="O612" s="15">
        <f t="shared" si="28"/>
        <v>100471</v>
      </c>
      <c r="P612" s="1"/>
      <c r="Q612" s="1"/>
      <c r="R612" s="1"/>
      <c r="S612" s="18"/>
      <c r="T612" s="15">
        <f t="shared" si="29"/>
        <v>0</v>
      </c>
    </row>
    <row r="613" spans="1:20" ht="12.75">
      <c r="A613" s="1" t="s">
        <v>1162</v>
      </c>
      <c r="B613" s="9" t="s">
        <v>128</v>
      </c>
      <c r="C613" s="12" t="s">
        <v>1357</v>
      </c>
      <c r="D613" s="165" t="s">
        <v>1358</v>
      </c>
      <c r="E613" s="14" t="s">
        <v>170</v>
      </c>
      <c r="F613" s="1"/>
      <c r="G613" s="13">
        <v>10673</v>
      </c>
      <c r="H613" s="13">
        <v>3609</v>
      </c>
      <c r="I613" s="18">
        <v>9513</v>
      </c>
      <c r="J613" s="15">
        <f t="shared" si="27"/>
        <v>23795</v>
      </c>
      <c r="K613" s="13">
        <v>40318</v>
      </c>
      <c r="L613" s="13">
        <v>42656</v>
      </c>
      <c r="M613" s="13">
        <v>11824</v>
      </c>
      <c r="N613" s="18">
        <v>34878</v>
      </c>
      <c r="O613" s="15">
        <f t="shared" si="28"/>
        <v>129676</v>
      </c>
      <c r="P613" s="1"/>
      <c r="Q613" s="1"/>
      <c r="R613" s="1"/>
      <c r="S613" s="18"/>
      <c r="T613" s="15">
        <f t="shared" si="29"/>
        <v>0</v>
      </c>
    </row>
    <row r="614" spans="1:24" ht="12.75">
      <c r="A614" s="1" t="s">
        <v>1162</v>
      </c>
      <c r="B614" s="9" t="s">
        <v>128</v>
      </c>
      <c r="C614" s="12" t="s">
        <v>1359</v>
      </c>
      <c r="D614" s="165" t="s">
        <v>1360</v>
      </c>
      <c r="E614" s="14" t="s">
        <v>170</v>
      </c>
      <c r="F614" s="1"/>
      <c r="G614" s="13">
        <v>33566</v>
      </c>
      <c r="H614" s="13">
        <v>10195</v>
      </c>
      <c r="I614" s="18">
        <v>38872</v>
      </c>
      <c r="J614" s="15">
        <f t="shared" si="27"/>
        <v>82633</v>
      </c>
      <c r="K614" s="13">
        <v>50938</v>
      </c>
      <c r="L614" s="13">
        <v>35427</v>
      </c>
      <c r="M614" s="13">
        <v>40075</v>
      </c>
      <c r="N614" s="18">
        <v>65251</v>
      </c>
      <c r="O614" s="15">
        <f t="shared" si="28"/>
        <v>191691</v>
      </c>
      <c r="P614" s="1"/>
      <c r="Q614" s="1"/>
      <c r="R614" s="1"/>
      <c r="S614" s="18"/>
      <c r="T614" s="15">
        <f t="shared" si="29"/>
        <v>0</v>
      </c>
      <c r="U614" s="1"/>
      <c r="V614" s="12"/>
      <c r="W614" s="1"/>
      <c r="X614" s="12"/>
    </row>
    <row r="615" spans="1:24" ht="12.75">
      <c r="A615" s="1" t="s">
        <v>1162</v>
      </c>
      <c r="B615" s="9" t="s">
        <v>128</v>
      </c>
      <c r="C615" s="12" t="s">
        <v>1361</v>
      </c>
      <c r="D615" s="165" t="s">
        <v>1362</v>
      </c>
      <c r="E615" s="20" t="s">
        <v>305</v>
      </c>
      <c r="F615" s="1"/>
      <c r="G615" s="13">
        <v>3281</v>
      </c>
      <c r="H615" s="13">
        <v>1876</v>
      </c>
      <c r="I615" s="18">
        <v>6870</v>
      </c>
      <c r="J615" s="15">
        <f t="shared" si="27"/>
        <v>12027</v>
      </c>
      <c r="K615" s="1"/>
      <c r="L615" s="1"/>
      <c r="M615" s="1"/>
      <c r="N615" s="18"/>
      <c r="O615" s="15">
        <f t="shared" si="28"/>
        <v>0</v>
      </c>
      <c r="P615" s="1"/>
      <c r="Q615" s="13">
        <v>4132</v>
      </c>
      <c r="R615" s="13">
        <v>974</v>
      </c>
      <c r="S615" s="18">
        <v>2786</v>
      </c>
      <c r="T615" s="15">
        <f t="shared" si="29"/>
        <v>7892</v>
      </c>
      <c r="U615" s="1"/>
      <c r="V615" s="12"/>
      <c r="W615" s="1"/>
      <c r="X615" s="12"/>
    </row>
    <row r="616" spans="1:24" ht="12.75">
      <c r="A616" s="1" t="s">
        <v>1162</v>
      </c>
      <c r="B616" s="9" t="s">
        <v>128</v>
      </c>
      <c r="C616" s="12" t="s">
        <v>1363</v>
      </c>
      <c r="D616" s="165" t="s">
        <v>1364</v>
      </c>
      <c r="E616" s="14" t="s">
        <v>305</v>
      </c>
      <c r="F616" s="1"/>
      <c r="G616" s="13">
        <v>4904</v>
      </c>
      <c r="H616" s="13">
        <v>2647</v>
      </c>
      <c r="I616" s="18">
        <v>4550</v>
      </c>
      <c r="J616" s="15">
        <f t="shared" si="27"/>
        <v>12101</v>
      </c>
      <c r="K616" s="1"/>
      <c r="L616" s="1"/>
      <c r="M616" s="1"/>
      <c r="N616" s="18"/>
      <c r="O616" s="15">
        <f t="shared" si="28"/>
        <v>0</v>
      </c>
      <c r="P616" s="1"/>
      <c r="Q616" s="13">
        <v>13635</v>
      </c>
      <c r="R616" s="13">
        <v>7655</v>
      </c>
      <c r="S616" s="18">
        <v>13264</v>
      </c>
      <c r="T616" s="15">
        <f t="shared" si="29"/>
        <v>34554</v>
      </c>
      <c r="U616" s="1"/>
      <c r="V616" s="12"/>
      <c r="W616" s="1"/>
      <c r="X616" s="12"/>
    </row>
    <row r="617" spans="1:20" ht="12.75">
      <c r="A617" s="1" t="s">
        <v>1162</v>
      </c>
      <c r="B617" s="9" t="s">
        <v>128</v>
      </c>
      <c r="C617" s="12" t="s">
        <v>1365</v>
      </c>
      <c r="D617" s="165" t="s">
        <v>1366</v>
      </c>
      <c r="E617" s="14" t="s">
        <v>305</v>
      </c>
      <c r="F617" s="1"/>
      <c r="G617" s="13">
        <v>11787</v>
      </c>
      <c r="H617" s="13">
        <v>3151</v>
      </c>
      <c r="I617" s="18">
        <v>12015</v>
      </c>
      <c r="J617" s="15">
        <f t="shared" si="27"/>
        <v>26953</v>
      </c>
      <c r="K617" s="1"/>
      <c r="L617" s="1"/>
      <c r="M617" s="1"/>
      <c r="N617" s="18"/>
      <c r="O617" s="15">
        <f t="shared" si="28"/>
        <v>0</v>
      </c>
      <c r="P617" s="1"/>
      <c r="Q617" s="13">
        <v>4260</v>
      </c>
      <c r="R617" s="13">
        <v>2278</v>
      </c>
      <c r="S617" s="18">
        <v>4737</v>
      </c>
      <c r="T617" s="15">
        <f t="shared" si="29"/>
        <v>11275</v>
      </c>
    </row>
    <row r="618" spans="1:24" ht="12.75">
      <c r="A618" s="1" t="s">
        <v>1162</v>
      </c>
      <c r="B618" s="9" t="s">
        <v>128</v>
      </c>
      <c r="C618" s="12" t="s">
        <v>1367</v>
      </c>
      <c r="D618" s="165" t="s">
        <v>1368</v>
      </c>
      <c r="E618" s="14" t="s">
        <v>305</v>
      </c>
      <c r="F618" s="1"/>
      <c r="G618" s="13">
        <v>11224</v>
      </c>
      <c r="H618" s="13">
        <v>2712</v>
      </c>
      <c r="I618" s="18">
        <v>11243</v>
      </c>
      <c r="J618" s="15">
        <f t="shared" si="27"/>
        <v>25179</v>
      </c>
      <c r="K618" s="1"/>
      <c r="L618" s="1"/>
      <c r="M618" s="1"/>
      <c r="N618" s="18"/>
      <c r="O618" s="15">
        <f t="shared" si="28"/>
        <v>0</v>
      </c>
      <c r="P618" s="1"/>
      <c r="Q618" s="13">
        <v>3838</v>
      </c>
      <c r="R618" s="13">
        <v>8802</v>
      </c>
      <c r="S618" s="18">
        <v>4538</v>
      </c>
      <c r="T618" s="15">
        <f t="shared" si="29"/>
        <v>17178</v>
      </c>
      <c r="U618" s="1"/>
      <c r="V618" s="12"/>
      <c r="W618" s="1"/>
      <c r="X618" s="12"/>
    </row>
    <row r="619" spans="1:24" ht="12.75">
      <c r="A619" s="1" t="s">
        <v>1162</v>
      </c>
      <c r="B619" s="9" t="s">
        <v>128</v>
      </c>
      <c r="C619" s="12" t="s">
        <v>1369</v>
      </c>
      <c r="D619" s="165" t="s">
        <v>1370</v>
      </c>
      <c r="E619" s="14" t="s">
        <v>305</v>
      </c>
      <c r="F619" s="1"/>
      <c r="G619" s="13">
        <v>5328</v>
      </c>
      <c r="H619" s="13">
        <v>3904</v>
      </c>
      <c r="I619" s="18">
        <v>5210</v>
      </c>
      <c r="J619" s="15">
        <f t="shared" si="27"/>
        <v>14442</v>
      </c>
      <c r="K619" s="1"/>
      <c r="L619" s="1"/>
      <c r="M619" s="1"/>
      <c r="N619" s="18"/>
      <c r="O619" s="15">
        <f t="shared" si="28"/>
        <v>0</v>
      </c>
      <c r="P619" s="1"/>
      <c r="Q619" s="13">
        <v>4297</v>
      </c>
      <c r="R619" s="13">
        <v>3797</v>
      </c>
      <c r="S619" s="18">
        <v>4357</v>
      </c>
      <c r="T619" s="15">
        <f t="shared" si="29"/>
        <v>12451</v>
      </c>
      <c r="U619" s="1"/>
      <c r="V619" s="12"/>
      <c r="W619" s="1"/>
      <c r="X619" s="12"/>
    </row>
    <row r="620" spans="1:24" ht="12.75">
      <c r="A620" s="1" t="s">
        <v>1162</v>
      </c>
      <c r="B620" s="9" t="s">
        <v>128</v>
      </c>
      <c r="C620" s="12" t="s">
        <v>1371</v>
      </c>
      <c r="D620" s="165" t="s">
        <v>1372</v>
      </c>
      <c r="E620" s="14" t="s">
        <v>305</v>
      </c>
      <c r="F620" s="1"/>
      <c r="G620" s="1"/>
      <c r="H620" s="1"/>
      <c r="I620" s="18"/>
      <c r="J620" s="15">
        <f t="shared" si="27"/>
        <v>0</v>
      </c>
      <c r="K620" s="1"/>
      <c r="L620" s="1"/>
      <c r="M620" s="1"/>
      <c r="N620" s="18"/>
      <c r="O620" s="15">
        <f t="shared" si="28"/>
        <v>0</v>
      </c>
      <c r="P620" s="1"/>
      <c r="Q620" s="13">
        <v>709</v>
      </c>
      <c r="R620" s="13">
        <v>349</v>
      </c>
      <c r="S620" s="18">
        <v>904</v>
      </c>
      <c r="T620" s="15">
        <f t="shared" si="29"/>
        <v>1962</v>
      </c>
      <c r="U620" s="1"/>
      <c r="V620" s="12"/>
      <c r="W620" s="1"/>
      <c r="X620" s="12"/>
    </row>
    <row r="621" spans="1:20" ht="12.75">
      <c r="A621" s="1" t="s">
        <v>1373</v>
      </c>
      <c r="B621" s="9" t="s">
        <v>128</v>
      </c>
      <c r="C621" s="12" t="s">
        <v>1374</v>
      </c>
      <c r="D621" s="165" t="s">
        <v>1375</v>
      </c>
      <c r="E621" s="14" t="s">
        <v>131</v>
      </c>
      <c r="F621" s="13" t="s">
        <v>306</v>
      </c>
      <c r="G621" s="13">
        <v>174608</v>
      </c>
      <c r="H621" s="13">
        <v>15483</v>
      </c>
      <c r="I621" s="18">
        <v>188128</v>
      </c>
      <c r="J621" s="15">
        <f t="shared" si="27"/>
        <v>378219</v>
      </c>
      <c r="K621" s="1"/>
      <c r="L621" s="1"/>
      <c r="M621" s="1"/>
      <c r="N621" s="15"/>
      <c r="O621" s="15">
        <f t="shared" si="28"/>
        <v>0</v>
      </c>
      <c r="P621" s="12" t="s">
        <v>306</v>
      </c>
      <c r="Q621" s="12">
        <v>83888</v>
      </c>
      <c r="R621" s="12">
        <v>18212</v>
      </c>
      <c r="S621" s="18">
        <v>77531</v>
      </c>
      <c r="T621" s="15">
        <f t="shared" si="29"/>
        <v>179631</v>
      </c>
    </row>
    <row r="622" spans="1:24" ht="12.75">
      <c r="A622" s="1" t="s">
        <v>1373</v>
      </c>
      <c r="B622" s="9" t="s">
        <v>128</v>
      </c>
      <c r="C622" s="12" t="s">
        <v>1376</v>
      </c>
      <c r="D622" s="165" t="s">
        <v>1377</v>
      </c>
      <c r="E622" s="14" t="s">
        <v>131</v>
      </c>
      <c r="F622" s="1"/>
      <c r="G622" s="13">
        <v>275112</v>
      </c>
      <c r="H622" s="13">
        <v>35905</v>
      </c>
      <c r="I622" s="18">
        <v>296279</v>
      </c>
      <c r="J622" s="15">
        <f t="shared" si="27"/>
        <v>607296</v>
      </c>
      <c r="K622" s="1"/>
      <c r="L622" s="1"/>
      <c r="M622" s="1"/>
      <c r="N622" s="15"/>
      <c r="O622" s="15">
        <f t="shared" si="28"/>
        <v>0</v>
      </c>
      <c r="P622" s="1"/>
      <c r="Q622" s="12">
        <v>49090</v>
      </c>
      <c r="R622" s="12">
        <v>14902</v>
      </c>
      <c r="S622" s="18">
        <v>47355</v>
      </c>
      <c r="T622" s="15">
        <f t="shared" si="29"/>
        <v>111347</v>
      </c>
      <c r="U622" s="1"/>
      <c r="V622" s="12"/>
      <c r="W622" s="1"/>
      <c r="X622" s="12"/>
    </row>
    <row r="623" spans="1:24" ht="12.75">
      <c r="A623" s="1" t="s">
        <v>1373</v>
      </c>
      <c r="B623" s="9" t="s">
        <v>128</v>
      </c>
      <c r="C623" s="12" t="s">
        <v>1378</v>
      </c>
      <c r="D623" s="165" t="s">
        <v>1379</v>
      </c>
      <c r="E623" s="14" t="s">
        <v>136</v>
      </c>
      <c r="F623" s="1"/>
      <c r="G623" s="13">
        <v>76509</v>
      </c>
      <c r="H623" s="13">
        <v>5221</v>
      </c>
      <c r="I623" s="18">
        <v>79083</v>
      </c>
      <c r="J623" s="15">
        <f t="shared" si="27"/>
        <v>160813</v>
      </c>
      <c r="K623" s="1"/>
      <c r="L623" s="1"/>
      <c r="M623" s="1"/>
      <c r="N623" s="15"/>
      <c r="O623" s="15">
        <f t="shared" si="28"/>
        <v>0</v>
      </c>
      <c r="P623" s="1"/>
      <c r="Q623" s="12">
        <v>22214</v>
      </c>
      <c r="R623" s="12">
        <v>4788</v>
      </c>
      <c r="S623" s="18">
        <v>23782</v>
      </c>
      <c r="T623" s="15">
        <f t="shared" si="29"/>
        <v>50784</v>
      </c>
      <c r="U623" s="1"/>
      <c r="V623" s="12"/>
      <c r="W623" s="1"/>
      <c r="X623" s="12"/>
    </row>
    <row r="624" spans="1:24" ht="12.75">
      <c r="A624" s="1" t="s">
        <v>1373</v>
      </c>
      <c r="B624" s="9" t="s">
        <v>128</v>
      </c>
      <c r="C624" s="12" t="s">
        <v>1380</v>
      </c>
      <c r="D624" s="165" t="s">
        <v>1381</v>
      </c>
      <c r="E624" s="14" t="s">
        <v>136</v>
      </c>
      <c r="F624" s="13" t="s">
        <v>306</v>
      </c>
      <c r="G624" s="13">
        <v>153102</v>
      </c>
      <c r="H624" s="13">
        <v>31142</v>
      </c>
      <c r="I624" s="18">
        <v>163918</v>
      </c>
      <c r="J624" s="15">
        <f t="shared" si="27"/>
        <v>348162</v>
      </c>
      <c r="K624" s="1"/>
      <c r="L624" s="1"/>
      <c r="M624" s="1"/>
      <c r="N624" s="18"/>
      <c r="O624" s="15">
        <f t="shared" si="28"/>
        <v>0</v>
      </c>
      <c r="P624" s="1"/>
      <c r="Q624" s="12">
        <v>46741</v>
      </c>
      <c r="R624" s="12">
        <v>13314</v>
      </c>
      <c r="S624" s="18">
        <v>59439</v>
      </c>
      <c r="T624" s="15">
        <f t="shared" si="29"/>
        <v>119494</v>
      </c>
      <c r="U624" s="1"/>
      <c r="V624" s="12"/>
      <c r="W624" s="1"/>
      <c r="X624" s="12"/>
    </row>
    <row r="625" spans="1:20" ht="12.75">
      <c r="A625" s="1" t="s">
        <v>1373</v>
      </c>
      <c r="B625" s="9" t="s">
        <v>128</v>
      </c>
      <c r="C625" s="12" t="s">
        <v>1382</v>
      </c>
      <c r="D625" s="165" t="s">
        <v>1383</v>
      </c>
      <c r="E625" s="14" t="s">
        <v>136</v>
      </c>
      <c r="F625" s="1"/>
      <c r="G625" s="13">
        <v>126445</v>
      </c>
      <c r="H625" s="13">
        <v>30128</v>
      </c>
      <c r="I625" s="18">
        <v>135241</v>
      </c>
      <c r="J625" s="15">
        <f t="shared" si="27"/>
        <v>291814</v>
      </c>
      <c r="K625" s="1"/>
      <c r="L625" s="1"/>
      <c r="M625" s="1"/>
      <c r="N625" s="18"/>
      <c r="O625" s="15">
        <f t="shared" si="28"/>
        <v>0</v>
      </c>
      <c r="P625" s="1"/>
      <c r="Q625" s="12">
        <v>31015</v>
      </c>
      <c r="R625" s="12">
        <v>15521</v>
      </c>
      <c r="S625" s="18">
        <v>35612</v>
      </c>
      <c r="T625" s="15">
        <f t="shared" si="29"/>
        <v>82148</v>
      </c>
    </row>
    <row r="626" spans="1:20" ht="12.75">
      <c r="A626" s="1" t="s">
        <v>1373</v>
      </c>
      <c r="B626" s="9" t="s">
        <v>128</v>
      </c>
      <c r="C626" s="12" t="s">
        <v>1384</v>
      </c>
      <c r="D626" s="165" t="s">
        <v>1385</v>
      </c>
      <c r="E626" s="14" t="s">
        <v>136</v>
      </c>
      <c r="F626" s="1"/>
      <c r="G626" s="13">
        <v>164821</v>
      </c>
      <c r="H626" s="13">
        <v>33975</v>
      </c>
      <c r="I626" s="18">
        <v>174944</v>
      </c>
      <c r="J626" s="15">
        <f t="shared" si="27"/>
        <v>373740</v>
      </c>
      <c r="K626" s="1"/>
      <c r="L626" s="1"/>
      <c r="M626" s="1"/>
      <c r="N626" s="18"/>
      <c r="O626" s="15">
        <f t="shared" si="28"/>
        <v>0</v>
      </c>
      <c r="P626" s="1"/>
      <c r="Q626" s="12">
        <v>41077</v>
      </c>
      <c r="R626" s="12">
        <v>12103</v>
      </c>
      <c r="S626" s="18">
        <v>44977</v>
      </c>
      <c r="T626" s="15">
        <f t="shared" si="29"/>
        <v>98157</v>
      </c>
    </row>
    <row r="627" spans="1:24" ht="12.75">
      <c r="A627" s="1" t="s">
        <v>1373</v>
      </c>
      <c r="B627" s="9" t="s">
        <v>128</v>
      </c>
      <c r="C627" s="12" t="s">
        <v>1386</v>
      </c>
      <c r="D627" s="165" t="s">
        <v>1387</v>
      </c>
      <c r="E627" s="14" t="s">
        <v>139</v>
      </c>
      <c r="F627" s="1"/>
      <c r="G627" s="13">
        <v>149225</v>
      </c>
      <c r="H627" s="13">
        <v>18605</v>
      </c>
      <c r="I627" s="18">
        <v>162089</v>
      </c>
      <c r="J627" s="15">
        <f t="shared" si="27"/>
        <v>329919</v>
      </c>
      <c r="K627" s="1"/>
      <c r="L627" s="1"/>
      <c r="M627" s="1"/>
      <c r="N627" s="18"/>
      <c r="O627" s="15">
        <f t="shared" si="28"/>
        <v>0</v>
      </c>
      <c r="P627" s="1"/>
      <c r="Q627" s="12">
        <v>6874</v>
      </c>
      <c r="R627" s="12">
        <v>4304</v>
      </c>
      <c r="S627" s="18">
        <v>7787</v>
      </c>
      <c r="T627" s="15">
        <f t="shared" si="29"/>
        <v>18965</v>
      </c>
      <c r="U627" s="1"/>
      <c r="V627" s="12"/>
      <c r="W627" s="1"/>
      <c r="X627" s="12"/>
    </row>
    <row r="628" spans="1:24" ht="12.75">
      <c r="A628" s="1" t="s">
        <v>1373</v>
      </c>
      <c r="B628" s="9" t="s">
        <v>128</v>
      </c>
      <c r="C628" s="12" t="s">
        <v>1388</v>
      </c>
      <c r="D628" s="165" t="s">
        <v>1389</v>
      </c>
      <c r="E628" s="14" t="s">
        <v>148</v>
      </c>
      <c r="F628" s="1"/>
      <c r="G628" s="13">
        <v>97884</v>
      </c>
      <c r="H628" s="13">
        <v>8688</v>
      </c>
      <c r="I628" s="18">
        <v>97869</v>
      </c>
      <c r="J628" s="15">
        <f t="shared" si="27"/>
        <v>204441</v>
      </c>
      <c r="K628" s="1"/>
      <c r="L628" s="1"/>
      <c r="M628" s="1"/>
      <c r="N628" s="18"/>
      <c r="O628" s="15">
        <f t="shared" si="28"/>
        <v>0</v>
      </c>
      <c r="P628" s="1"/>
      <c r="Q628" s="12">
        <v>7155</v>
      </c>
      <c r="R628" s="12">
        <v>1862</v>
      </c>
      <c r="S628" s="18">
        <v>7084</v>
      </c>
      <c r="T628" s="15">
        <f t="shared" si="29"/>
        <v>16101</v>
      </c>
      <c r="U628" s="1"/>
      <c r="V628" s="12"/>
      <c r="W628" s="1"/>
      <c r="X628" s="12"/>
    </row>
    <row r="629" spans="1:20" ht="12.75">
      <c r="A629" s="1" t="s">
        <v>1373</v>
      </c>
      <c r="B629" s="9" t="s">
        <v>128</v>
      </c>
      <c r="C629" s="12" t="s">
        <v>1390</v>
      </c>
      <c r="D629" s="165" t="s">
        <v>1391</v>
      </c>
      <c r="E629" s="14" t="s">
        <v>148</v>
      </c>
      <c r="F629" s="1"/>
      <c r="G629" s="13">
        <v>108000</v>
      </c>
      <c r="H629" s="13">
        <v>15484</v>
      </c>
      <c r="I629" s="18">
        <v>108770</v>
      </c>
      <c r="J629" s="15">
        <f t="shared" si="27"/>
        <v>232254</v>
      </c>
      <c r="K629" s="1"/>
      <c r="L629" s="1"/>
      <c r="M629" s="1"/>
      <c r="N629" s="18"/>
      <c r="O629" s="15">
        <f t="shared" si="28"/>
        <v>0</v>
      </c>
      <c r="P629" s="1"/>
      <c r="Q629" s="12">
        <v>5495</v>
      </c>
      <c r="R629" s="12">
        <v>2721</v>
      </c>
      <c r="S629" s="18">
        <v>7253</v>
      </c>
      <c r="T629" s="15">
        <f t="shared" si="29"/>
        <v>15469</v>
      </c>
    </row>
    <row r="630" spans="1:24" ht="12.75">
      <c r="A630" s="1" t="s">
        <v>1373</v>
      </c>
      <c r="B630" s="9" t="s">
        <v>128</v>
      </c>
      <c r="C630" s="12" t="s">
        <v>1392</v>
      </c>
      <c r="D630" s="165" t="s">
        <v>1393</v>
      </c>
      <c r="E630" s="14" t="s">
        <v>148</v>
      </c>
      <c r="F630" s="1"/>
      <c r="G630" s="13">
        <v>45658</v>
      </c>
      <c r="H630" s="13">
        <v>6459</v>
      </c>
      <c r="I630" s="18">
        <v>46105</v>
      </c>
      <c r="J630" s="15">
        <f t="shared" si="27"/>
        <v>98222</v>
      </c>
      <c r="K630" s="1"/>
      <c r="L630" s="1"/>
      <c r="M630" s="1"/>
      <c r="N630" s="18"/>
      <c r="O630" s="15">
        <f t="shared" si="28"/>
        <v>0</v>
      </c>
      <c r="P630" s="1"/>
      <c r="Q630" s="12">
        <v>3497</v>
      </c>
      <c r="R630" s="12">
        <v>1706</v>
      </c>
      <c r="S630" s="18">
        <v>4611</v>
      </c>
      <c r="T630" s="15">
        <f t="shared" si="29"/>
        <v>9814</v>
      </c>
      <c r="U630" s="1"/>
      <c r="V630" s="12"/>
      <c r="W630" s="1"/>
      <c r="X630" s="12"/>
    </row>
    <row r="631" spans="1:20" ht="12.75">
      <c r="A631" s="1" t="s">
        <v>1373</v>
      </c>
      <c r="B631" s="9" t="s">
        <v>128</v>
      </c>
      <c r="C631" s="12" t="s">
        <v>1394</v>
      </c>
      <c r="D631" s="165" t="s">
        <v>1395</v>
      </c>
      <c r="E631" s="14" t="s">
        <v>157</v>
      </c>
      <c r="F631" s="1"/>
      <c r="G631" s="13">
        <v>43586</v>
      </c>
      <c r="H631" s="13">
        <v>3438</v>
      </c>
      <c r="I631" s="18">
        <v>45967</v>
      </c>
      <c r="J631" s="15">
        <f t="shared" si="27"/>
        <v>92991</v>
      </c>
      <c r="K631" s="1"/>
      <c r="L631" s="1"/>
      <c r="M631" s="1"/>
      <c r="N631" s="18"/>
      <c r="O631" s="15">
        <f t="shared" si="28"/>
        <v>0</v>
      </c>
      <c r="P631" s="1"/>
      <c r="Q631" s="12">
        <v>1511</v>
      </c>
      <c r="R631" s="12">
        <v>2622</v>
      </c>
      <c r="S631" s="18">
        <v>2310</v>
      </c>
      <c r="T631" s="15">
        <f t="shared" si="29"/>
        <v>6443</v>
      </c>
    </row>
    <row r="632" spans="1:55" ht="12.75">
      <c r="A632" s="1" t="s">
        <v>1373</v>
      </c>
      <c r="B632" s="9" t="s">
        <v>128</v>
      </c>
      <c r="C632" s="12" t="s">
        <v>1396</v>
      </c>
      <c r="D632" s="165" t="s">
        <v>1397</v>
      </c>
      <c r="E632" s="14" t="s">
        <v>166</v>
      </c>
      <c r="F632" s="1"/>
      <c r="G632" s="13">
        <v>48074</v>
      </c>
      <c r="H632" s="13">
        <v>6566</v>
      </c>
      <c r="I632" s="18">
        <v>48845</v>
      </c>
      <c r="J632" s="15">
        <f t="shared" si="27"/>
        <v>103485</v>
      </c>
      <c r="K632" s="1"/>
      <c r="L632" s="1"/>
      <c r="M632" s="1"/>
      <c r="N632" s="18"/>
      <c r="O632" s="15">
        <f t="shared" si="28"/>
        <v>0</v>
      </c>
      <c r="P632" s="1"/>
      <c r="Q632" s="12">
        <v>452</v>
      </c>
      <c r="R632" s="12">
        <v>376</v>
      </c>
      <c r="S632" s="18">
        <v>728</v>
      </c>
      <c r="T632" s="15">
        <f t="shared" si="29"/>
        <v>1556</v>
      </c>
      <c r="U632" s="1"/>
      <c r="V632" s="12"/>
      <c r="W632" s="1"/>
      <c r="X632" s="12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39"/>
    </row>
    <row r="633" spans="1:55" ht="12.75">
      <c r="A633" s="1" t="s">
        <v>1373</v>
      </c>
      <c r="B633" s="9" t="s">
        <v>128</v>
      </c>
      <c r="C633" s="12" t="s">
        <v>1398</v>
      </c>
      <c r="D633" s="165" t="s">
        <v>1399</v>
      </c>
      <c r="E633" s="14" t="s">
        <v>166</v>
      </c>
      <c r="F633" s="1"/>
      <c r="G633" s="13">
        <v>16188</v>
      </c>
      <c r="H633" s="13">
        <v>2753</v>
      </c>
      <c r="I633" s="18">
        <v>18256</v>
      </c>
      <c r="J633" s="15">
        <f t="shared" si="27"/>
        <v>37197</v>
      </c>
      <c r="K633" s="1"/>
      <c r="L633" s="1"/>
      <c r="M633" s="1"/>
      <c r="N633" s="18"/>
      <c r="O633" s="15">
        <f t="shared" si="28"/>
        <v>0</v>
      </c>
      <c r="P633" s="1"/>
      <c r="Q633" s="1"/>
      <c r="R633" s="1"/>
      <c r="S633" s="18"/>
      <c r="T633" s="15">
        <f t="shared" si="29"/>
        <v>0</v>
      </c>
      <c r="U633" s="1"/>
      <c r="V633" s="12"/>
      <c r="W633" s="1"/>
      <c r="X633" s="12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39"/>
    </row>
    <row r="634" spans="1:55" ht="12.75">
      <c r="A634" s="1" t="s">
        <v>1373</v>
      </c>
      <c r="B634" s="9" t="s">
        <v>128</v>
      </c>
      <c r="C634" s="12" t="s">
        <v>1400</v>
      </c>
      <c r="D634" s="165" t="s">
        <v>1401</v>
      </c>
      <c r="E634" s="14" t="s">
        <v>166</v>
      </c>
      <c r="F634" s="1"/>
      <c r="G634" s="13">
        <v>46449</v>
      </c>
      <c r="H634" s="13">
        <v>4973</v>
      </c>
      <c r="I634" s="18">
        <v>48735</v>
      </c>
      <c r="J634" s="15">
        <f t="shared" si="27"/>
        <v>100157</v>
      </c>
      <c r="K634" s="1"/>
      <c r="L634" s="1"/>
      <c r="M634" s="1"/>
      <c r="N634" s="18"/>
      <c r="O634" s="15">
        <f t="shared" si="28"/>
        <v>0</v>
      </c>
      <c r="P634" s="1"/>
      <c r="Q634" s="1"/>
      <c r="R634" s="1"/>
      <c r="S634" s="18">
        <v>201</v>
      </c>
      <c r="T634" s="15">
        <f t="shared" si="29"/>
        <v>201</v>
      </c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39"/>
    </row>
    <row r="635" spans="1:55" ht="12.75">
      <c r="A635" s="1" t="s">
        <v>1373</v>
      </c>
      <c r="B635" s="9" t="s">
        <v>128</v>
      </c>
      <c r="C635" s="13" t="s">
        <v>1402</v>
      </c>
      <c r="D635" s="166" t="s">
        <v>1403</v>
      </c>
      <c r="E635" s="20" t="s">
        <v>170</v>
      </c>
      <c r="F635" s="1"/>
      <c r="G635" s="13">
        <v>921681</v>
      </c>
      <c r="H635" s="13">
        <v>304674</v>
      </c>
      <c r="I635" s="18">
        <v>951526</v>
      </c>
      <c r="J635" s="15">
        <f t="shared" si="27"/>
        <v>2177881</v>
      </c>
      <c r="K635" s="1"/>
      <c r="L635" s="1"/>
      <c r="M635" s="1"/>
      <c r="N635" s="18"/>
      <c r="O635" s="15">
        <f t="shared" si="28"/>
        <v>0</v>
      </c>
      <c r="P635" s="1"/>
      <c r="Q635" s="1"/>
      <c r="R635" s="1"/>
      <c r="S635" s="18"/>
      <c r="T635" s="15">
        <f t="shared" si="29"/>
        <v>0</v>
      </c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39"/>
    </row>
    <row r="636" spans="1:54" ht="12.75">
      <c r="A636" s="1" t="s">
        <v>1373</v>
      </c>
      <c r="B636" s="9" t="s">
        <v>128</v>
      </c>
      <c r="C636" s="12" t="s">
        <v>1404</v>
      </c>
      <c r="D636" s="165" t="s">
        <v>1405</v>
      </c>
      <c r="E636" s="14" t="s">
        <v>170</v>
      </c>
      <c r="F636" s="1"/>
      <c r="G636" s="13">
        <v>11636</v>
      </c>
      <c r="H636" s="13">
        <v>2718</v>
      </c>
      <c r="I636" s="18">
        <v>13361</v>
      </c>
      <c r="J636" s="15">
        <f t="shared" si="27"/>
        <v>27715</v>
      </c>
      <c r="K636" s="1"/>
      <c r="L636" s="1"/>
      <c r="M636" s="1"/>
      <c r="N636" s="18"/>
      <c r="O636" s="15">
        <f t="shared" si="28"/>
        <v>0</v>
      </c>
      <c r="P636" s="1"/>
      <c r="Q636" s="1"/>
      <c r="R636" s="1"/>
      <c r="S636" s="18"/>
      <c r="T636" s="15">
        <f t="shared" si="29"/>
        <v>0</v>
      </c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9"/>
      <c r="AW636" s="9"/>
      <c r="AX636" s="9"/>
      <c r="AY636" s="9"/>
      <c r="AZ636" s="9"/>
      <c r="BA636" s="9"/>
      <c r="BB636" s="9"/>
    </row>
    <row r="637" spans="1:54" ht="12.75">
      <c r="A637" s="1" t="s">
        <v>1373</v>
      </c>
      <c r="B637" s="9" t="s">
        <v>128</v>
      </c>
      <c r="C637" s="12" t="s">
        <v>1406</v>
      </c>
      <c r="D637" s="165" t="s">
        <v>1407</v>
      </c>
      <c r="E637" s="14" t="s">
        <v>305</v>
      </c>
      <c r="F637" s="1"/>
      <c r="G637" s="13">
        <v>18972</v>
      </c>
      <c r="H637" s="13">
        <v>3441</v>
      </c>
      <c r="I637" s="18">
        <v>19116</v>
      </c>
      <c r="J637" s="15">
        <f t="shared" si="27"/>
        <v>41529</v>
      </c>
      <c r="K637" s="1"/>
      <c r="L637" s="1"/>
      <c r="M637" s="1"/>
      <c r="N637" s="18"/>
      <c r="O637" s="15">
        <f t="shared" si="28"/>
        <v>0</v>
      </c>
      <c r="P637" s="1"/>
      <c r="Q637" s="1"/>
      <c r="R637" s="1"/>
      <c r="S637" s="18"/>
      <c r="T637" s="15">
        <f t="shared" si="29"/>
        <v>0</v>
      </c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9"/>
      <c r="AW637" s="9"/>
      <c r="AX637" s="9"/>
      <c r="AY637" s="9"/>
      <c r="AZ637" s="9"/>
      <c r="BA637" s="9"/>
      <c r="BB637" s="9"/>
    </row>
    <row r="638" spans="1:20" ht="12.75">
      <c r="A638" s="1" t="s">
        <v>1408</v>
      </c>
      <c r="B638" s="9" t="s">
        <v>128</v>
      </c>
      <c r="C638" s="12" t="s">
        <v>1409</v>
      </c>
      <c r="D638" s="165" t="s">
        <v>1410</v>
      </c>
      <c r="E638" s="14" t="s">
        <v>131</v>
      </c>
      <c r="F638" s="1"/>
      <c r="G638" s="13">
        <v>198778</v>
      </c>
      <c r="H638" s="13">
        <v>23058</v>
      </c>
      <c r="I638" s="15">
        <v>212192</v>
      </c>
      <c r="J638" s="15">
        <f t="shared" si="27"/>
        <v>434028</v>
      </c>
      <c r="K638" s="1"/>
      <c r="L638" s="1"/>
      <c r="M638" s="1"/>
      <c r="N638" s="15"/>
      <c r="O638" s="15">
        <f t="shared" si="28"/>
        <v>0</v>
      </c>
      <c r="P638" s="1"/>
      <c r="Q638" s="13">
        <v>42404</v>
      </c>
      <c r="R638" s="13">
        <v>25778</v>
      </c>
      <c r="S638" s="18">
        <v>42921</v>
      </c>
      <c r="T638" s="15">
        <f t="shared" si="29"/>
        <v>111103</v>
      </c>
    </row>
    <row r="639" spans="1:20" ht="12.75">
      <c r="A639" s="1" t="s">
        <v>1408</v>
      </c>
      <c r="B639" s="9" t="s">
        <v>128</v>
      </c>
      <c r="C639" s="12" t="s">
        <v>1411</v>
      </c>
      <c r="D639" s="165" t="s">
        <v>1412</v>
      </c>
      <c r="E639" s="14" t="s">
        <v>139</v>
      </c>
      <c r="F639" s="1"/>
      <c r="G639" s="13">
        <v>114146</v>
      </c>
      <c r="H639" s="13">
        <v>18686</v>
      </c>
      <c r="I639" s="15">
        <v>124884</v>
      </c>
      <c r="J639" s="15">
        <f t="shared" si="27"/>
        <v>257716</v>
      </c>
      <c r="K639" s="1"/>
      <c r="L639" s="1"/>
      <c r="M639" s="1"/>
      <c r="N639" s="15"/>
      <c r="O639" s="15">
        <f t="shared" si="28"/>
        <v>0</v>
      </c>
      <c r="P639" s="1"/>
      <c r="Q639" s="13">
        <v>11264</v>
      </c>
      <c r="R639" s="13">
        <v>6074</v>
      </c>
      <c r="S639" s="18">
        <v>11314</v>
      </c>
      <c r="T639" s="15">
        <f t="shared" si="29"/>
        <v>28652</v>
      </c>
    </row>
    <row r="640" spans="1:20" ht="12.75">
      <c r="A640" s="1" t="s">
        <v>1408</v>
      </c>
      <c r="B640" s="9" t="s">
        <v>128</v>
      </c>
      <c r="C640" s="12" t="s">
        <v>1413</v>
      </c>
      <c r="D640" s="165" t="s">
        <v>1414</v>
      </c>
      <c r="E640" s="14" t="s">
        <v>166</v>
      </c>
      <c r="F640" s="1"/>
      <c r="G640" s="13">
        <v>24907</v>
      </c>
      <c r="H640" s="13">
        <v>3250</v>
      </c>
      <c r="I640" s="15">
        <v>28477</v>
      </c>
      <c r="J640" s="15">
        <f t="shared" si="27"/>
        <v>56634</v>
      </c>
      <c r="K640" s="1"/>
      <c r="L640" s="1"/>
      <c r="M640" s="1"/>
      <c r="N640" s="15"/>
      <c r="O640" s="15">
        <f t="shared" si="28"/>
        <v>0</v>
      </c>
      <c r="P640" s="1"/>
      <c r="Q640" s="13">
        <v>0</v>
      </c>
      <c r="R640" s="13">
        <v>0</v>
      </c>
      <c r="S640" s="18">
        <v>0</v>
      </c>
      <c r="T640" s="15">
        <f t="shared" si="29"/>
        <v>0</v>
      </c>
    </row>
    <row r="641" spans="1:54" ht="12.75">
      <c r="A641" s="1" t="s">
        <v>1408</v>
      </c>
      <c r="B641" s="9" t="s">
        <v>128</v>
      </c>
      <c r="C641" s="12" t="s">
        <v>1415</v>
      </c>
      <c r="D641" s="165" t="s">
        <v>1416</v>
      </c>
      <c r="E641" s="14" t="s">
        <v>166</v>
      </c>
      <c r="F641" s="1"/>
      <c r="G641" s="13">
        <v>29091</v>
      </c>
      <c r="H641" s="13">
        <v>4028</v>
      </c>
      <c r="I641" s="15">
        <v>31572</v>
      </c>
      <c r="J641" s="15">
        <f t="shared" si="27"/>
        <v>64691</v>
      </c>
      <c r="K641" s="1"/>
      <c r="L641" s="1"/>
      <c r="M641" s="1"/>
      <c r="N641" s="15"/>
      <c r="O641" s="15">
        <f t="shared" si="28"/>
        <v>0</v>
      </c>
      <c r="P641" s="1"/>
      <c r="Q641" s="13">
        <v>0</v>
      </c>
      <c r="R641" s="13">
        <v>0</v>
      </c>
      <c r="S641" s="18">
        <v>0</v>
      </c>
      <c r="T641" s="15">
        <f t="shared" si="29"/>
        <v>0</v>
      </c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3"/>
    </row>
    <row r="642" spans="1:20" ht="12.75">
      <c r="A642" s="1" t="s">
        <v>1408</v>
      </c>
      <c r="B642" s="9" t="s">
        <v>128</v>
      </c>
      <c r="C642" s="12" t="s">
        <v>1417</v>
      </c>
      <c r="D642" s="165" t="s">
        <v>1418</v>
      </c>
      <c r="E642" s="14" t="s">
        <v>166</v>
      </c>
      <c r="F642" s="1"/>
      <c r="G642" s="13">
        <v>70571</v>
      </c>
      <c r="H642" s="13">
        <v>7336</v>
      </c>
      <c r="I642" s="15">
        <v>76998</v>
      </c>
      <c r="J642" s="15">
        <f t="shared" si="27"/>
        <v>154905</v>
      </c>
      <c r="K642" s="1"/>
      <c r="L642" s="1"/>
      <c r="M642" s="1"/>
      <c r="N642" s="15"/>
      <c r="O642" s="15">
        <f t="shared" si="28"/>
        <v>0</v>
      </c>
      <c r="P642" s="1"/>
      <c r="Q642" s="13">
        <v>0</v>
      </c>
      <c r="R642" s="13">
        <v>0</v>
      </c>
      <c r="S642" s="18">
        <v>0</v>
      </c>
      <c r="T642" s="15">
        <f t="shared" si="29"/>
        <v>0</v>
      </c>
    </row>
    <row r="643" spans="1:20" ht="12.75">
      <c r="A643" s="1" t="s">
        <v>1408</v>
      </c>
      <c r="B643" s="9" t="s">
        <v>128</v>
      </c>
      <c r="C643" s="12" t="s">
        <v>1419</v>
      </c>
      <c r="D643" s="165" t="s">
        <v>1420</v>
      </c>
      <c r="E643" s="14" t="s">
        <v>166</v>
      </c>
      <c r="F643" s="1"/>
      <c r="G643" s="13">
        <v>27396</v>
      </c>
      <c r="H643" s="13">
        <v>3601</v>
      </c>
      <c r="I643" s="15">
        <v>30211</v>
      </c>
      <c r="J643" s="15">
        <f t="shared" si="27"/>
        <v>61208</v>
      </c>
      <c r="K643" s="1"/>
      <c r="L643" s="1"/>
      <c r="M643" s="1"/>
      <c r="N643" s="15"/>
      <c r="O643" s="15">
        <f t="shared" si="28"/>
        <v>0</v>
      </c>
      <c r="P643" s="1"/>
      <c r="Q643" s="13">
        <v>0</v>
      </c>
      <c r="R643" s="13">
        <v>0</v>
      </c>
      <c r="S643" s="18">
        <v>0</v>
      </c>
      <c r="T643" s="15">
        <f t="shared" si="29"/>
        <v>0</v>
      </c>
    </row>
    <row r="644" spans="1:20" ht="12.75">
      <c r="A644" s="1" t="s">
        <v>1408</v>
      </c>
      <c r="B644" s="9" t="s">
        <v>128</v>
      </c>
      <c r="C644" s="12" t="s">
        <v>1421</v>
      </c>
      <c r="D644" s="165" t="s">
        <v>1422</v>
      </c>
      <c r="E644" s="14" t="s">
        <v>166</v>
      </c>
      <c r="F644" s="1"/>
      <c r="G644" s="13">
        <v>39112</v>
      </c>
      <c r="H644" s="13">
        <v>4119</v>
      </c>
      <c r="I644" s="15">
        <v>42841</v>
      </c>
      <c r="J644" s="15">
        <f t="shared" si="27"/>
        <v>86072</v>
      </c>
      <c r="K644" s="1"/>
      <c r="L644" s="1"/>
      <c r="M644" s="1"/>
      <c r="N644" s="15"/>
      <c r="O644" s="15">
        <f t="shared" si="28"/>
        <v>0</v>
      </c>
      <c r="P644" s="1"/>
      <c r="Q644" s="13">
        <v>0</v>
      </c>
      <c r="R644" s="13">
        <v>0</v>
      </c>
      <c r="S644" s="18">
        <v>0</v>
      </c>
      <c r="T644" s="15">
        <f t="shared" si="29"/>
        <v>0</v>
      </c>
    </row>
    <row r="645" spans="1:21" ht="12.75">
      <c r="A645" s="1" t="s">
        <v>1408</v>
      </c>
      <c r="B645" s="9" t="s">
        <v>128</v>
      </c>
      <c r="C645" s="12" t="s">
        <v>1423</v>
      </c>
      <c r="D645" s="165" t="s">
        <v>1424</v>
      </c>
      <c r="E645" s="14" t="s">
        <v>166</v>
      </c>
      <c r="F645" s="1"/>
      <c r="G645" s="13">
        <v>33005</v>
      </c>
      <c r="H645" s="13">
        <v>2535</v>
      </c>
      <c r="I645" s="15">
        <v>36497</v>
      </c>
      <c r="J645" s="15">
        <f t="shared" si="27"/>
        <v>72037</v>
      </c>
      <c r="K645" s="1"/>
      <c r="L645" s="1"/>
      <c r="M645" s="1"/>
      <c r="N645" s="15"/>
      <c r="O645" s="15">
        <f t="shared" si="28"/>
        <v>0</v>
      </c>
      <c r="P645" s="1"/>
      <c r="Q645" s="13">
        <v>0</v>
      </c>
      <c r="R645" s="13">
        <v>0</v>
      </c>
      <c r="S645" s="18">
        <v>0</v>
      </c>
      <c r="T645" s="15">
        <f t="shared" si="29"/>
        <v>0</v>
      </c>
      <c r="U645" s="13"/>
    </row>
    <row r="646" spans="1:20" ht="12.75">
      <c r="A646" s="1" t="s">
        <v>1408</v>
      </c>
      <c r="B646" s="9" t="s">
        <v>128</v>
      </c>
      <c r="C646" s="12" t="s">
        <v>1425</v>
      </c>
      <c r="D646" s="165" t="s">
        <v>1426</v>
      </c>
      <c r="E646" s="14" t="s">
        <v>166</v>
      </c>
      <c r="F646" s="1"/>
      <c r="G646" s="13">
        <v>32268</v>
      </c>
      <c r="H646" s="13">
        <v>4372</v>
      </c>
      <c r="I646" s="15">
        <v>33277</v>
      </c>
      <c r="J646" s="15">
        <f>SUM(F646:I646)</f>
        <v>69917</v>
      </c>
      <c r="K646" s="1"/>
      <c r="L646" s="1"/>
      <c r="M646" s="1"/>
      <c r="N646" s="15"/>
      <c r="O646" s="15">
        <f>SUM(K646:N646)</f>
        <v>0</v>
      </c>
      <c r="P646" s="1"/>
      <c r="Q646" s="13">
        <v>99</v>
      </c>
      <c r="R646" s="13">
        <v>3</v>
      </c>
      <c r="S646" s="18">
        <v>278</v>
      </c>
      <c r="T646" s="15">
        <f>SUM(P646:S646)</f>
        <v>380</v>
      </c>
    </row>
    <row r="647" spans="1:20" ht="12.75">
      <c r="A647" s="1" t="s">
        <v>1408</v>
      </c>
      <c r="B647" s="9" t="s">
        <v>128</v>
      </c>
      <c r="C647" s="12" t="s">
        <v>1427</v>
      </c>
      <c r="D647" s="165" t="s">
        <v>1428</v>
      </c>
      <c r="E647" s="14" t="s">
        <v>166</v>
      </c>
      <c r="F647" s="1"/>
      <c r="G647" s="13">
        <v>45243</v>
      </c>
      <c r="H647" s="13">
        <v>4653</v>
      </c>
      <c r="I647" s="15">
        <v>48209</v>
      </c>
      <c r="J647" s="15">
        <f>SUM(F647:I647)</f>
        <v>98105</v>
      </c>
      <c r="K647" s="1"/>
      <c r="L647" s="1"/>
      <c r="M647" s="1"/>
      <c r="N647" s="15"/>
      <c r="O647" s="15">
        <f>SUM(K647:N647)</f>
        <v>0</v>
      </c>
      <c r="P647" s="1"/>
      <c r="Q647" s="13">
        <v>0</v>
      </c>
      <c r="R647" s="13">
        <v>0</v>
      </c>
      <c r="S647" s="18">
        <v>0</v>
      </c>
      <c r="T647" s="15">
        <f>SUM(P647:S647)</f>
        <v>0</v>
      </c>
    </row>
    <row r="648" spans="1:20" ht="12.75">
      <c r="A648" s="1" t="s">
        <v>1408</v>
      </c>
      <c r="B648" s="9" t="s">
        <v>128</v>
      </c>
      <c r="C648" s="12" t="s">
        <v>1429</v>
      </c>
      <c r="D648" s="165" t="s">
        <v>1430</v>
      </c>
      <c r="E648" s="14" t="s">
        <v>170</v>
      </c>
      <c r="F648" s="1"/>
      <c r="G648" s="13">
        <v>11666</v>
      </c>
      <c r="H648" s="13">
        <v>1239</v>
      </c>
      <c r="I648" s="15">
        <v>14106</v>
      </c>
      <c r="J648" s="15">
        <f>SUM(F648:I648)</f>
        <v>27011</v>
      </c>
      <c r="K648" s="1"/>
      <c r="L648" s="1"/>
      <c r="M648" s="1"/>
      <c r="N648" s="15"/>
      <c r="O648" s="15">
        <f>SUM(K648:N648)</f>
        <v>0</v>
      </c>
      <c r="P648" s="1"/>
      <c r="Q648" s="13">
        <v>0</v>
      </c>
      <c r="R648" s="13">
        <v>0</v>
      </c>
      <c r="S648" s="18">
        <v>0</v>
      </c>
      <c r="T648" s="15">
        <f>SUM(P648:S648)</f>
        <v>0</v>
      </c>
    </row>
    <row r="649" spans="1:20" ht="12.75">
      <c r="A649" s="1" t="s">
        <v>1408</v>
      </c>
      <c r="B649" s="9" t="s">
        <v>128</v>
      </c>
      <c r="C649" s="12" t="s">
        <v>1431</v>
      </c>
      <c r="D649" s="165" t="s">
        <v>1432</v>
      </c>
      <c r="E649" s="14" t="s">
        <v>170</v>
      </c>
      <c r="F649" s="1"/>
      <c r="G649" s="13">
        <v>31789</v>
      </c>
      <c r="H649" s="13">
        <v>1302</v>
      </c>
      <c r="I649" s="15">
        <v>32364</v>
      </c>
      <c r="J649" s="15">
        <f>SUM(F649:I649)</f>
        <v>65455</v>
      </c>
      <c r="K649" s="1"/>
      <c r="L649" s="1"/>
      <c r="M649" s="1"/>
      <c r="N649" s="15"/>
      <c r="O649" s="15">
        <f>SUM(K649:N649)</f>
        <v>0</v>
      </c>
      <c r="P649" s="1"/>
      <c r="Q649" s="13">
        <v>0</v>
      </c>
      <c r="R649" s="13">
        <v>0</v>
      </c>
      <c r="S649" s="18">
        <v>0</v>
      </c>
      <c r="T649" s="15">
        <f>SUM(P649:S649)</f>
        <v>0</v>
      </c>
    </row>
    <row r="650" spans="1:20" ht="12.75">
      <c r="A650" s="1" t="s">
        <v>1408</v>
      </c>
      <c r="B650" s="9" t="s">
        <v>128</v>
      </c>
      <c r="C650" s="12" t="s">
        <v>1433</v>
      </c>
      <c r="D650" s="165" t="s">
        <v>1434</v>
      </c>
      <c r="E650" s="14" t="s">
        <v>170</v>
      </c>
      <c r="F650" s="1"/>
      <c r="G650" s="13">
        <v>24640</v>
      </c>
      <c r="H650" s="13">
        <v>2921</v>
      </c>
      <c r="I650" s="15">
        <v>24232</v>
      </c>
      <c r="J650" s="15">
        <f>SUM(F650:I650)</f>
        <v>51793</v>
      </c>
      <c r="K650" s="1"/>
      <c r="L650" s="1"/>
      <c r="M650" s="1"/>
      <c r="N650" s="15"/>
      <c r="O650" s="15">
        <f>SUM(K650:N650)</f>
        <v>0</v>
      </c>
      <c r="P650" s="1"/>
      <c r="Q650" s="13">
        <v>0</v>
      </c>
      <c r="R650" s="13">
        <v>0</v>
      </c>
      <c r="S650" s="18">
        <v>0</v>
      </c>
      <c r="T650" s="15">
        <f>SUM(P650:S650)</f>
        <v>0</v>
      </c>
    </row>
    <row r="651" spans="1:20" ht="12.75">
      <c r="A651" s="1" t="s">
        <v>1408</v>
      </c>
      <c r="B651" s="9" t="s">
        <v>128</v>
      </c>
      <c r="C651" s="12" t="s">
        <v>1435</v>
      </c>
      <c r="D651" s="165" t="s">
        <v>1436</v>
      </c>
      <c r="E651" s="14" t="s">
        <v>170</v>
      </c>
      <c r="F651" s="1"/>
      <c r="G651" s="13">
        <v>32686</v>
      </c>
      <c r="H651" s="13">
        <v>3185</v>
      </c>
      <c r="I651" s="15">
        <v>36658</v>
      </c>
      <c r="J651" s="15">
        <f>SUM(F651:I651)</f>
        <v>72529</v>
      </c>
      <c r="K651" s="1"/>
      <c r="L651" s="1"/>
      <c r="M651" s="1"/>
      <c r="N651" s="15"/>
      <c r="O651" s="15">
        <f>SUM(K651:N651)</f>
        <v>0</v>
      </c>
      <c r="P651" s="1"/>
      <c r="Q651" s="13">
        <v>0</v>
      </c>
      <c r="R651" s="13">
        <v>0</v>
      </c>
      <c r="S651" s="18">
        <v>0</v>
      </c>
      <c r="T651" s="15">
        <f>SUM(P651:S651)</f>
        <v>0</v>
      </c>
    </row>
    <row r="652" spans="1:20" ht="12.75">
      <c r="A652" s="1" t="s">
        <v>1408</v>
      </c>
      <c r="B652" s="9" t="s">
        <v>128</v>
      </c>
      <c r="C652" s="12" t="s">
        <v>1437</v>
      </c>
      <c r="D652" s="165" t="s">
        <v>1438</v>
      </c>
      <c r="E652" s="14" t="s">
        <v>305</v>
      </c>
      <c r="F652" s="1"/>
      <c r="G652" s="12">
        <v>0</v>
      </c>
      <c r="H652" s="12">
        <v>0</v>
      </c>
      <c r="I652" s="15">
        <v>0</v>
      </c>
      <c r="J652" s="15"/>
      <c r="K652" s="1"/>
      <c r="L652" s="1"/>
      <c r="M652" s="1"/>
      <c r="N652" s="15"/>
      <c r="O652" s="15">
        <f>SUM(K652:N652)</f>
        <v>0</v>
      </c>
      <c r="P652" s="1"/>
      <c r="Q652" s="13">
        <v>11377</v>
      </c>
      <c r="R652" s="13">
        <v>11426</v>
      </c>
      <c r="S652" s="18">
        <v>11921</v>
      </c>
      <c r="T652" s="15">
        <f>SUM(P652:S652)</f>
        <v>34724</v>
      </c>
    </row>
    <row r="653" spans="1:24" ht="12.75">
      <c r="A653" s="1" t="s">
        <v>1408</v>
      </c>
      <c r="B653" s="9" t="s">
        <v>128</v>
      </c>
      <c r="C653" s="12" t="s">
        <v>1439</v>
      </c>
      <c r="D653" s="165" t="s">
        <v>1440</v>
      </c>
      <c r="E653" s="14" t="s">
        <v>305</v>
      </c>
      <c r="F653" s="1"/>
      <c r="G653" s="12"/>
      <c r="H653" s="1"/>
      <c r="I653" s="15"/>
      <c r="J653" s="15"/>
      <c r="K653" s="1"/>
      <c r="L653" s="1"/>
      <c r="M653" s="1"/>
      <c r="N653" s="15"/>
      <c r="O653" s="15"/>
      <c r="P653" s="1"/>
      <c r="Q653" s="1"/>
      <c r="R653" s="1"/>
      <c r="S653" s="18"/>
      <c r="T653" s="15">
        <f>SUM(P653:S653)</f>
        <v>0</v>
      </c>
      <c r="U653" s="13"/>
      <c r="V653" s="12"/>
      <c r="W653" s="1"/>
      <c r="X653" s="12"/>
    </row>
    <row r="654" spans="1:24" ht="12.75">
      <c r="A654" s="1"/>
      <c r="B654" s="1"/>
      <c r="C654" s="1"/>
      <c r="D654" s="40" t="s">
        <v>298</v>
      </c>
      <c r="E654" s="9" t="s">
        <v>298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8"/>
      <c r="T654" s="15">
        <f>SUM(P654:S654)</f>
        <v>0</v>
      </c>
      <c r="U654" s="13"/>
      <c r="V654" s="12"/>
      <c r="W654" s="1"/>
      <c r="X654" s="12"/>
    </row>
    <row r="655" spans="1:24" ht="12.75">
      <c r="A655" s="1"/>
      <c r="B655" s="1"/>
      <c r="C655" s="1"/>
      <c r="D655" s="40" t="s">
        <v>298</v>
      </c>
      <c r="E655" s="9" t="s">
        <v>298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8"/>
      <c r="T655" s="15">
        <f>SUM(P655:S655)</f>
        <v>0</v>
      </c>
      <c r="U655" s="13"/>
      <c r="V655" s="12"/>
      <c r="W655" s="1"/>
      <c r="X655" s="12"/>
    </row>
    <row r="656" spans="1:1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8"/>
    </row>
    <row r="657" spans="1:2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8"/>
      <c r="T657" s="13"/>
      <c r="U657" s="13"/>
      <c r="V657" s="12"/>
      <c r="W657" s="1"/>
      <c r="X657" s="12"/>
    </row>
    <row r="658" spans="1:2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8"/>
      <c r="T658" s="13"/>
      <c r="U658" s="13"/>
      <c r="V658" s="12"/>
      <c r="W658" s="1"/>
      <c r="X658" s="12"/>
    </row>
    <row r="659" spans="1:2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8"/>
      <c r="T659" s="13"/>
      <c r="U659" s="13"/>
      <c r="V659" s="12"/>
      <c r="W659" s="1"/>
      <c r="X659" s="12"/>
    </row>
    <row r="661" spans="1:2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3"/>
      <c r="U661" s="13"/>
      <c r="V661" s="12"/>
      <c r="W661" s="1"/>
      <c r="X661" s="12"/>
    </row>
    <row r="662" spans="1:2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3"/>
      <c r="U662" s="13"/>
      <c r="V662" s="12"/>
      <c r="W662" s="1"/>
      <c r="X662" s="12"/>
    </row>
    <row r="663" spans="1:2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3"/>
      <c r="U663" s="13"/>
      <c r="V663" s="12"/>
      <c r="W663" s="1"/>
      <c r="X663" s="12"/>
    </row>
    <row r="666" spans="1:2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3"/>
      <c r="U666" s="13"/>
      <c r="V666" s="12"/>
      <c r="W666" s="1"/>
      <c r="X666" s="12"/>
    </row>
    <row r="667" spans="1:2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3"/>
      <c r="U667" s="13"/>
      <c r="V667" s="12"/>
      <c r="W667" s="1"/>
      <c r="X667" s="12"/>
    </row>
    <row r="669" spans="1:2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3"/>
      <c r="U669" s="13"/>
      <c r="V669" s="12"/>
      <c r="W669" s="1"/>
      <c r="X669" s="12"/>
    </row>
    <row r="670" spans="1:2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2"/>
      <c r="U670" s="12"/>
      <c r="V670" s="12"/>
      <c r="W670" s="1"/>
      <c r="X670" s="12"/>
    </row>
    <row r="671" ht="9.75" customHeight="1"/>
    <row r="672" spans="1:2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2"/>
      <c r="U672" s="12"/>
      <c r="V672" s="12"/>
      <c r="W672" s="1"/>
      <c r="X672" s="12"/>
    </row>
    <row r="676" spans="1:6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9"/>
      <c r="BC676" s="9"/>
      <c r="BD676" s="9"/>
      <c r="BE676" s="9"/>
      <c r="BF676" s="9"/>
      <c r="BG676" s="9"/>
      <c r="BH676" s="9"/>
      <c r="BI676" s="9"/>
      <c r="BJ676" s="9"/>
      <c r="BK676" s="9"/>
    </row>
    <row r="677" spans="1:6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9"/>
      <c r="BC677" s="9"/>
      <c r="BD677" s="9"/>
      <c r="BE677" s="9"/>
      <c r="BF677" s="9"/>
      <c r="BG677" s="9"/>
      <c r="BH677" s="9"/>
      <c r="BI677" s="9"/>
      <c r="BJ677" s="9"/>
      <c r="BK677" s="9"/>
    </row>
    <row r="678" spans="1:6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9"/>
      <c r="BC678" s="9"/>
      <c r="BD678" s="9"/>
      <c r="BE678" s="9"/>
      <c r="BF678" s="9"/>
      <c r="BG678" s="9"/>
      <c r="BH678" s="9"/>
      <c r="BI678" s="9"/>
      <c r="BJ678" s="9"/>
      <c r="BK678" s="9"/>
    </row>
    <row r="679" spans="1:6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9"/>
      <c r="BC679" s="9"/>
      <c r="BD679" s="9"/>
      <c r="BE679" s="9"/>
      <c r="BF679" s="9"/>
      <c r="BG679" s="9"/>
      <c r="BH679" s="9"/>
      <c r="BI679" s="9"/>
      <c r="BJ679" s="9"/>
      <c r="BK679" s="9"/>
    </row>
    <row r="680" spans="1:6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9"/>
      <c r="BC680" s="9"/>
      <c r="BD680" s="9"/>
      <c r="BE680" s="9"/>
      <c r="BF680" s="9"/>
      <c r="BG680" s="9"/>
      <c r="BH680" s="9"/>
      <c r="BI680" s="9"/>
      <c r="BJ680" s="9"/>
      <c r="BK680" s="9"/>
    </row>
    <row r="681" spans="1:6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9"/>
      <c r="BC681" s="9"/>
      <c r="BD681" s="9"/>
      <c r="BE681" s="9"/>
      <c r="BF681" s="9"/>
      <c r="BG681" s="9"/>
      <c r="BH681" s="9"/>
      <c r="BI681" s="9"/>
      <c r="BJ681" s="9"/>
      <c r="BK681" s="9"/>
    </row>
    <row r="682" spans="1:6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9"/>
      <c r="BC682" s="9"/>
      <c r="BD682" s="9"/>
      <c r="BE682" s="9"/>
      <c r="BF682" s="9"/>
      <c r="BG682" s="9"/>
      <c r="BH682" s="9"/>
      <c r="BI682" s="9"/>
      <c r="BJ682" s="9"/>
      <c r="BK682" s="9"/>
    </row>
    <row r="683" spans="1:6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9"/>
      <c r="BC683" s="9"/>
      <c r="BD683" s="9"/>
      <c r="BE683" s="9"/>
      <c r="BF683" s="9"/>
      <c r="BG683" s="9"/>
      <c r="BH683" s="9"/>
      <c r="BI683" s="9"/>
      <c r="BJ683" s="9"/>
      <c r="BK683" s="9"/>
    </row>
    <row r="684" spans="1:6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9"/>
      <c r="BC684" s="9"/>
      <c r="BD684" s="9"/>
      <c r="BE684" s="9"/>
      <c r="BF684" s="9"/>
      <c r="BG684" s="9"/>
      <c r="BH684" s="9"/>
      <c r="BI684" s="9"/>
      <c r="BJ684" s="9"/>
      <c r="BK684" s="9"/>
    </row>
    <row r="685" spans="1:6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9"/>
      <c r="BC685" s="9"/>
      <c r="BD685" s="9"/>
      <c r="BE685" s="9"/>
      <c r="BF685" s="9"/>
      <c r="BG685" s="9"/>
      <c r="BH685" s="9"/>
      <c r="BI685" s="9"/>
      <c r="BJ685" s="9"/>
      <c r="BK685" s="9"/>
    </row>
    <row r="686" spans="1:6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9"/>
      <c r="BC686" s="9"/>
      <c r="BD686" s="9"/>
      <c r="BE686" s="9"/>
      <c r="BF686" s="9"/>
      <c r="BG686" s="9"/>
      <c r="BH686" s="9"/>
      <c r="BI686" s="9"/>
      <c r="BJ686" s="9"/>
      <c r="BK686" s="9"/>
    </row>
    <row r="687" spans="1:6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9"/>
      <c r="BC687" s="9"/>
      <c r="BD687" s="9"/>
      <c r="BE687" s="9"/>
      <c r="BF687" s="9"/>
      <c r="BG687" s="9"/>
      <c r="BH687" s="9"/>
      <c r="BI687" s="9"/>
      <c r="BJ687" s="9"/>
      <c r="BK687" s="9"/>
    </row>
    <row r="688" spans="1:6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9"/>
      <c r="BC688" s="9"/>
      <c r="BD688" s="9"/>
      <c r="BE688" s="9"/>
      <c r="BF688" s="9"/>
      <c r="BG688" s="9"/>
      <c r="BH688" s="9"/>
      <c r="BI688" s="9"/>
      <c r="BJ688" s="9"/>
      <c r="BK688" s="9"/>
    </row>
    <row r="689" spans="1:6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9"/>
      <c r="BC689" s="9"/>
      <c r="BD689" s="9"/>
      <c r="BE689" s="9"/>
      <c r="BF689" s="9"/>
      <c r="BG689" s="9"/>
      <c r="BH689" s="9"/>
      <c r="BI689" s="9"/>
      <c r="BJ689" s="9"/>
      <c r="BK689" s="9"/>
    </row>
    <row r="690" spans="1:6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9"/>
      <c r="BC690" s="9"/>
      <c r="BD690" s="9"/>
      <c r="BE690" s="9"/>
      <c r="BF690" s="9"/>
      <c r="BG690" s="9"/>
      <c r="BH690" s="9"/>
      <c r="BI690" s="9"/>
      <c r="BJ690" s="9"/>
      <c r="BK690" s="9"/>
    </row>
    <row r="691" spans="1:6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9"/>
      <c r="BC691" s="9"/>
      <c r="BD691" s="9"/>
      <c r="BE691" s="9"/>
      <c r="BF691" s="9"/>
      <c r="BG691" s="9"/>
      <c r="BH691" s="9"/>
      <c r="BI691" s="9"/>
      <c r="BJ691" s="9"/>
      <c r="BK691" s="9"/>
    </row>
    <row r="692" spans="1:6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9"/>
      <c r="BC692" s="9"/>
      <c r="BD692" s="9"/>
      <c r="BE692" s="9"/>
      <c r="BF692" s="9"/>
      <c r="BG692" s="9"/>
      <c r="BH692" s="9"/>
      <c r="BI692" s="9"/>
      <c r="BJ692" s="9"/>
      <c r="BK692" s="9"/>
    </row>
    <row r="693" spans="1:6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9"/>
      <c r="BC693" s="9"/>
      <c r="BD693" s="9"/>
      <c r="BE693" s="9"/>
      <c r="BF693" s="9"/>
      <c r="BG693" s="9"/>
      <c r="BH693" s="9"/>
      <c r="BI693" s="9"/>
      <c r="BJ693" s="9"/>
      <c r="BK693" s="9"/>
    </row>
    <row r="694" spans="1:6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9"/>
      <c r="BC694" s="9"/>
      <c r="BD694" s="9"/>
      <c r="BE694" s="9"/>
      <c r="BF694" s="9"/>
      <c r="BG694" s="9"/>
      <c r="BH694" s="9"/>
      <c r="BI694" s="9"/>
      <c r="BJ694" s="9"/>
      <c r="BK694" s="9"/>
    </row>
    <row r="695" spans="1:6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9"/>
      <c r="BC695" s="9"/>
      <c r="BD695" s="9"/>
      <c r="BE695" s="9"/>
      <c r="BF695" s="9"/>
      <c r="BG695" s="9"/>
      <c r="BH695" s="9"/>
      <c r="BI695" s="9"/>
      <c r="BJ695" s="9"/>
      <c r="BK695" s="9"/>
    </row>
    <row r="696" spans="1:6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9"/>
      <c r="BC696" s="9"/>
      <c r="BD696" s="9"/>
      <c r="BE696" s="9"/>
      <c r="BF696" s="9"/>
      <c r="BG696" s="9"/>
      <c r="BH696" s="9"/>
      <c r="BI696" s="9"/>
      <c r="BJ696" s="9"/>
      <c r="BK696" s="9"/>
    </row>
    <row r="697" spans="1:6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9"/>
      <c r="BC697" s="9"/>
      <c r="BD697" s="9"/>
      <c r="BE697" s="9"/>
      <c r="BF697" s="9"/>
      <c r="BG697" s="9"/>
      <c r="BH697" s="9"/>
      <c r="BI697" s="9"/>
      <c r="BJ697" s="9"/>
      <c r="BK697" s="9"/>
    </row>
    <row r="698" spans="1:6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9"/>
      <c r="BC698" s="9"/>
      <c r="BD698" s="9"/>
      <c r="BE698" s="9"/>
      <c r="BF698" s="9"/>
      <c r="BG698" s="9"/>
      <c r="BH698" s="9"/>
      <c r="BI698" s="9"/>
      <c r="BJ698" s="9"/>
      <c r="BK698" s="9"/>
    </row>
    <row r="699" spans="1:6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9"/>
      <c r="BC699" s="9"/>
      <c r="BD699" s="9"/>
      <c r="BE699" s="9"/>
      <c r="BF699" s="9"/>
      <c r="BG699" s="9"/>
      <c r="BH699" s="9"/>
      <c r="BI699" s="9"/>
      <c r="BJ699" s="9"/>
      <c r="BK699" s="9"/>
    </row>
    <row r="700" spans="1:6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9"/>
      <c r="BC700" s="9"/>
      <c r="BD700" s="9"/>
      <c r="BE700" s="9"/>
      <c r="BF700" s="9"/>
      <c r="BG700" s="9"/>
      <c r="BH700" s="9"/>
      <c r="BI700" s="9"/>
      <c r="BJ700" s="9"/>
      <c r="BK700" s="9"/>
    </row>
    <row r="701" spans="1:6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9"/>
      <c r="BC701" s="9"/>
      <c r="BD701" s="9"/>
      <c r="BE701" s="9"/>
      <c r="BF701" s="9"/>
      <c r="BG701" s="9"/>
      <c r="BH701" s="9"/>
      <c r="BI701" s="9"/>
      <c r="BJ701" s="9"/>
      <c r="BK701" s="9"/>
    </row>
    <row r="702" spans="1:6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9"/>
      <c r="BC702" s="9"/>
      <c r="BD702" s="9"/>
      <c r="BE702" s="9"/>
      <c r="BF702" s="9"/>
      <c r="BG702" s="9"/>
      <c r="BH702" s="9"/>
      <c r="BI702" s="9"/>
      <c r="BJ702" s="9"/>
      <c r="BK702" s="9"/>
    </row>
    <row r="703" spans="1:6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9"/>
      <c r="BC703" s="9"/>
      <c r="BD703" s="9"/>
      <c r="BE703" s="9"/>
      <c r="BF703" s="9"/>
      <c r="BG703" s="9"/>
      <c r="BH703" s="9"/>
      <c r="BI703" s="9"/>
      <c r="BJ703" s="9"/>
      <c r="BK703" s="9"/>
    </row>
    <row r="704" spans="1:6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9"/>
      <c r="BC704" s="9"/>
      <c r="BD704" s="9"/>
      <c r="BE704" s="9"/>
      <c r="BF704" s="9"/>
      <c r="BG704" s="9"/>
      <c r="BH704" s="9"/>
      <c r="BI704" s="9"/>
      <c r="BJ704" s="9"/>
      <c r="BK704" s="9"/>
    </row>
    <row r="705" spans="1:6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9"/>
      <c r="BC705" s="9"/>
      <c r="BD705" s="9"/>
      <c r="BE705" s="9"/>
      <c r="BF705" s="9"/>
      <c r="BG705" s="9"/>
      <c r="BH705" s="9"/>
      <c r="BI705" s="9"/>
      <c r="BJ705" s="9"/>
      <c r="BK705" s="9"/>
    </row>
    <row r="706" spans="1:6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9"/>
      <c r="BC706" s="9"/>
      <c r="BD706" s="9"/>
      <c r="BE706" s="9"/>
      <c r="BF706" s="9"/>
      <c r="BG706" s="9"/>
      <c r="BH706" s="9"/>
      <c r="BI706" s="9"/>
      <c r="BJ706" s="9"/>
      <c r="BK706" s="9"/>
    </row>
    <row r="707" spans="1:6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9"/>
      <c r="BC707" s="9"/>
      <c r="BD707" s="9"/>
      <c r="BE707" s="9"/>
      <c r="BF707" s="9"/>
      <c r="BG707" s="9"/>
      <c r="BH707" s="9"/>
      <c r="BI707" s="9"/>
      <c r="BJ707" s="9"/>
      <c r="BK707" s="9"/>
    </row>
    <row r="708" spans="1:6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9"/>
      <c r="BC708" s="9"/>
      <c r="BD708" s="9"/>
      <c r="BE708" s="9"/>
      <c r="BF708" s="9"/>
      <c r="BG708" s="9"/>
      <c r="BH708" s="9"/>
      <c r="BI708" s="9"/>
      <c r="BJ708" s="9"/>
      <c r="BK708" s="9"/>
    </row>
    <row r="709" spans="1:6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9"/>
      <c r="BC709" s="9"/>
      <c r="BD709" s="9"/>
      <c r="BE709" s="9"/>
      <c r="BF709" s="9"/>
      <c r="BG709" s="9"/>
      <c r="BH709" s="9"/>
      <c r="BI709" s="9"/>
      <c r="BJ709" s="9"/>
      <c r="BK709" s="9"/>
    </row>
    <row r="710" spans="1:6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9"/>
      <c r="BC710" s="9"/>
      <c r="BD710" s="9"/>
      <c r="BE710" s="9"/>
      <c r="BF710" s="9"/>
      <c r="BG710" s="9"/>
      <c r="BH710" s="9"/>
      <c r="BI710" s="9"/>
      <c r="BJ710" s="9"/>
      <c r="BK710" s="9"/>
    </row>
    <row r="711" spans="1:6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9"/>
      <c r="BC711" s="9"/>
      <c r="BD711" s="9"/>
      <c r="BE711" s="9"/>
      <c r="BF711" s="9"/>
      <c r="BG711" s="9"/>
      <c r="BH711" s="9"/>
      <c r="BI711" s="9"/>
      <c r="BJ711" s="9"/>
      <c r="BK711" s="9"/>
    </row>
    <row r="712" spans="1:6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9"/>
      <c r="BC712" s="9"/>
      <c r="BD712" s="9"/>
      <c r="BE712" s="9"/>
      <c r="BF712" s="9"/>
      <c r="BG712" s="9"/>
      <c r="BH712" s="9"/>
      <c r="BI712" s="9"/>
      <c r="BJ712" s="9"/>
      <c r="BK712" s="9"/>
    </row>
    <row r="713" spans="1:6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9"/>
      <c r="BC713" s="9"/>
      <c r="BD713" s="9"/>
      <c r="BE713" s="9"/>
      <c r="BF713" s="9"/>
      <c r="BG713" s="9"/>
      <c r="BH713" s="9"/>
      <c r="BI713" s="9"/>
      <c r="BJ713" s="9"/>
      <c r="BK713" s="9"/>
    </row>
    <row r="714" spans="1:6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9"/>
      <c r="BC714" s="9"/>
      <c r="BD714" s="9"/>
      <c r="BE714" s="9"/>
      <c r="BF714" s="9"/>
      <c r="BG714" s="9"/>
      <c r="BH714" s="9"/>
      <c r="BI714" s="9"/>
      <c r="BJ714" s="9"/>
      <c r="BK714" s="9"/>
    </row>
    <row r="715" spans="1:6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9"/>
      <c r="BC715" s="9"/>
      <c r="BD715" s="9"/>
      <c r="BE715" s="9"/>
      <c r="BF715" s="9"/>
      <c r="BG715" s="9"/>
      <c r="BH715" s="9"/>
      <c r="BI715" s="9"/>
      <c r="BJ715" s="9"/>
      <c r="BK715" s="9"/>
    </row>
    <row r="716" spans="1:6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9"/>
      <c r="BC716" s="9"/>
      <c r="BD716" s="9"/>
      <c r="BE716" s="9"/>
      <c r="BF716" s="9"/>
      <c r="BG716" s="9"/>
      <c r="BH716" s="9"/>
      <c r="BI716" s="9"/>
      <c r="BJ716" s="9"/>
      <c r="BK716" s="9"/>
    </row>
    <row r="717" spans="1:6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9"/>
      <c r="BC717" s="9"/>
      <c r="BD717" s="9"/>
      <c r="BE717" s="9"/>
      <c r="BF717" s="9"/>
      <c r="BG717" s="9"/>
      <c r="BH717" s="9"/>
      <c r="BI717" s="9"/>
      <c r="BJ717" s="9"/>
      <c r="BK717" s="9"/>
    </row>
    <row r="721" ht="16.5" customHeight="1"/>
    <row r="722" ht="16.5" customHeight="1"/>
    <row r="723" ht="16.5" customHeight="1"/>
    <row r="724" spans="1:20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3"/>
    </row>
    <row r="725" spans="1:20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3"/>
    </row>
    <row r="728" spans="1:20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3"/>
    </row>
    <row r="730" spans="1:20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3"/>
    </row>
    <row r="733" spans="1:20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3"/>
    </row>
    <row r="734" spans="1:20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2"/>
    </row>
    <row r="735" spans="1:20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2"/>
    </row>
    <row r="737" spans="1:20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3"/>
    </row>
    <row r="738" spans="1:20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3"/>
    </row>
    <row r="739" spans="1:20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3"/>
    </row>
    <row r="741" spans="1:20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3"/>
    </row>
    <row r="742" spans="1:20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3"/>
    </row>
    <row r="743" spans="1:20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3"/>
    </row>
    <row r="746" spans="1:20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3"/>
    </row>
    <row r="747" spans="1:20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3"/>
    </row>
    <row r="750" spans="1:20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3"/>
    </row>
    <row r="751" spans="1:20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3"/>
    </row>
    <row r="760" spans="1:8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9"/>
      <c r="BX760" s="33"/>
      <c r="BY760" s="33"/>
      <c r="BZ760" s="33"/>
      <c r="CA760" s="33"/>
      <c r="CB760" s="33"/>
      <c r="CC760" s="33"/>
      <c r="CD760" s="33"/>
      <c r="CE760" s="33"/>
      <c r="CF760" s="33"/>
    </row>
    <row r="761" spans="1:8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9"/>
      <c r="BX761" s="33"/>
      <c r="BY761" s="33"/>
      <c r="BZ761" s="33"/>
      <c r="CA761" s="33"/>
      <c r="CB761" s="33"/>
      <c r="CC761" s="33"/>
      <c r="CD761" s="33"/>
      <c r="CE761" s="33"/>
      <c r="CF761" s="33"/>
    </row>
    <row r="762" spans="1:8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9"/>
      <c r="BX762" s="9"/>
      <c r="BY762" s="9"/>
      <c r="BZ762" s="9"/>
      <c r="CA762" s="9"/>
      <c r="CB762" s="9"/>
      <c r="CC762" s="9"/>
      <c r="CD762" s="9"/>
      <c r="CE762" s="9"/>
      <c r="CF762" s="9"/>
    </row>
    <row r="763" spans="1:8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9"/>
      <c r="BX763" s="9"/>
      <c r="BY763" s="9"/>
      <c r="BZ763" s="9"/>
      <c r="CA763" s="9"/>
      <c r="CB763" s="9"/>
      <c r="CC763" s="9"/>
      <c r="CD763" s="9"/>
      <c r="CE763" s="9"/>
      <c r="CF763" s="9"/>
    </row>
    <row r="764" spans="1:8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9"/>
      <c r="BX764" s="9"/>
      <c r="BY764" s="9"/>
      <c r="BZ764" s="9"/>
      <c r="CA764" s="9"/>
      <c r="CB764" s="9"/>
      <c r="CC764" s="9"/>
      <c r="CD764" s="9"/>
      <c r="CE764" s="9"/>
      <c r="CF764" s="9"/>
    </row>
    <row r="765" spans="1:8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1"/>
      <c r="CH765" s="13"/>
    </row>
    <row r="766" spans="1:8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9"/>
      <c r="BY766" s="9"/>
      <c r="BZ766" s="9"/>
      <c r="CA766" s="9"/>
      <c r="CB766" s="9"/>
      <c r="CC766" s="9"/>
      <c r="CD766" s="9"/>
    </row>
    <row r="767" spans="1:9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</row>
    <row r="768" spans="1:9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</row>
    <row r="769" spans="1:9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</row>
    <row r="770" spans="1:9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</row>
    <row r="771" spans="1:9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</row>
    <row r="772" spans="1:9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</row>
    <row r="774" spans="1:9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36"/>
    </row>
    <row r="775" spans="1:9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36"/>
    </row>
    <row r="776" spans="1:9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40"/>
    </row>
    <row r="777" spans="1:9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40"/>
    </row>
    <row r="778" spans="1:9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40"/>
    </row>
    <row r="779" spans="1:9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40"/>
    </row>
    <row r="780" spans="1:9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40"/>
    </row>
    <row r="781" spans="1:9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24"/>
      <c r="AH781" s="23"/>
      <c r="AI781" s="23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40"/>
    </row>
    <row r="782" spans="1:9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22"/>
      <c r="AH782" s="22"/>
      <c r="AI782" s="22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40"/>
    </row>
    <row r="783" spans="1:9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22"/>
      <c r="AH783" s="22"/>
      <c r="AI783" s="22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40"/>
    </row>
    <row r="784" spans="1:9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22"/>
      <c r="AH784" s="22"/>
      <c r="AI784" s="22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40"/>
    </row>
    <row r="785" spans="1:9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22"/>
      <c r="AH785" s="22"/>
      <c r="AI785" s="22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40"/>
    </row>
    <row r="786" spans="1:9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22"/>
      <c r="AH786" s="22"/>
      <c r="AI786" s="22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40"/>
    </row>
    <row r="787" spans="1:9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22"/>
      <c r="AH787" s="22"/>
      <c r="AI787" s="22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40"/>
    </row>
    <row r="788" spans="1:9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22"/>
      <c r="AH788" s="22"/>
      <c r="AI788" s="22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40"/>
    </row>
    <row r="789" spans="1:9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22"/>
      <c r="AH789" s="22"/>
      <c r="AI789" s="22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40"/>
    </row>
    <row r="790" spans="1:9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22"/>
      <c r="AH790" s="22"/>
      <c r="AI790" s="22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40"/>
    </row>
    <row r="791" spans="1:9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22"/>
      <c r="AH791" s="22"/>
      <c r="AI791" s="22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40"/>
    </row>
    <row r="792" spans="1:9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22"/>
      <c r="AH792" s="22"/>
      <c r="AI792" s="22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40"/>
    </row>
    <row r="793" spans="1:9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22"/>
      <c r="AH793" s="22"/>
      <c r="AI793" s="22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40"/>
    </row>
    <row r="794" spans="1:9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22"/>
      <c r="AH794" s="22"/>
      <c r="AI794" s="22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40"/>
    </row>
    <row r="795" spans="1:9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22"/>
      <c r="AH795" s="22"/>
      <c r="AI795" s="22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40"/>
    </row>
    <row r="796" spans="1:95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40"/>
    </row>
    <row r="797" spans="1:35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22"/>
      <c r="AH797" s="22"/>
      <c r="AI797" s="22"/>
    </row>
    <row r="798" spans="1:95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22"/>
      <c r="AH798" s="22"/>
      <c r="AI798" s="22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33"/>
    </row>
    <row r="799" spans="1:95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33"/>
    </row>
    <row r="800" spans="1:95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33"/>
    </row>
    <row r="801" spans="1:95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33"/>
    </row>
    <row r="802" spans="1:95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33"/>
    </row>
    <row r="803" spans="1:95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33"/>
    </row>
    <row r="804" spans="1:95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33"/>
    </row>
    <row r="805" spans="1:9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2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33"/>
    </row>
    <row r="806" spans="1:95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33"/>
    </row>
    <row r="807" spans="1:26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41"/>
      <c r="Z807" s="41"/>
    </row>
    <row r="808" ht="9.75" customHeight="1"/>
    <row r="809" ht="9.75" customHeight="1"/>
    <row r="810" ht="9.75" customHeight="1"/>
    <row r="811" ht="9.75" customHeight="1"/>
    <row r="815" spans="1:9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9"/>
      <c r="CI815" s="1"/>
      <c r="CJ815" s="9"/>
      <c r="CK815" s="9"/>
      <c r="CL815" s="9"/>
      <c r="CM815" s="9"/>
      <c r="CN815" s="9"/>
      <c r="CO815" s="9"/>
      <c r="CP815" s="9"/>
    </row>
    <row r="816" spans="1:9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9"/>
      <c r="CI816" s="1"/>
      <c r="CJ816" s="9"/>
      <c r="CK816" s="9"/>
      <c r="CL816" s="9"/>
      <c r="CM816" s="9"/>
      <c r="CN816" s="9"/>
      <c r="CO816" s="9"/>
      <c r="CP816" s="9"/>
    </row>
    <row r="839" spans="1:9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9"/>
    </row>
    <row r="840" spans="1:9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9"/>
    </row>
    <row r="841" spans="1:9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9"/>
    </row>
    <row r="842" spans="1:19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2"/>
    </row>
    <row r="844" spans="1:19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2"/>
    </row>
    <row r="845" spans="1:19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2"/>
    </row>
    <row r="846" spans="1:19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2"/>
    </row>
    <row r="849" spans="1:19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2"/>
    </row>
    <row r="850" spans="1:19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2"/>
    </row>
    <row r="852" spans="1:19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2"/>
    </row>
    <row r="853" spans="1:19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2"/>
    </row>
    <row r="855" spans="1:19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2"/>
    </row>
    <row r="856" spans="1:19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2"/>
    </row>
    <row r="858" spans="1:2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3"/>
      <c r="U858" s="13"/>
      <c r="V858" s="12"/>
      <c r="W858" s="1"/>
      <c r="X858" s="12"/>
    </row>
    <row r="859" spans="1:2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3"/>
      <c r="U859" s="13"/>
      <c r="V859" s="12"/>
      <c r="W859" s="1"/>
      <c r="X859" s="12"/>
    </row>
    <row r="905" spans="1:1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4"/>
      <c r="O905" s="24"/>
    </row>
    <row r="906" spans="1:1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4"/>
      <c r="O906" s="24"/>
    </row>
    <row r="907" spans="1:1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4"/>
      <c r="O907" s="24"/>
    </row>
    <row r="908" spans="1:1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4"/>
      <c r="O908" s="24"/>
    </row>
    <row r="915" spans="1:7" ht="12.75">
      <c r="A915" s="1"/>
      <c r="B915" s="1"/>
      <c r="C915" s="1"/>
      <c r="D915" s="2"/>
      <c r="E915" s="2"/>
      <c r="F915" s="2"/>
      <c r="G915" s="2"/>
    </row>
    <row r="916" spans="1:7" ht="12.75">
      <c r="A916" s="1"/>
      <c r="B916" s="1"/>
      <c r="C916" s="1"/>
      <c r="D916" s="2"/>
      <c r="E916" s="2"/>
      <c r="F916" s="2"/>
      <c r="G916" s="2"/>
    </row>
    <row r="917" spans="1:7" ht="12.75">
      <c r="A917" s="1"/>
      <c r="B917" s="1"/>
      <c r="C917" s="1"/>
      <c r="D917" s="2"/>
      <c r="E917" s="2"/>
      <c r="F917" s="2"/>
      <c r="G917" s="2"/>
    </row>
    <row r="918" spans="1:6" ht="12.75">
      <c r="A918" s="1"/>
      <c r="B918" s="1"/>
      <c r="C918" s="1"/>
      <c r="D918" s="2"/>
      <c r="E918" s="1"/>
      <c r="F918" s="2"/>
    </row>
    <row r="919" spans="1:7" ht="12.75">
      <c r="A919" s="1"/>
      <c r="B919" s="1"/>
      <c r="C919" s="1"/>
      <c r="D919" s="2"/>
      <c r="E919" s="2"/>
      <c r="F919" s="2"/>
      <c r="G919" s="2"/>
    </row>
    <row r="920" spans="1:7" ht="12.75">
      <c r="A920" s="1"/>
      <c r="B920" s="1"/>
      <c r="C920" s="1"/>
      <c r="D920" s="2"/>
      <c r="E920" s="2"/>
      <c r="F920" s="2"/>
      <c r="G920" s="2"/>
    </row>
    <row r="921" spans="1:7" ht="12.75">
      <c r="A921" s="1"/>
      <c r="B921" s="1"/>
      <c r="C921" s="1"/>
      <c r="D921" s="2"/>
      <c r="E921" s="2"/>
      <c r="F921" s="2"/>
      <c r="G921" s="2"/>
    </row>
    <row r="922" spans="1:6" ht="12.75">
      <c r="A922" s="1"/>
      <c r="B922" s="1"/>
      <c r="C922" s="1"/>
      <c r="D922" s="2"/>
      <c r="E922" s="1"/>
      <c r="F922" s="2"/>
    </row>
    <row r="923" spans="1:7" ht="12.75">
      <c r="A923" s="1"/>
      <c r="B923" s="1"/>
      <c r="C923" s="1"/>
      <c r="D923" s="2"/>
      <c r="E923" s="2"/>
      <c r="F923" s="2"/>
      <c r="G923" s="2"/>
    </row>
    <row r="924" spans="1:7" ht="12.75">
      <c r="A924" s="1"/>
      <c r="B924" s="1"/>
      <c r="C924" s="1"/>
      <c r="D924" s="2"/>
      <c r="E924" s="2"/>
      <c r="F924" s="2"/>
      <c r="G924" s="2"/>
    </row>
    <row r="925" spans="1:7" ht="12.75">
      <c r="A925" s="1"/>
      <c r="B925" s="1"/>
      <c r="C925" s="1"/>
      <c r="D925" s="2"/>
      <c r="E925" s="2"/>
      <c r="F925" s="2"/>
      <c r="G925" s="2"/>
    </row>
    <row r="926" spans="1:6" ht="12.75">
      <c r="A926" s="1"/>
      <c r="B926" s="1"/>
      <c r="C926" s="1"/>
      <c r="D926" s="2"/>
      <c r="E926" s="1"/>
      <c r="F926" s="2"/>
    </row>
    <row r="927" spans="1:6" ht="12.75">
      <c r="A927" s="1"/>
      <c r="B927" s="1"/>
      <c r="C927" s="1"/>
      <c r="D927" s="2"/>
      <c r="E927" s="1"/>
      <c r="F927" s="2"/>
    </row>
    <row r="928" spans="1:7" ht="12.75">
      <c r="A928" s="1"/>
      <c r="B928" s="1"/>
      <c r="C928" s="1"/>
      <c r="D928" s="2"/>
      <c r="E928" s="2"/>
      <c r="F928" s="2"/>
      <c r="G928" s="2"/>
    </row>
    <row r="929" spans="1:7" ht="12.75">
      <c r="A929" s="1"/>
      <c r="B929" s="1"/>
      <c r="C929" s="1"/>
      <c r="D929" s="2"/>
      <c r="E929" s="2"/>
      <c r="F929" s="2"/>
      <c r="G929" s="2"/>
    </row>
    <row r="930" ht="13.5" customHeight="1"/>
    <row r="931" spans="1:7" ht="12" customHeight="1">
      <c r="A931" s="1"/>
      <c r="B931" s="1"/>
      <c r="C931" s="1"/>
      <c r="D931" s="2"/>
      <c r="E931" s="2"/>
      <c r="F931" s="2"/>
      <c r="G931" s="2"/>
    </row>
    <row r="932" spans="1:7" ht="12.75">
      <c r="A932" s="1"/>
      <c r="B932" s="1"/>
      <c r="C932" s="1"/>
      <c r="D932" s="2"/>
      <c r="E932" s="2"/>
      <c r="F932" s="2"/>
      <c r="G932" s="2"/>
    </row>
    <row r="933" spans="1:7" ht="12.75">
      <c r="A933" s="1"/>
      <c r="B933" s="1"/>
      <c r="C933" s="1"/>
      <c r="D933" s="2"/>
      <c r="E933" s="2"/>
      <c r="F933" s="2"/>
      <c r="G933" s="2"/>
    </row>
    <row r="935" ht="15.75" customHeight="1"/>
    <row r="938" spans="1:6" ht="12.75">
      <c r="A938" s="1"/>
      <c r="B938" s="1"/>
      <c r="C938" s="1"/>
      <c r="D938" s="2"/>
      <c r="E938" s="1"/>
      <c r="F938" s="2"/>
    </row>
    <row r="939" spans="1:6" ht="12.75">
      <c r="A939" s="1"/>
      <c r="B939" s="1"/>
      <c r="C939" s="1"/>
      <c r="D939" s="2"/>
      <c r="E939" s="1"/>
      <c r="F939" s="2"/>
    </row>
    <row r="1010" ht="18" customHeight="1"/>
    <row r="1013" ht="16.5" customHeight="1"/>
    <row r="1014" ht="16.5" customHeight="1"/>
    <row r="1015" ht="12" customHeight="1"/>
    <row r="1016" ht="6.75" customHeight="1"/>
    <row r="1017" ht="6.75" customHeight="1"/>
    <row r="1018" ht="6.75" customHeight="1"/>
    <row r="1019" ht="6.75" customHeight="1"/>
    <row r="1020" ht="6.75" customHeight="1"/>
    <row r="1021" ht="6.75" customHeight="1"/>
    <row r="1022" ht="6.75" customHeight="1"/>
    <row r="1023" ht="6.75" customHeight="1"/>
    <row r="1024" ht="6.75" customHeight="1"/>
    <row r="1025" ht="6.75" customHeight="1"/>
    <row r="1026" ht="6.75" customHeight="1"/>
    <row r="1027" ht="6.75" customHeight="1"/>
    <row r="1028" ht="6.75" customHeight="1"/>
    <row r="1029" ht="6.75" customHeight="1"/>
    <row r="1030" ht="6.75" customHeight="1"/>
    <row r="1031" ht="6.75" customHeight="1"/>
    <row r="1032" ht="6.75" customHeight="1"/>
    <row r="1033" ht="6.75" customHeight="1"/>
    <row r="1034" ht="6.75" customHeight="1"/>
    <row r="1035" ht="6.75" customHeight="1"/>
    <row r="1036" ht="6.75" customHeight="1"/>
    <row r="1037" ht="6.75" customHeight="1"/>
    <row r="1038" ht="6.75" customHeight="1"/>
    <row r="1039" ht="6.75" customHeight="1"/>
    <row r="1040" ht="6.75" customHeight="1"/>
    <row r="1041" ht="6.75" customHeight="1"/>
    <row r="1042" ht="6.75" customHeight="1"/>
    <row r="1043" ht="6.75" customHeight="1"/>
    <row r="1044" ht="6.75" customHeight="1"/>
    <row r="1045" ht="6.75" customHeight="1"/>
    <row r="1046" ht="6.75" customHeight="1"/>
    <row r="1047" ht="6.75" customHeight="1"/>
    <row r="1048" ht="6.75" customHeight="1"/>
    <row r="1049" ht="6.75" customHeight="1"/>
    <row r="1050" ht="6.75" customHeight="1"/>
    <row r="1051" ht="6.75" customHeight="1"/>
    <row r="1052" ht="6.75" customHeight="1"/>
    <row r="1053" ht="6.75" customHeight="1"/>
    <row r="1054" ht="6.75" customHeight="1"/>
    <row r="1055" ht="6.75" customHeight="1"/>
    <row r="1056" ht="6.75" customHeight="1"/>
    <row r="1057" ht="6.75" customHeight="1"/>
    <row r="1058" ht="6.75" customHeight="1"/>
    <row r="1059" ht="6.75" customHeight="1"/>
    <row r="1060" ht="6.75" customHeight="1"/>
    <row r="1061" ht="6.75" customHeight="1"/>
    <row r="1062" ht="6.75" customHeight="1"/>
    <row r="1063" ht="6.75" customHeight="1"/>
    <row r="1064" ht="6.75" customHeight="1"/>
    <row r="1065" ht="6.75" customHeight="1"/>
    <row r="1066" ht="6.75" customHeight="1"/>
    <row r="1067" ht="6.75" customHeight="1"/>
    <row r="1068" ht="6.75" customHeight="1"/>
    <row r="1069" ht="6.75" customHeight="1"/>
    <row r="1070" ht="6.75" customHeight="1"/>
    <row r="1071" ht="6.75" customHeight="1"/>
    <row r="1072" ht="6.75" customHeight="1"/>
    <row r="1073" ht="6.75" customHeight="1"/>
    <row r="1074" ht="6.75" customHeight="1"/>
    <row r="1075" ht="6.75" customHeight="1"/>
    <row r="1076" ht="6.75" customHeight="1"/>
    <row r="1077" ht="6.75" customHeight="1"/>
    <row r="1078" ht="6.75" customHeight="1"/>
    <row r="1079" ht="6.75" customHeight="1"/>
    <row r="1080" ht="6.75" customHeight="1"/>
    <row r="1081" ht="6.75" customHeight="1"/>
    <row r="1082" ht="6.75" customHeight="1"/>
    <row r="1083" ht="6.75" customHeight="1"/>
    <row r="1084" ht="6.75" customHeight="1"/>
    <row r="1085" ht="6.75" customHeight="1"/>
    <row r="1086" ht="6.75" customHeight="1"/>
    <row r="1087" ht="6.75" customHeight="1"/>
    <row r="1088" ht="6.75" customHeight="1"/>
    <row r="1089" ht="6.75" customHeight="1"/>
    <row r="1090" ht="6.75" customHeight="1"/>
    <row r="1091" ht="6.75" customHeight="1"/>
    <row r="1092" ht="6.75" customHeight="1"/>
    <row r="1093" ht="6.75" customHeight="1"/>
    <row r="1094" ht="12" customHeight="1"/>
    <row r="1095" ht="18" customHeight="1"/>
    <row r="1096" ht="18" customHeight="1"/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40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8.7109375" style="0" customWidth="1"/>
    <col min="2" max="10" width="6.7109375" style="0" customWidth="1"/>
  </cols>
  <sheetData>
    <row r="1" spans="1:10" ht="13.5" customHeight="1">
      <c r="A1" s="83" t="s">
        <v>17</v>
      </c>
      <c r="B1" s="84"/>
      <c r="C1" s="85"/>
      <c r="D1" s="85"/>
      <c r="E1" s="85"/>
      <c r="F1" s="85"/>
      <c r="G1" s="85"/>
      <c r="H1" s="85"/>
      <c r="I1" s="85"/>
      <c r="J1" s="35"/>
    </row>
    <row r="2" spans="1:10" ht="13.5" customHeight="1">
      <c r="A2" s="88"/>
      <c r="B2" s="84"/>
      <c r="C2" s="85"/>
      <c r="D2" s="85"/>
      <c r="E2" s="85"/>
      <c r="F2" s="85"/>
      <c r="G2" s="85"/>
      <c r="H2" s="85"/>
      <c r="I2" s="85"/>
      <c r="J2" s="35"/>
    </row>
    <row r="3" spans="1:10" ht="13.5" customHeight="1">
      <c r="A3" s="88" t="s">
        <v>18</v>
      </c>
      <c r="B3" s="84"/>
      <c r="C3" s="85"/>
      <c r="D3" s="85"/>
      <c r="E3" s="85"/>
      <c r="F3" s="85"/>
      <c r="G3" s="85"/>
      <c r="H3" s="85"/>
      <c r="I3" s="85"/>
      <c r="J3" s="35"/>
    </row>
    <row r="4" spans="1:10" ht="13.5" customHeight="1">
      <c r="A4" s="88" t="s">
        <v>1545</v>
      </c>
      <c r="B4" s="84"/>
      <c r="C4" s="85"/>
      <c r="D4" s="85"/>
      <c r="E4" s="85"/>
      <c r="F4" s="85"/>
      <c r="G4" s="85"/>
      <c r="H4" s="85"/>
      <c r="I4" s="85"/>
      <c r="J4" s="35"/>
    </row>
    <row r="5" spans="1:10" ht="13.5" customHeight="1">
      <c r="A5" s="88" t="s">
        <v>19</v>
      </c>
      <c r="B5" s="84"/>
      <c r="C5" s="85"/>
      <c r="D5" s="85"/>
      <c r="E5" s="85"/>
      <c r="F5" s="85"/>
      <c r="G5" s="85"/>
      <c r="H5" s="85"/>
      <c r="I5" s="85"/>
      <c r="J5" s="35"/>
    </row>
    <row r="6" spans="1:10" ht="4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4"/>
      <c r="B7" s="89" t="s">
        <v>1546</v>
      </c>
      <c r="C7" s="89"/>
      <c r="D7" s="89"/>
      <c r="E7" s="89"/>
      <c r="F7" s="89"/>
      <c r="G7" s="90"/>
      <c r="H7" s="91" t="s">
        <v>11</v>
      </c>
      <c r="I7" s="92"/>
      <c r="J7" s="93"/>
    </row>
    <row r="8" spans="1:10" ht="12.75">
      <c r="A8" s="12"/>
      <c r="B8" s="183" t="s">
        <v>1548</v>
      </c>
      <c r="C8" s="183" t="s">
        <v>1549</v>
      </c>
      <c r="D8" s="183" t="s">
        <v>1550</v>
      </c>
      <c r="E8" s="183" t="s">
        <v>1551</v>
      </c>
      <c r="F8" s="183" t="s">
        <v>1552</v>
      </c>
      <c r="G8" s="123" t="s">
        <v>1553</v>
      </c>
      <c r="H8" s="183" t="s">
        <v>1554</v>
      </c>
      <c r="I8" s="184" t="s">
        <v>1555</v>
      </c>
      <c r="J8" s="126" t="s">
        <v>126</v>
      </c>
    </row>
    <row r="9" spans="1:11" ht="12.75">
      <c r="A9" s="4" t="s">
        <v>13</v>
      </c>
      <c r="B9" s="109">
        <f aca="true" t="shared" si="0" ref="B9:J9">SUM(B11:B29)</f>
        <v>585759</v>
      </c>
      <c r="C9" s="109">
        <f t="shared" si="0"/>
        <v>275738</v>
      </c>
      <c r="D9" s="109">
        <f t="shared" si="0"/>
        <v>418613</v>
      </c>
      <c r="E9" s="109">
        <f t="shared" si="0"/>
        <v>225626</v>
      </c>
      <c r="F9" s="109">
        <f t="shared" si="0"/>
        <v>132688</v>
      </c>
      <c r="G9" s="110">
        <f t="shared" si="0"/>
        <v>90592</v>
      </c>
      <c r="H9" s="109">
        <f t="shared" si="0"/>
        <v>1118723</v>
      </c>
      <c r="I9" s="110">
        <f t="shared" si="0"/>
        <v>46764</v>
      </c>
      <c r="J9" s="109">
        <f t="shared" si="0"/>
        <v>2894503</v>
      </c>
      <c r="K9" s="2"/>
    </row>
    <row r="10" spans="1:11" ht="12.75">
      <c r="A10" s="1"/>
      <c r="B10" s="111"/>
      <c r="C10" s="111"/>
      <c r="D10" s="111"/>
      <c r="E10" s="111"/>
      <c r="F10" s="111"/>
      <c r="G10" s="112"/>
      <c r="H10" s="111"/>
      <c r="I10" s="112"/>
      <c r="J10" s="111"/>
      <c r="K10" s="2"/>
    </row>
    <row r="11" spans="1:11" ht="12.75">
      <c r="A11" s="1" t="s">
        <v>1557</v>
      </c>
      <c r="B11" s="111">
        <f>ROUND(+'FTE Calc'!E6,0)</f>
        <v>38388</v>
      </c>
      <c r="C11" s="111">
        <f>ROUND(+'FTE Calc'!E7,0)</f>
        <v>11505</v>
      </c>
      <c r="D11" s="111">
        <f>ROUND(+'FTE Calc'!E8,0)</f>
        <v>26172</v>
      </c>
      <c r="E11" s="111">
        <f>ROUND(+'FTE Calc'!E9,0)</f>
        <v>17232</v>
      </c>
      <c r="F11" s="111">
        <f>ROUND(+'FTE Calc'!E10,0)</f>
        <v>14189</v>
      </c>
      <c r="G11" s="112">
        <f>ROUND(+'FTE Calc'!E11,0)</f>
        <v>2691</v>
      </c>
      <c r="H11" s="111">
        <f>ROUND(+'FTE Calc'!E12,0)</f>
        <v>65072</v>
      </c>
      <c r="I11" s="112">
        <f>ROUND(+'FTE Calc'!E14,0)</f>
        <v>8371</v>
      </c>
      <c r="J11" s="111">
        <f>SUM(A11:I11)</f>
        <v>183620</v>
      </c>
      <c r="K11" s="2"/>
    </row>
    <row r="12" spans="1:11" ht="12.75">
      <c r="A12" s="1" t="s">
        <v>1558</v>
      </c>
      <c r="B12" s="111">
        <f>ROUND(+'FTE Calc'!E26,0)</f>
        <v>13306</v>
      </c>
      <c r="C12" s="111">
        <f>ROUND(+'FTE Calc'!E27,0)</f>
        <v>0</v>
      </c>
      <c r="D12" s="111">
        <f>ROUND(+'FTE Calc'!E28,0)</f>
        <v>25043</v>
      </c>
      <c r="E12" s="111">
        <f>ROUND(+'FTE Calc'!E29,0)</f>
        <v>0</v>
      </c>
      <c r="F12" s="111">
        <f>ROUND(+'FTE Calc'!E30,0)</f>
        <v>7463</v>
      </c>
      <c r="G12" s="112">
        <f>ROUND(+'FTE Calc'!E31,0)</f>
        <v>7726</v>
      </c>
      <c r="H12" s="111">
        <f>ROUND(+'FTE Calc'!E32,0)</f>
        <v>18727</v>
      </c>
      <c r="I12" s="112">
        <f>ROUND(+'FTE Calc'!E33,0)</f>
        <v>0</v>
      </c>
      <c r="J12" s="111">
        <f>SUM(A12:I12)</f>
        <v>72265</v>
      </c>
      <c r="K12" s="2"/>
    </row>
    <row r="13" spans="1:11" ht="12.75">
      <c r="A13" s="1" t="s">
        <v>1559</v>
      </c>
      <c r="B13" s="111">
        <f>ROUND(+'FTE Calc'!E45,0)</f>
        <v>84148</v>
      </c>
      <c r="C13" s="111">
        <f>ROUND(+'FTE Calc'!E46,0)</f>
        <v>33274</v>
      </c>
      <c r="D13" s="111">
        <f>ROUND(+'FTE Calc'!E47,0)</f>
        <v>26950</v>
      </c>
      <c r="E13" s="111">
        <f>ROUND(+'FTE Calc'!E48,0)</f>
        <v>16834</v>
      </c>
      <c r="F13" s="111">
        <f>ROUND(+'FTE Calc'!E49,0)</f>
        <v>0</v>
      </c>
      <c r="G13" s="112">
        <f>ROUND(+'FTE Calc'!E50,0)</f>
        <v>0</v>
      </c>
      <c r="H13" s="111">
        <f>ROUND(+'FTE Calc'!E51,0)</f>
        <v>239509</v>
      </c>
      <c r="I13" s="112">
        <f>ROUND(+'FTE Calc'!E52,0)</f>
        <v>0</v>
      </c>
      <c r="J13" s="111">
        <f>SUM(A13:I13)</f>
        <v>400715</v>
      </c>
      <c r="K13" s="2"/>
    </row>
    <row r="14" spans="1:11" ht="12.75">
      <c r="A14" s="1"/>
      <c r="B14" s="111"/>
      <c r="C14" s="111"/>
      <c r="D14" s="111"/>
      <c r="E14" s="111"/>
      <c r="F14" s="111"/>
      <c r="G14" s="112"/>
      <c r="H14" s="111"/>
      <c r="I14" s="112"/>
      <c r="J14" s="111"/>
      <c r="K14" s="2"/>
    </row>
    <row r="15" spans="1:11" ht="12.75">
      <c r="A15" s="1" t="s">
        <v>1560</v>
      </c>
      <c r="B15" s="111">
        <f>ROUND(+'FTE Calc'!E64,0)</f>
        <v>30230</v>
      </c>
      <c r="C15" s="111">
        <f>ROUND(+'FTE Calc'!E65,0)</f>
        <v>35594</v>
      </c>
      <c r="D15" s="111">
        <f>ROUND(+'FTE Calc'!E66,0)</f>
        <v>13998</v>
      </c>
      <c r="E15" s="111">
        <f>ROUND(+'FTE Calc'!E67,0)</f>
        <v>22054</v>
      </c>
      <c r="F15" s="111">
        <f>ROUND(+'FTE Calc'!E68,0)</f>
        <v>31140</v>
      </c>
      <c r="G15" s="112">
        <f>ROUND(+'FTE Calc'!E69,0)</f>
        <v>11473</v>
      </c>
      <c r="H15" s="111">
        <f>ROUND(+'FTE Calc'!E70,0)</f>
        <v>35165</v>
      </c>
      <c r="I15" s="112">
        <f>ROUND(+'FTE Calc'!E71,0)</f>
        <v>33104</v>
      </c>
      <c r="J15" s="111">
        <f>SUM(A15:I15)</f>
        <v>212758</v>
      </c>
      <c r="K15" s="2"/>
    </row>
    <row r="16" spans="1:11" ht="12.75">
      <c r="A16" s="1" t="s">
        <v>1561</v>
      </c>
      <c r="B16" s="111">
        <f>ROUND(+'FTE Calc'!E83,0)</f>
        <v>18645</v>
      </c>
      <c r="C16" s="111">
        <f>ROUND(+'FTE Calc'!E84,0)</f>
        <v>14199</v>
      </c>
      <c r="D16" s="111">
        <f>ROUND(+'FTE Calc'!E85,0)</f>
        <v>33233</v>
      </c>
      <c r="E16" s="111">
        <f>ROUND(+'FTE Calc'!E86,0)</f>
        <v>7369</v>
      </c>
      <c r="F16" s="111">
        <f>ROUND(+'FTE Calc'!E87,0)</f>
        <v>8992</v>
      </c>
      <c r="G16" s="112">
        <f>ROUND(+'FTE Calc'!E88,0)</f>
        <v>2142</v>
      </c>
      <c r="H16" s="111">
        <f>ROUND(+'FTE Calc'!E89,0)</f>
        <v>27974</v>
      </c>
      <c r="I16" s="112">
        <f>ROUND(+'FTE Calc'!E90,0)</f>
        <v>0</v>
      </c>
      <c r="J16" s="111">
        <f>SUM(A16:I16)</f>
        <v>112554</v>
      </c>
      <c r="K16" s="2"/>
    </row>
    <row r="17" spans="1:11" ht="12.75">
      <c r="A17" s="1" t="s">
        <v>1562</v>
      </c>
      <c r="B17" s="111">
        <f>ROUND(+'FTE Calc'!E102,0)</f>
        <v>23108</v>
      </c>
      <c r="C17" s="111">
        <f>ROUND(+'FTE Calc'!E103,0)</f>
        <v>27564</v>
      </c>
      <c r="D17" s="111">
        <f>ROUND(+'FTE Calc'!E104,0)</f>
        <v>36144</v>
      </c>
      <c r="E17" s="111">
        <f>ROUND(+'FTE Calc'!E105,0)</f>
        <v>29356</v>
      </c>
      <c r="F17" s="111">
        <f>ROUND(+'FTE Calc'!E106,0)</f>
        <v>14157</v>
      </c>
      <c r="G17" s="112">
        <f>ROUND(+'FTE Calc'!E107,0)</f>
        <v>0</v>
      </c>
      <c r="H17" s="111">
        <f>ROUND(+'FTE Calc'!E108,0)</f>
        <v>15627</v>
      </c>
      <c r="I17" s="112">
        <f>ROUND(+'FTE Calc'!E109,0)</f>
        <v>0</v>
      </c>
      <c r="J17" s="111">
        <f>SUM(A17:I17)</f>
        <v>145956</v>
      </c>
      <c r="K17" s="2"/>
    </row>
    <row r="18" spans="1:11" ht="12.75">
      <c r="A18" s="1"/>
      <c r="B18" s="111"/>
      <c r="C18" s="111"/>
      <c r="D18" s="111"/>
      <c r="E18" s="111"/>
      <c r="F18" s="111"/>
      <c r="G18" s="112"/>
      <c r="H18" s="111"/>
      <c r="I18" s="112"/>
      <c r="J18" s="111"/>
      <c r="K18" s="2"/>
    </row>
    <row r="19" spans="1:11" ht="12.75">
      <c r="A19" s="1" t="s">
        <v>1563</v>
      </c>
      <c r="B19" s="111">
        <f>ROUND(+'FTE Calc'!E121,0)</f>
        <v>26300</v>
      </c>
      <c r="C19" s="111">
        <f>ROUND(+'FTE Calc'!E122,0)</f>
        <v>8384</v>
      </c>
      <c r="D19" s="111">
        <f>ROUND(+'FTE Calc'!E123,0)</f>
        <v>0</v>
      </c>
      <c r="E19" s="111">
        <f>ROUND(+'FTE Calc'!E124,0)</f>
        <v>34039</v>
      </c>
      <c r="F19" s="111">
        <f>ROUND(+'FTE Calc'!E125,0)</f>
        <v>5509</v>
      </c>
      <c r="G19" s="112">
        <f>ROUND(+'FTE Calc'!E126,0)</f>
        <v>1578</v>
      </c>
      <c r="H19" s="111">
        <f>ROUND(+'FTE Calc'!E127,0)</f>
        <v>61739</v>
      </c>
      <c r="I19" s="112">
        <f>ROUND(+'FTE Calc'!E128,0)</f>
        <v>0</v>
      </c>
      <c r="J19" s="111">
        <f>SUM(A19:I19)</f>
        <v>137549</v>
      </c>
      <c r="K19" s="2"/>
    </row>
    <row r="20" spans="1:11" ht="12.75">
      <c r="A20" s="1" t="s">
        <v>20</v>
      </c>
      <c r="B20" s="111">
        <f>ROUND(+'FTE Calc'!E140,0)</f>
        <v>13008</v>
      </c>
      <c r="C20" s="111">
        <f>ROUND(+'FTE Calc'!E141,0)</f>
        <v>23626</v>
      </c>
      <c r="D20" s="111">
        <f>ROUND(+'FTE Calc'!E142,0)</f>
        <v>5745</v>
      </c>
      <c r="E20" s="111">
        <f>ROUND(+'FTE Calc'!E143,0)</f>
        <v>0</v>
      </c>
      <c r="F20" s="111">
        <f>ROUND(+'FTE Calc'!E144,0)</f>
        <v>6785</v>
      </c>
      <c r="G20" s="112">
        <f>ROUND(+'FTE Calc'!E145,0)</f>
        <v>4345</v>
      </c>
      <c r="H20" s="111">
        <f>ROUND(+'FTE Calc'!E146,0)</f>
        <v>37547</v>
      </c>
      <c r="I20" s="112">
        <f>ROUND(+'FTE Calc'!E147,0)</f>
        <v>0</v>
      </c>
      <c r="J20" s="111">
        <f>SUM(A20:I20)</f>
        <v>91056</v>
      </c>
      <c r="K20" s="2"/>
    </row>
    <row r="21" spans="1:11" ht="12.75">
      <c r="A21" s="1" t="s">
        <v>1565</v>
      </c>
      <c r="B21" s="111">
        <f>ROUND(+'FTE Calc'!E159,0)</f>
        <v>40874</v>
      </c>
      <c r="C21" s="111">
        <f>ROUND(+'FTE Calc'!E160,0)</f>
        <v>11063</v>
      </c>
      <c r="D21" s="111">
        <f>ROUND(+'FTE Calc'!E161,0)</f>
        <v>61255</v>
      </c>
      <c r="E21" s="111">
        <f>ROUND(+'FTE Calc'!E162,0)</f>
        <v>7939</v>
      </c>
      <c r="F21" s="111">
        <f>ROUND(+'FTE Calc'!E163,0)</f>
        <v>6536</v>
      </c>
      <c r="G21" s="112">
        <f>ROUND(+'FTE Calc'!E164,0)</f>
        <v>7440</v>
      </c>
      <c r="H21" s="111">
        <f>ROUND(+'FTE Calc'!E165,0)</f>
        <v>101276</v>
      </c>
      <c r="I21" s="112">
        <f>ROUND(+'FTE Calc'!E166,0)</f>
        <v>0</v>
      </c>
      <c r="J21" s="111">
        <f>SUM(A21:I21)</f>
        <v>236383</v>
      </c>
      <c r="K21" s="2"/>
    </row>
    <row r="22" spans="1:11" ht="12.75">
      <c r="A22" s="1"/>
      <c r="B22" s="111"/>
      <c r="C22" s="111"/>
      <c r="D22" s="111"/>
      <c r="E22" s="111"/>
      <c r="F22" s="111"/>
      <c r="G22" s="112"/>
      <c r="H22" s="111"/>
      <c r="I22" s="112"/>
      <c r="J22" s="111"/>
      <c r="K22" s="2"/>
    </row>
    <row r="23" spans="1:11" ht="12.75">
      <c r="A23" s="1" t="s">
        <v>1566</v>
      </c>
      <c r="B23" s="111">
        <f>ROUND(+'FTE Calc'!E178,0)</f>
        <v>33733</v>
      </c>
      <c r="C23" s="111">
        <f>ROUND(+'FTE Calc'!E179,0)</f>
        <v>0</v>
      </c>
      <c r="D23" s="111">
        <f>ROUND(+'FTE Calc'!E180,0)</f>
        <v>11663</v>
      </c>
      <c r="E23" s="111">
        <f>ROUND(+'FTE Calc'!E181,0)</f>
        <v>11040</v>
      </c>
      <c r="F23" s="111">
        <f>ROUND(+'FTE Calc'!E182,0)</f>
        <v>13387</v>
      </c>
      <c r="G23" s="112">
        <f>ROUND(+'FTE Calc'!E183,0)</f>
        <v>5271</v>
      </c>
      <c r="H23" s="111">
        <f>ROUND(+'FTE Calc'!E184,0)</f>
        <v>38064</v>
      </c>
      <c r="I23" s="112">
        <f>ROUND(+'FTE Calc'!E185,0)</f>
        <v>0</v>
      </c>
      <c r="J23" s="111">
        <f>SUM(A23:I23)</f>
        <v>113158</v>
      </c>
      <c r="K23" s="2"/>
    </row>
    <row r="24" spans="1:11" ht="12.75">
      <c r="A24" s="1" t="s">
        <v>1567</v>
      </c>
      <c r="B24" s="111">
        <f>ROUND(+'FTE Calc'!E197,0)</f>
        <v>19520</v>
      </c>
      <c r="C24" s="111">
        <f>ROUND(+'FTE Calc'!E198,0)</f>
        <v>16032</v>
      </c>
      <c r="D24" s="111">
        <f>ROUND(+'FTE Calc'!E199,0)</f>
        <v>4619</v>
      </c>
      <c r="E24" s="111">
        <f>ROUND(+'FTE Calc'!E200,0)</f>
        <v>8676</v>
      </c>
      <c r="F24" s="111">
        <f>ROUND(+'FTE Calc'!E201,0)</f>
        <v>11843</v>
      </c>
      <c r="G24" s="112">
        <f>ROUND(+'FTE Calc'!E202,0)</f>
        <v>10993</v>
      </c>
      <c r="H24" s="111">
        <f>ROUND(+'FTE Calc'!E203,0)</f>
        <v>44093</v>
      </c>
      <c r="I24" s="112">
        <f>ROUND(+'FTE Calc'!E204,0)</f>
        <v>0</v>
      </c>
      <c r="J24" s="111">
        <f>SUM(A24:I24)</f>
        <v>115776</v>
      </c>
      <c r="K24" s="2"/>
    </row>
    <row r="25" spans="1:11" ht="12.75">
      <c r="A25" s="1" t="s">
        <v>1568</v>
      </c>
      <c r="B25" s="111">
        <f>ROUND(+'FTE Calc'!E216,0)</f>
        <v>22681</v>
      </c>
      <c r="C25" s="111">
        <f>ROUND(+'FTE Calc'!E217,0)</f>
        <v>17004</v>
      </c>
      <c r="D25" s="111">
        <f>ROUND(+'FTE Calc'!E218,0)</f>
        <v>32447</v>
      </c>
      <c r="E25" s="111">
        <f>ROUND(+'FTE Calc'!E219,0)</f>
        <v>20937</v>
      </c>
      <c r="F25" s="111">
        <f>ROUND(+'FTE Calc'!E220,0)</f>
        <v>5602</v>
      </c>
      <c r="G25" s="112">
        <f>ROUND(+'FTE Calc'!E221,0)</f>
        <v>0</v>
      </c>
      <c r="H25" s="111">
        <f>ROUND(+'FTE Calc'!E222,0)</f>
        <v>47780</v>
      </c>
      <c r="I25" s="112">
        <f>ROUND(+'FTE Calc'!E223,0)</f>
        <v>5289</v>
      </c>
      <c r="J25" s="111">
        <f>SUM(A25:I25)</f>
        <v>151740</v>
      </c>
      <c r="K25" s="2"/>
    </row>
    <row r="26" spans="1:11" ht="12.75">
      <c r="A26" s="1"/>
      <c r="B26" s="111"/>
      <c r="C26" s="111"/>
      <c r="D26" s="111"/>
      <c r="E26" s="111"/>
      <c r="F26" s="111"/>
      <c r="G26" s="112"/>
      <c r="H26" s="111"/>
      <c r="I26" s="112"/>
      <c r="J26" s="111"/>
      <c r="K26" s="2"/>
    </row>
    <row r="27" spans="1:11" ht="12.75">
      <c r="A27" s="1" t="s">
        <v>1569</v>
      </c>
      <c r="B27" s="111">
        <f>ROUND(+'FTE Calc'!E235,0)</f>
        <v>157746</v>
      </c>
      <c r="C27" s="111">
        <f>ROUND(+'FTE Calc'!E236,0)</f>
        <v>23734</v>
      </c>
      <c r="D27" s="111">
        <f>ROUND(+'FTE Calc'!E237,0)</f>
        <v>119771</v>
      </c>
      <c r="E27" s="111">
        <f>ROUND(+'FTE Calc'!E238,0)</f>
        <v>30595</v>
      </c>
      <c r="F27" s="111">
        <f>ROUND(+'FTE Calc'!E239,0)</f>
        <v>3717</v>
      </c>
      <c r="G27" s="112">
        <f>ROUND(+'FTE Calc'!E240,0)</f>
        <v>6697</v>
      </c>
      <c r="H27" s="111">
        <f>ROUND(+'FTE Calc'!E241,0)</f>
        <v>305404</v>
      </c>
      <c r="I27" s="112">
        <f>ROUND(+'FTE Calc'!E242,0)</f>
        <v>0</v>
      </c>
      <c r="J27" s="111">
        <f>SUM(A27:I27)</f>
        <v>647664</v>
      </c>
      <c r="K27" s="2"/>
    </row>
    <row r="28" spans="1:11" ht="12.75">
      <c r="A28" s="1" t="s">
        <v>1570</v>
      </c>
      <c r="B28" s="111">
        <f>ROUND(+'FTE Calc'!E254,0)</f>
        <v>44975</v>
      </c>
      <c r="C28" s="111">
        <f>ROUND(+'FTE Calc'!E255,0)</f>
        <v>53759</v>
      </c>
      <c r="D28" s="111">
        <f>ROUND(+'FTE Calc'!E256,0)</f>
        <v>11788</v>
      </c>
      <c r="E28" s="111">
        <f>ROUND(+'FTE Calc'!E257,0)</f>
        <v>19555</v>
      </c>
      <c r="F28" s="111">
        <f>ROUND(+'FTE Calc'!E258,0)</f>
        <v>3368</v>
      </c>
      <c r="G28" s="112">
        <f>ROUND(+'FTE Calc'!E259,0)</f>
        <v>8101</v>
      </c>
      <c r="H28" s="111">
        <f>ROUND(+'FTE Calc'!E260,0)</f>
        <v>73520</v>
      </c>
      <c r="I28" s="112">
        <f>ROUND(+'FTE Calc'!E261,0)</f>
        <v>0</v>
      </c>
      <c r="J28" s="111">
        <f>SUM(A28:I28)</f>
        <v>215066</v>
      </c>
      <c r="K28" s="2"/>
    </row>
    <row r="29" spans="1:11" ht="12.75">
      <c r="A29" s="11" t="s">
        <v>1571</v>
      </c>
      <c r="B29" s="113">
        <f>ROUND(+'FTE Calc'!E273,0)</f>
        <v>19097</v>
      </c>
      <c r="C29" s="113">
        <f>ROUND(+'FTE Calc'!E274,0)</f>
        <v>0</v>
      </c>
      <c r="D29" s="113">
        <f>ROUND(+'FTE Calc'!E275,0)</f>
        <v>9785</v>
      </c>
      <c r="E29" s="113">
        <f>ROUND(+'FTE Calc'!E276,0)</f>
        <v>0</v>
      </c>
      <c r="F29" s="113">
        <f>ROUND(+'FTE Calc'!E277,0)</f>
        <v>0</v>
      </c>
      <c r="G29" s="114">
        <f>ROUND(+'FTE Calc'!E278,0)</f>
        <v>22135</v>
      </c>
      <c r="H29" s="113">
        <f>ROUND(+'FTE Calc'!E279,0)</f>
        <v>7226</v>
      </c>
      <c r="I29" s="114">
        <f>ROUND(+'FTE Calc'!E280,0)</f>
        <v>0</v>
      </c>
      <c r="J29" s="113">
        <f>SUM(A29:I29)</f>
        <v>58243</v>
      </c>
      <c r="K29" s="2"/>
    </row>
    <row r="30" spans="1:10" ht="4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" customHeight="1">
      <c r="A31" s="101" t="s">
        <v>21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101" t="s">
        <v>22</v>
      </c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ht="12" customHeight="1">
      <c r="A34" s="101" t="s">
        <v>23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01" t="s">
        <v>24</v>
      </c>
      <c r="B35" s="33"/>
      <c r="C35" s="33"/>
      <c r="D35" s="33"/>
      <c r="E35" s="33"/>
      <c r="F35" s="33"/>
      <c r="G35" s="33"/>
      <c r="H35" s="33"/>
      <c r="I35" s="33"/>
      <c r="J35" s="33"/>
    </row>
    <row r="36" ht="12.75">
      <c r="A36" s="101" t="s">
        <v>25</v>
      </c>
    </row>
    <row r="37" ht="12.75">
      <c r="A37" s="101" t="s">
        <v>26</v>
      </c>
    </row>
    <row r="38" ht="12.75">
      <c r="A38" s="101" t="s">
        <v>27</v>
      </c>
    </row>
    <row r="39" ht="12.75">
      <c r="A39" s="101" t="s">
        <v>28</v>
      </c>
    </row>
    <row r="40" ht="12.75">
      <c r="A40" s="101" t="s">
        <v>29</v>
      </c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J41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8.7109375" style="0" customWidth="1"/>
    <col min="2" max="9" width="7.7109375" style="0" customWidth="1"/>
    <col min="10" max="10" width="8.7109375" style="0" customWidth="1"/>
  </cols>
  <sheetData>
    <row r="1" spans="1:10" ht="13.5" customHeight="1">
      <c r="A1" s="88" t="s">
        <v>30</v>
      </c>
      <c r="B1" s="84"/>
      <c r="C1" s="84"/>
      <c r="D1" s="35"/>
      <c r="E1" s="35"/>
      <c r="F1" s="35"/>
      <c r="G1" s="35"/>
      <c r="H1" s="35"/>
      <c r="I1" s="9"/>
      <c r="J1" s="9"/>
    </row>
    <row r="2" spans="1:10" ht="13.5" customHeight="1">
      <c r="A2" s="88"/>
      <c r="B2" s="84"/>
      <c r="C2" s="84"/>
      <c r="D2" s="35"/>
      <c r="E2" s="35"/>
      <c r="F2" s="35"/>
      <c r="G2" s="35"/>
      <c r="H2" s="35"/>
      <c r="I2" s="9"/>
      <c r="J2" s="9"/>
    </row>
    <row r="3" spans="1:10" ht="13.5" customHeight="1">
      <c r="A3" s="88" t="s">
        <v>31</v>
      </c>
      <c r="B3" s="84"/>
      <c r="C3" s="84"/>
      <c r="D3" s="35"/>
      <c r="E3" s="35"/>
      <c r="F3" s="35"/>
      <c r="G3" s="35"/>
      <c r="H3" s="35"/>
      <c r="I3" s="9"/>
      <c r="J3" s="9"/>
    </row>
    <row r="4" spans="1:10" ht="13.5" customHeight="1">
      <c r="A4" s="88" t="s">
        <v>1545</v>
      </c>
      <c r="B4" s="84"/>
      <c r="C4" s="84"/>
      <c r="D4" s="35"/>
      <c r="E4" s="35"/>
      <c r="F4" s="35"/>
      <c r="G4" s="35"/>
      <c r="H4" s="35"/>
      <c r="I4" s="9"/>
      <c r="J4" s="9"/>
    </row>
    <row r="5" spans="1:10" ht="13.5" customHeight="1">
      <c r="A5" s="88" t="s">
        <v>1529</v>
      </c>
      <c r="B5" s="84"/>
      <c r="C5" s="84"/>
      <c r="D5" s="35"/>
      <c r="E5" s="35"/>
      <c r="F5" s="35"/>
      <c r="G5" s="35"/>
      <c r="H5" s="35"/>
      <c r="I5" s="9"/>
      <c r="J5" s="9"/>
    </row>
    <row r="6" spans="1:10" ht="13.5" customHeight="1">
      <c r="A6" s="9" t="s">
        <v>32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4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9.75" customHeight="1">
      <c r="A8" s="4"/>
      <c r="B8" s="91" t="s">
        <v>1546</v>
      </c>
      <c r="C8" s="91"/>
      <c r="D8" s="91"/>
      <c r="E8" s="91"/>
      <c r="F8" s="91"/>
      <c r="G8" s="90"/>
      <c r="H8" s="91" t="s">
        <v>11</v>
      </c>
      <c r="I8" s="92"/>
      <c r="J8" s="93"/>
    </row>
    <row r="9" spans="1:10" ht="9.75" customHeight="1">
      <c r="A9" s="13"/>
      <c r="B9" s="183" t="s">
        <v>1548</v>
      </c>
      <c r="C9" s="183" t="s">
        <v>1549</v>
      </c>
      <c r="D9" s="183" t="s">
        <v>1550</v>
      </c>
      <c r="E9" s="183" t="s">
        <v>1551</v>
      </c>
      <c r="F9" s="183" t="s">
        <v>1552</v>
      </c>
      <c r="G9" s="123" t="s">
        <v>1553</v>
      </c>
      <c r="H9" s="183" t="s">
        <v>1554</v>
      </c>
      <c r="I9" s="184" t="s">
        <v>1555</v>
      </c>
      <c r="J9" s="126" t="s">
        <v>33</v>
      </c>
    </row>
    <row r="10" spans="1:10" ht="12.75">
      <c r="A10" s="4" t="s">
        <v>13</v>
      </c>
      <c r="B10" s="116">
        <f aca="true" t="shared" si="0" ref="B10:I10">SUM(B12:B30)</f>
        <v>3485314</v>
      </c>
      <c r="C10" s="116">
        <f t="shared" si="0"/>
        <v>1281254</v>
      </c>
      <c r="D10" s="116">
        <f t="shared" si="0"/>
        <v>1708252</v>
      </c>
      <c r="E10" s="116">
        <f t="shared" si="0"/>
        <v>817507</v>
      </c>
      <c r="F10" s="116">
        <f t="shared" si="0"/>
        <v>497993</v>
      </c>
      <c r="G10" s="117">
        <f t="shared" si="0"/>
        <v>352299</v>
      </c>
      <c r="H10" s="116">
        <f t="shared" si="0"/>
        <v>3603908</v>
      </c>
      <c r="I10" s="117">
        <f t="shared" si="0"/>
        <v>236850</v>
      </c>
      <c r="J10" s="116">
        <f>SUM(B10:I10)</f>
        <v>11983377</v>
      </c>
    </row>
    <row r="11" spans="1:10" ht="12.75">
      <c r="A11" s="1"/>
      <c r="B11" s="97"/>
      <c r="C11" s="97"/>
      <c r="D11" s="97"/>
      <c r="E11" s="97"/>
      <c r="F11" s="97"/>
      <c r="G11" s="98"/>
      <c r="H11" s="97"/>
      <c r="I11" s="98"/>
      <c r="J11" s="97"/>
    </row>
    <row r="12" spans="1:10" ht="12.75">
      <c r="A12" s="1" t="s">
        <v>1557</v>
      </c>
      <c r="B12" s="97">
        <f>ROUND(+'Apprp. Summary'!B7/1000,0)</f>
        <v>208649</v>
      </c>
      <c r="C12" s="97">
        <f>ROUND(+'Apprp. Summary'!B8/1000,0)</f>
        <v>41599</v>
      </c>
      <c r="D12" s="97">
        <f>ROUND(+'Apprp. Summary'!B9/1000,0)</f>
        <v>113371</v>
      </c>
      <c r="E12" s="97">
        <f>ROUND(+'Apprp. Summary'!B10/1000,0)</f>
        <v>55776</v>
      </c>
      <c r="F12" s="97">
        <f>ROUND(+'Apprp. Summary'!B11/1000,0)</f>
        <v>59562</v>
      </c>
      <c r="G12" s="98">
        <f>ROUND(+'Apprp. Summary'!B12/1000,0)</f>
        <v>7152</v>
      </c>
      <c r="H12" s="97">
        <f>ROUND(('Apprp. Summary'!B13+'Apprp. Summary'!F13)/1000,0)</f>
        <v>161116</v>
      </c>
      <c r="I12" s="98">
        <f>ROUND(('Apprp. Summary'!B14+'Apprp. Summary'!F14)/1000,0)</f>
        <v>36585</v>
      </c>
      <c r="J12" s="97">
        <f>('Apprp. Summary'!C17+'Apprp. Summary'!G17)/1000</f>
        <v>645312.908</v>
      </c>
    </row>
    <row r="13" spans="1:10" ht="12.75">
      <c r="A13" s="1" t="s">
        <v>1558</v>
      </c>
      <c r="B13" s="97">
        <f>ROUND(+'Apprp. Summary'!B26/1000,0)</f>
        <v>75254</v>
      </c>
      <c r="C13" s="97">
        <f>ROUND(+'Apprp. Summary'!B27/1000,0)</f>
        <v>0</v>
      </c>
      <c r="D13" s="97">
        <f>ROUND(+'Apprp. Summary'!B28/1000,0)</f>
        <v>102434</v>
      </c>
      <c r="E13" s="97">
        <f>ROUND(+'Apprp. Summary'!B29/1000,0)</f>
        <v>0</v>
      </c>
      <c r="F13" s="97">
        <f>ROUND(+'Apprp. Summary'!B30/1000,0)</f>
        <v>27768</v>
      </c>
      <c r="G13" s="98">
        <f>ROUND(+'Apprp. Summary'!B31/1000,0)</f>
        <v>33302</v>
      </c>
      <c r="H13" s="97">
        <f>ROUND(('Apprp. Summary'!B32+'Apprp. Summary'!F32)/1000,0)</f>
        <v>69642</v>
      </c>
      <c r="I13" s="98">
        <f>ROUND(('Apprp. Summary'!B33+'Apprp. Summary'!F33)/1000,0)</f>
        <v>0</v>
      </c>
      <c r="J13" s="97">
        <f>('Apprp. Summary'!C36+'Apprp. Summary'!G36)/1000</f>
        <v>384861.04</v>
      </c>
    </row>
    <row r="14" spans="1:10" ht="12.75">
      <c r="A14" s="1" t="s">
        <v>1559</v>
      </c>
      <c r="B14" s="97">
        <f>ROUND(+'Apprp. Summary'!B45/1000,0)</f>
        <v>527555</v>
      </c>
      <c r="C14" s="97">
        <f>ROUND(+'Apprp. Summary'!B46/1000,0)</f>
        <v>163811</v>
      </c>
      <c r="D14" s="97">
        <f>ROUND(+'Apprp. Summary'!B47/1000,0)</f>
        <v>140544</v>
      </c>
      <c r="E14" s="97">
        <f>ROUND(+'Apprp. Summary'!B48/1000,0)</f>
        <v>93671</v>
      </c>
      <c r="F14" s="97">
        <f>ROUND(+'Apprp. Summary'!B49/1000,0)</f>
        <v>0</v>
      </c>
      <c r="G14" s="98">
        <f>ROUND(+'Apprp. Summary'!B50/1000,0)</f>
        <v>0</v>
      </c>
      <c r="H14" s="97">
        <f>ROUND(('Apprp. Summary'!B51+'Apprp. Summary'!F51)/1000,0)</f>
        <v>636312</v>
      </c>
      <c r="I14" s="98">
        <f>ROUND(('Apprp. Summary'!B52+'Apprp. Summary'!F52)/1000,0)</f>
        <v>0</v>
      </c>
      <c r="J14" s="97">
        <f>('Apprp. Summary'!C55+'Apprp. Summary'!G55)/1000</f>
        <v>1640370.102489943</v>
      </c>
    </row>
    <row r="15" spans="1:10" ht="12.75">
      <c r="A15" s="1"/>
      <c r="B15" s="97"/>
      <c r="C15" s="97"/>
      <c r="D15" s="97"/>
      <c r="E15" s="97"/>
      <c r="F15" s="97"/>
      <c r="G15" s="98"/>
      <c r="H15" s="97"/>
      <c r="I15" s="98"/>
      <c r="J15" s="97"/>
    </row>
    <row r="16" spans="1:10" ht="12.75">
      <c r="A16" s="1" t="s">
        <v>1560</v>
      </c>
      <c r="B16" s="97">
        <f>ROUND(+'Apprp. Summary'!B64/1000,0)</f>
        <v>229081</v>
      </c>
      <c r="C16" s="97">
        <f>ROUND(+'Apprp. Summary'!B65/1000,0)</f>
        <v>227538</v>
      </c>
      <c r="D16" s="97">
        <f>ROUND(+'Apprp. Summary'!B66/1000,0)</f>
        <v>53869</v>
      </c>
      <c r="E16" s="97">
        <f>ROUND(+'Apprp. Summary'!B67/1000,0)</f>
        <v>72464</v>
      </c>
      <c r="F16" s="97">
        <f>ROUND(+'Apprp. Summary'!B68/1000,0)</f>
        <v>113322</v>
      </c>
      <c r="G16" s="98">
        <f>ROUND(+'Apprp. Summary'!B69/1000,0)</f>
        <v>41237</v>
      </c>
      <c r="H16" s="97">
        <f>ROUND(('Apprp. Summary'!B70+'Apprp. Summary'!F70)/1000,0)</f>
        <v>118905</v>
      </c>
      <c r="I16" s="98">
        <f>ROUND(('Apprp. Summary'!B71+'Apprp. Summary'!F71)/1000,0)</f>
        <v>122770</v>
      </c>
      <c r="J16" s="97">
        <f>('Apprp. Summary'!C74+'Apprp. Summary'!G74)/1000</f>
        <v>1058910.32</v>
      </c>
    </row>
    <row r="17" spans="1:10" ht="12.75">
      <c r="A17" s="1" t="s">
        <v>1561</v>
      </c>
      <c r="B17" s="97">
        <f>ROUND(+'Apprp. Summary'!B83/1000,0)</f>
        <v>80824</v>
      </c>
      <c r="C17" s="97">
        <f>ROUND(+'Apprp. Summary'!B84/1000,0)</f>
        <v>71265</v>
      </c>
      <c r="D17" s="97">
        <f>ROUND(+'Apprp. Summary'!B85/1000,0)</f>
        <v>129391</v>
      </c>
      <c r="E17" s="97">
        <f>ROUND(+'Apprp. Summary'!B86/1000,0)</f>
        <v>27879</v>
      </c>
      <c r="F17" s="97">
        <f>ROUND(+'Apprp. Summary'!B87/1000,0)</f>
        <v>24658</v>
      </c>
      <c r="G17" s="98">
        <f>ROUND(+'Apprp. Summary'!B88/1000,0)</f>
        <v>15789</v>
      </c>
      <c r="H17" s="97">
        <f>ROUND(('Apprp. Summary'!B89+'Apprp. Summary'!F89)/1000,0)</f>
        <v>63013</v>
      </c>
      <c r="I17" s="98">
        <f>ROUND(('Apprp. Summary'!B90+'Apprp. Summary'!F90)/1000,0)</f>
        <v>0</v>
      </c>
      <c r="J17" s="97">
        <f>('Apprp. Summary'!C93+'Apprp. Summary'!G93)/1000</f>
        <v>424432.4</v>
      </c>
    </row>
    <row r="18" spans="1:10" ht="12.75">
      <c r="A18" s="1" t="s">
        <v>1562</v>
      </c>
      <c r="B18" s="97">
        <f>ROUND(+'Apprp. Summary'!B102/1000,0)</f>
        <v>107413</v>
      </c>
      <c r="C18" s="97">
        <f>ROUND(+'Apprp. Summary'!B103/1000,0)</f>
        <v>74322</v>
      </c>
      <c r="D18" s="97">
        <f>ROUND(+'Apprp. Summary'!B104/1000,0)</f>
        <v>108712</v>
      </c>
      <c r="E18" s="97">
        <f>ROUND(+'Apprp. Summary'!B105/1000,0)</f>
        <v>65418</v>
      </c>
      <c r="F18" s="97">
        <f>ROUND(+'Apprp. Summary'!B106/1000,0)</f>
        <v>35791</v>
      </c>
      <c r="G18" s="98">
        <f>ROUND(+'Apprp. Summary'!B107/1000,0)</f>
        <v>0</v>
      </c>
      <c r="H18" s="97">
        <f>ROUND(('Apprp. Summary'!B108+'Apprp. Summary'!F108)/1000,0)</f>
        <v>35210</v>
      </c>
      <c r="I18" s="98">
        <f>ROUND(('Apprp. Summary'!B109+'Apprp. Summary'!F109)/1000,0)</f>
        <v>48444</v>
      </c>
      <c r="J18" s="97">
        <f>('Apprp. Summary'!C112+'Apprp. Summary'!G112)/1000</f>
        <v>546254.69</v>
      </c>
    </row>
    <row r="19" spans="1:10" ht="12.75">
      <c r="A19" s="1"/>
      <c r="B19" s="97"/>
      <c r="C19" s="97"/>
      <c r="D19" s="97"/>
      <c r="E19" s="97"/>
      <c r="F19" s="97"/>
      <c r="G19" s="98"/>
      <c r="H19" s="97"/>
      <c r="I19" s="98"/>
      <c r="J19" s="97"/>
    </row>
    <row r="20" spans="1:10" ht="12.75">
      <c r="A20" s="1" t="s">
        <v>1563</v>
      </c>
      <c r="B20" s="97">
        <f>ROUND(+'Apprp. Summary'!B121/1000,0)</f>
        <v>237275</v>
      </c>
      <c r="C20" s="97">
        <f>ROUND(+'Apprp. Summary'!B122/1000,0)</f>
        <v>44145</v>
      </c>
      <c r="D20" s="97">
        <f>ROUND(+'Apprp. Summary'!B123/1000,0)</f>
        <v>0</v>
      </c>
      <c r="E20" s="97">
        <f>ROUND(+'Apprp. Summary'!B124/1000,0)</f>
        <v>147919</v>
      </c>
      <c r="F20" s="97">
        <f>ROUND(+'Apprp. Summary'!B125/1000,0)</f>
        <v>28577</v>
      </c>
      <c r="G20" s="98">
        <f>ROUND(+'Apprp. Summary'!B126/1000,0)</f>
        <v>10998</v>
      </c>
      <c r="H20" s="97">
        <f>ROUND(('Apprp. Summary'!B127+'Apprp. Summary'!F127)/1000,0)</f>
        <v>238858</v>
      </c>
      <c r="I20" s="98">
        <f>ROUND(('Apprp. Summary'!B128+'Apprp. Summary'!F128)/1000,0)</f>
        <v>0</v>
      </c>
      <c r="J20" s="97">
        <f>('Apprp. Summary'!C131+'Apprp. Summary'!G131)/1000</f>
        <v>715860.045</v>
      </c>
    </row>
    <row r="21" spans="1:10" ht="12.75">
      <c r="A21" s="1" t="s">
        <v>1564</v>
      </c>
      <c r="B21" s="97">
        <f>ROUND(+'Apprp. Summary'!B140/1000,0)</f>
        <v>58516</v>
      </c>
      <c r="C21" s="97">
        <f>ROUND(+'Apprp. Summary'!B141/1000,0)</f>
        <v>102067</v>
      </c>
      <c r="D21" s="97">
        <f>ROUND(+'Apprp. Summary'!B142/1000,0)</f>
        <v>23928</v>
      </c>
      <c r="E21" s="97">
        <f>ROUND(+'Apprp. Summary'!B143/1000,0)</f>
        <v>0</v>
      </c>
      <c r="F21" s="97">
        <f>ROUND(+'Apprp. Summary'!B144/1000,0)</f>
        <v>27323</v>
      </c>
      <c r="G21" s="98">
        <f>ROUND(+'Apprp. Summary'!B145/1000,0)</f>
        <v>19290</v>
      </c>
      <c r="H21" s="97">
        <f>ROUND(('Apprp. Summary'!B146+'Apprp. Summary'!F146)/1000,0)</f>
        <v>152900</v>
      </c>
      <c r="I21" s="98">
        <f>ROUND(('Apprp. Summary'!B147+'Apprp. Summary'!F147)/1000,0)</f>
        <v>0</v>
      </c>
      <c r="J21" s="97">
        <f>('Apprp. Summary'!C150+'Apprp. Summary'!G150)/1000</f>
        <v>521731.535</v>
      </c>
    </row>
    <row r="22" spans="1:10" ht="12.75">
      <c r="A22" s="1" t="s">
        <v>1565</v>
      </c>
      <c r="B22" s="97">
        <f>ROUND(+'Apprp. Summary'!B159/1000,0)</f>
        <v>307752</v>
      </c>
      <c r="C22" s="97">
        <f>ROUND(+'Apprp. Summary'!B160/1000,0)</f>
        <v>58164</v>
      </c>
      <c r="D22" s="97">
        <f>ROUND(+'Apprp. Summary'!B161/1000,0)</f>
        <v>320025</v>
      </c>
      <c r="E22" s="97">
        <f>ROUND(+'Apprp. Summary'!B162/1000,0)</f>
        <v>36449</v>
      </c>
      <c r="F22" s="97">
        <f>ROUND(+'Apprp. Summary'!B163/1000,0)</f>
        <v>39998</v>
      </c>
      <c r="G22" s="98">
        <f>ROUND(+'Apprp. Summary'!B164/1000,0)</f>
        <v>53597</v>
      </c>
      <c r="H22" s="97">
        <f>ROUND(('Apprp. Summary'!B165+'Apprp. Summary'!F165)/1000,0)</f>
        <v>461530</v>
      </c>
      <c r="I22" s="98">
        <f>ROUND(('Apprp. Summary'!B166+'Apprp. Summary'!F166)/1000,0)</f>
        <v>0</v>
      </c>
      <c r="J22" s="97">
        <f>('Apprp. Summary'!C169+'Apprp. Summary'!G169)/1000</f>
        <v>1236303.589</v>
      </c>
    </row>
    <row r="23" spans="1:10" ht="12.75">
      <c r="A23" s="1"/>
      <c r="B23" s="97"/>
      <c r="C23" s="97"/>
      <c r="D23" s="97"/>
      <c r="E23" s="97"/>
      <c r="F23" s="97"/>
      <c r="G23" s="98"/>
      <c r="H23" s="97"/>
      <c r="I23" s="98"/>
      <c r="J23" s="97"/>
    </row>
    <row r="24" spans="1:10" ht="12.75">
      <c r="A24" s="1" t="s">
        <v>1566</v>
      </c>
      <c r="B24" s="97">
        <f>ROUND(+'Apprp. Summary'!B178/1000,0)</f>
        <v>169055</v>
      </c>
      <c r="C24" s="97">
        <f>ROUND(+'Apprp. Summary'!B179/1000,0)</f>
        <v>0</v>
      </c>
      <c r="D24" s="97">
        <f>ROUND(+'Apprp. Summary'!B180/1000,0)</f>
        <v>28271</v>
      </c>
      <c r="E24" s="97">
        <f>ROUND(+'Apprp. Summary'!B181/1000,0)</f>
        <v>34702</v>
      </c>
      <c r="F24" s="97">
        <f>ROUND(+'Apprp. Summary'!B182/1000,0)</f>
        <v>40790</v>
      </c>
      <c r="G24" s="98">
        <f>ROUND(+'Apprp. Summary'!B183/1000,0)</f>
        <v>14626</v>
      </c>
      <c r="H24" s="97">
        <f>ROUND(('Apprp. Summary'!B184+'Apprp. Summary'!F184)/1000,0)</f>
        <v>121444</v>
      </c>
      <c r="I24" s="98">
        <f>ROUND(('Apprp. Summary'!B185+'Apprp. Summary'!F185)/1000,0)</f>
        <v>0</v>
      </c>
      <c r="J24" s="97">
        <f>('Apprp. Summary'!C188+'Apprp. Summary'!G188)/1000</f>
        <v>492053.472</v>
      </c>
    </row>
    <row r="25" spans="1:10" ht="12.75">
      <c r="A25" s="1" t="s">
        <v>1567</v>
      </c>
      <c r="B25" s="97">
        <f>ROUND(+'Apprp. Summary'!B197/1000,0)</f>
        <v>111285</v>
      </c>
      <c r="C25" s="97">
        <f>ROUND(+'Apprp. Summary'!B198/1000,0)</f>
        <v>83220</v>
      </c>
      <c r="D25" s="97">
        <f>ROUND(+'Apprp. Summary'!B199/1000,0)</f>
        <v>18444</v>
      </c>
      <c r="E25" s="97">
        <f>ROUND(+'Apprp. Summary'!B200/1000,0)</f>
        <v>22325</v>
      </c>
      <c r="F25" s="97">
        <f>ROUND(+'Apprp. Summary'!B201/1000,0)</f>
        <v>44764</v>
      </c>
      <c r="G25" s="98">
        <f>ROUND(+'Apprp. Summary'!B202/1000,0)</f>
        <v>36161</v>
      </c>
      <c r="H25" s="97">
        <f>ROUND(('Apprp. Summary'!B203+'Apprp. Summary'!F203)/1000,0)</f>
        <v>151729</v>
      </c>
      <c r="I25" s="98">
        <f>ROUND(('Apprp. Summary'!B204+'Apprp. Summary'!F204)/1000,0)</f>
        <v>0</v>
      </c>
      <c r="J25" s="97">
        <f>('Apprp. Summary'!C207+'Apprp. Summary'!G207)/1000</f>
        <v>486300.009</v>
      </c>
    </row>
    <row r="26" spans="1:10" ht="12.75">
      <c r="A26" s="1" t="s">
        <v>1568</v>
      </c>
      <c r="B26" s="97">
        <f>ROUND(+'Apprp. Summary'!B216/1000,0)</f>
        <v>145992</v>
      </c>
      <c r="C26" s="97">
        <f>ROUND(+'Apprp. Summary'!B217/1000,0)</f>
        <v>90637</v>
      </c>
      <c r="D26" s="97">
        <f>ROUND(+'Apprp. Summary'!B218/1000,0)</f>
        <v>136394</v>
      </c>
      <c r="E26" s="97">
        <f>ROUND(+'Apprp. Summary'!B219/1000,0)</f>
        <v>94788</v>
      </c>
      <c r="F26" s="97">
        <f>ROUND(+'Apprp. Summary'!B220/1000,0)</f>
        <v>24492</v>
      </c>
      <c r="G26" s="98">
        <f>ROUND(+'Apprp. Summary'!B221/1000,0)</f>
        <v>0</v>
      </c>
      <c r="H26" s="97">
        <f>ROUND(('Apprp. Summary'!B222+'Apprp. Summary'!F222)/1000,0)</f>
        <v>156759</v>
      </c>
      <c r="I26" s="98">
        <f>ROUND(('Apprp. Summary'!B223+'Apprp. Summary'!F223)/1000,0)</f>
        <v>29051</v>
      </c>
      <c r="J26" s="97">
        <f>('Apprp. Summary'!C226+'Apprp. Summary'!G226)/1000</f>
        <v>711393.247</v>
      </c>
    </row>
    <row r="27" spans="1:10" ht="12.75">
      <c r="A27" s="1"/>
      <c r="B27" s="97"/>
      <c r="C27" s="97"/>
      <c r="D27" s="97"/>
      <c r="E27" s="97"/>
      <c r="F27" s="97"/>
      <c r="G27" s="98"/>
      <c r="H27" s="97"/>
      <c r="I27" s="98"/>
      <c r="J27" s="97"/>
    </row>
    <row r="28" spans="1:10" ht="12.75">
      <c r="A28" s="1" t="s">
        <v>1569</v>
      </c>
      <c r="B28" s="97">
        <f>ROUND(+'Apprp. Summary'!B235/1000,0)</f>
        <v>954595</v>
      </c>
      <c r="C28" s="97">
        <f>ROUND(+'Apprp. Summary'!B236/1000,0)</f>
        <v>115381</v>
      </c>
      <c r="D28" s="97">
        <f>ROUND(+'Apprp. Summary'!B237/1000,0)</f>
        <v>469822</v>
      </c>
      <c r="E28" s="97">
        <f>ROUND(+'Apprp. Summary'!B238/1000,0)</f>
        <v>104291</v>
      </c>
      <c r="F28" s="97">
        <f>ROUND(+'Apprp. Summary'!B239/1000,0)</f>
        <v>20125</v>
      </c>
      <c r="G28" s="98">
        <f>ROUND(+'Apprp. Summary'!B240/1000,0)</f>
        <v>23926</v>
      </c>
      <c r="H28" s="97">
        <f>ROUND(('Apprp. Summary'!B241+'Apprp. Summary'!F241)/1000,0)</f>
        <v>1039247</v>
      </c>
      <c r="I28" s="98">
        <f>ROUND(('Apprp. Summary'!B242+'Apprp. Summary'!F242)/1000,0)</f>
        <v>0</v>
      </c>
      <c r="J28" s="97">
        <f>('Apprp. Summary'!C245+'Apprp. Summary'!G245)/1000</f>
        <v>2818824.507</v>
      </c>
    </row>
    <row r="29" spans="1:10" ht="12.75">
      <c r="A29" s="1" t="s">
        <v>1570</v>
      </c>
      <c r="B29" s="97">
        <f>ROUND(+'Apprp. Summary'!B254/1000,0)</f>
        <v>196338</v>
      </c>
      <c r="C29" s="97">
        <f>ROUND(+'Apprp. Summary'!B255/1000,0)</f>
        <v>209105</v>
      </c>
      <c r="D29" s="97">
        <f>ROUND(+'Apprp. Summary'!B256/1000,0)</f>
        <v>31871</v>
      </c>
      <c r="E29" s="97">
        <f>ROUND(+'Apprp. Summary'!B257/1000,0)</f>
        <v>61825</v>
      </c>
      <c r="F29" s="97">
        <f>ROUND(+'Apprp. Summary'!B258/1000,0)</f>
        <v>10823</v>
      </c>
      <c r="G29" s="98">
        <f>ROUND(+'Apprp. Summary'!B259/1000,0)</f>
        <v>25955</v>
      </c>
      <c r="H29" s="97">
        <f>ROUND(('Apprp. Summary'!B260+'Apprp. Summary'!F260)/1000,0)</f>
        <v>178942</v>
      </c>
      <c r="I29" s="98">
        <f>ROUND(('Apprp. Summary'!B261+'Apprp. Summary'!F261)/1000,0)</f>
        <v>0</v>
      </c>
      <c r="J29" s="97">
        <f>('Apprp. Summary'!C264+'Apprp. Summary'!G264)/1000</f>
        <v>723491.105</v>
      </c>
    </row>
    <row r="30" spans="1:10" ht="12.75">
      <c r="A30" s="11" t="s">
        <v>1571</v>
      </c>
      <c r="B30" s="99">
        <f>ROUND(+'Apprp. Summary'!B273/1000,0)</f>
        <v>75730</v>
      </c>
      <c r="C30" s="99">
        <f>ROUND(+'Apprp. Summary'!B274/1000,0)</f>
        <v>0</v>
      </c>
      <c r="D30" s="99">
        <f>ROUND(+'Apprp. Summary'!B275/1000,0)</f>
        <v>31176</v>
      </c>
      <c r="E30" s="99">
        <f>ROUND(+'Apprp. Summary'!B276/1000,0)</f>
        <v>0</v>
      </c>
      <c r="F30" s="99">
        <f>ROUND(+'Apprp. Summary'!B277/1000,0)</f>
        <v>0</v>
      </c>
      <c r="G30" s="100">
        <f>ROUND(+'Apprp. Summary'!B278/1000,0)</f>
        <v>70266</v>
      </c>
      <c r="H30" s="99">
        <f>ROUND(('Apprp. Summary'!B279+'Apprp. Summary'!F279)/1000,0)</f>
        <v>18301</v>
      </c>
      <c r="I30" s="100">
        <f>ROUND(('Apprp. Summary'!B280+'Apprp. Summary'!F280)/1000,0)</f>
        <v>0</v>
      </c>
      <c r="J30" s="99">
        <f>('Apprp. Summary'!C283+'Apprp. Summary'!G283)/1000</f>
        <v>212833.894</v>
      </c>
    </row>
    <row r="31" spans="1:10" ht="4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18" t="s">
        <v>34</v>
      </c>
      <c r="B32" s="9"/>
      <c r="C32" s="9"/>
      <c r="D32" s="9"/>
      <c r="E32" s="9"/>
      <c r="F32" s="9"/>
      <c r="G32" s="9"/>
      <c r="H32" s="103"/>
      <c r="I32" s="103"/>
      <c r="J32" s="103"/>
    </row>
    <row r="33" spans="1:10" ht="12.75">
      <c r="A33" s="118" t="s">
        <v>35</v>
      </c>
      <c r="B33" s="9"/>
      <c r="C33" s="9"/>
      <c r="D33" s="9"/>
      <c r="E33" s="9"/>
      <c r="F33" s="9"/>
      <c r="G33" s="9"/>
      <c r="H33" s="33"/>
      <c r="I33" s="33"/>
      <c r="J33" s="33"/>
    </row>
    <row r="34" spans="1:10" ht="12.75">
      <c r="A34" s="118" t="s">
        <v>36</v>
      </c>
      <c r="B34" s="9"/>
      <c r="C34" s="9"/>
      <c r="D34" s="9"/>
      <c r="E34" s="9"/>
      <c r="F34" s="9"/>
      <c r="G34" s="9"/>
      <c r="H34" s="33"/>
      <c r="I34" s="33"/>
      <c r="J34" s="33"/>
    </row>
    <row r="35" spans="1:10" ht="12.75">
      <c r="A35" s="118" t="s">
        <v>37</v>
      </c>
      <c r="B35" s="9"/>
      <c r="C35" s="9"/>
      <c r="D35" s="9"/>
      <c r="E35" s="9"/>
      <c r="F35" s="9"/>
      <c r="G35" s="9"/>
      <c r="H35" s="33"/>
      <c r="I35" s="33"/>
      <c r="J35" s="33"/>
    </row>
    <row r="36" spans="1:10" ht="12.75">
      <c r="A36" s="118" t="s">
        <v>38</v>
      </c>
      <c r="B36" s="9"/>
      <c r="C36" s="9"/>
      <c r="D36" s="9"/>
      <c r="E36" s="9"/>
      <c r="F36" s="9"/>
      <c r="G36" s="9"/>
      <c r="H36" s="33"/>
      <c r="I36" s="33"/>
      <c r="J36" s="33"/>
    </row>
    <row r="37" spans="1:10" ht="12.75">
      <c r="A37" s="118" t="s">
        <v>39</v>
      </c>
      <c r="B37" s="9"/>
      <c r="C37" s="9"/>
      <c r="D37" s="9"/>
      <c r="E37" s="9"/>
      <c r="F37" s="9"/>
      <c r="G37" s="9"/>
      <c r="H37" s="33"/>
      <c r="I37" s="33"/>
      <c r="J37" s="33"/>
    </row>
    <row r="38" spans="1:10" ht="12.75">
      <c r="A38" s="118" t="s">
        <v>40</v>
      </c>
      <c r="B38" s="9"/>
      <c r="C38" s="9"/>
      <c r="D38" s="9"/>
      <c r="E38" s="9"/>
      <c r="F38" s="9"/>
      <c r="G38" s="9"/>
      <c r="H38" s="33"/>
      <c r="I38" s="33"/>
      <c r="J38" s="33"/>
    </row>
    <row r="39" spans="1:10" ht="12.75">
      <c r="A39" s="118" t="s">
        <v>41</v>
      </c>
      <c r="B39" s="9"/>
      <c r="C39" s="9"/>
      <c r="D39" s="9"/>
      <c r="E39" s="9"/>
      <c r="F39" s="9"/>
      <c r="G39" s="9"/>
      <c r="H39" s="33"/>
      <c r="I39" s="33"/>
      <c r="J39" s="33"/>
    </row>
    <row r="40" spans="1:10" ht="12.75">
      <c r="A40" s="9"/>
      <c r="B40" s="9"/>
      <c r="C40" s="9"/>
      <c r="D40" s="9"/>
      <c r="E40" s="9"/>
      <c r="F40" s="9"/>
      <c r="G40" s="9"/>
      <c r="H40" s="33"/>
      <c r="I40" s="33"/>
      <c r="J40" s="33"/>
    </row>
    <row r="41" spans="1:7" ht="12.75">
      <c r="A41" s="9"/>
      <c r="B41" s="9"/>
      <c r="C41" s="9"/>
      <c r="D41" s="9"/>
      <c r="E41" s="9"/>
      <c r="F41" s="9"/>
      <c r="G41" s="9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O55"/>
  <sheetViews>
    <sheetView showGridLines="0" defaultGridColor="0" zoomScale="87" zoomScaleNormal="87" colorId="22" workbookViewId="0" topLeftCell="G1">
      <selection activeCell="P12" sqref="P12"/>
    </sheetView>
  </sheetViews>
  <sheetFormatPr defaultColWidth="9.7109375" defaultRowHeight="12.75"/>
  <cols>
    <col min="1" max="1" width="8.7109375" style="0" customWidth="1"/>
    <col min="2" max="7" width="6.7109375" style="0" customWidth="1"/>
    <col min="8" max="8" width="7.7109375" style="0" customWidth="1"/>
    <col min="9" max="9" width="5.7109375" style="0" customWidth="1"/>
    <col min="10" max="13" width="7.7109375" style="0" customWidth="1"/>
    <col min="14" max="14" width="8.7109375" style="0" customWidth="1"/>
    <col min="15" max="15" width="5.7109375" style="0" customWidth="1"/>
    <col min="16" max="16" width="12.7109375" style="0" customWidth="1"/>
  </cols>
  <sheetData>
    <row r="1" spans="1:14" ht="13.5" customHeight="1">
      <c r="A1" s="88" t="s">
        <v>42</v>
      </c>
      <c r="B1" s="84"/>
      <c r="C1" s="84"/>
      <c r="D1" s="35"/>
      <c r="E1" s="35"/>
      <c r="F1" s="35"/>
      <c r="G1" s="35"/>
      <c r="H1" s="35"/>
      <c r="I1" s="9"/>
      <c r="J1" s="9"/>
      <c r="K1" s="9"/>
      <c r="L1" s="9"/>
      <c r="M1" s="9"/>
      <c r="N1" s="9"/>
    </row>
    <row r="2" spans="1:14" ht="13.5" customHeight="1">
      <c r="A2" s="88"/>
      <c r="B2" s="84"/>
      <c r="C2" s="84"/>
      <c r="D2" s="35"/>
      <c r="E2" s="35"/>
      <c r="F2" s="35"/>
      <c r="G2" s="35"/>
      <c r="H2" s="35"/>
      <c r="I2" s="9"/>
      <c r="J2" s="9"/>
      <c r="K2" s="9"/>
      <c r="L2" s="9"/>
      <c r="M2" s="9"/>
      <c r="N2" s="9"/>
    </row>
    <row r="3" spans="1:14" ht="13.5" customHeight="1">
      <c r="A3" s="88" t="s">
        <v>43</v>
      </c>
      <c r="B3" s="84"/>
      <c r="C3" s="84"/>
      <c r="D3" s="35"/>
      <c r="E3" s="35"/>
      <c r="F3" s="35"/>
      <c r="G3" s="35"/>
      <c r="H3" s="35"/>
      <c r="I3" s="9"/>
      <c r="J3" s="9"/>
      <c r="K3" s="9"/>
      <c r="L3" s="9"/>
      <c r="M3" s="9"/>
      <c r="N3" s="9"/>
    </row>
    <row r="4" spans="1:14" ht="13.5" customHeight="1">
      <c r="A4" s="88" t="s">
        <v>44</v>
      </c>
      <c r="B4" s="84"/>
      <c r="C4" s="84"/>
      <c r="D4" s="35"/>
      <c r="E4" s="35"/>
      <c r="F4" s="35"/>
      <c r="G4" s="35"/>
      <c r="H4" s="35"/>
      <c r="I4" s="9"/>
      <c r="J4" s="9"/>
      <c r="K4" s="9"/>
      <c r="L4" s="9"/>
      <c r="M4" s="9"/>
      <c r="N4" s="9"/>
    </row>
    <row r="5" spans="1:14" ht="13.5" customHeight="1">
      <c r="A5" s="119" t="s">
        <v>45</v>
      </c>
      <c r="B5" s="84"/>
      <c r="C5" s="84"/>
      <c r="D5" s="35"/>
      <c r="E5" s="35"/>
      <c r="F5" s="35"/>
      <c r="G5" s="35"/>
      <c r="H5" s="35"/>
      <c r="I5" s="9"/>
      <c r="J5" s="9"/>
      <c r="K5" s="9"/>
      <c r="L5" s="9"/>
      <c r="M5" s="9"/>
      <c r="N5" s="9"/>
    </row>
    <row r="6" spans="1:1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9.75" customHeight="1">
      <c r="A7" s="4"/>
      <c r="B7" s="89" t="s">
        <v>46</v>
      </c>
      <c r="C7" s="120"/>
      <c r="D7" s="120"/>
      <c r="E7" s="120"/>
      <c r="F7" s="120"/>
      <c r="G7" s="120"/>
      <c r="H7" s="120"/>
      <c r="I7" s="120"/>
      <c r="J7" s="90"/>
      <c r="K7" s="121"/>
      <c r="L7" s="91"/>
      <c r="M7" s="92"/>
      <c r="N7" s="122"/>
      <c r="O7" s="121" t="s">
        <v>1526</v>
      </c>
    </row>
    <row r="8" spans="1:15" ht="9.75" customHeight="1">
      <c r="A8" s="1"/>
      <c r="B8" s="1"/>
      <c r="C8" s="1"/>
      <c r="D8" s="1"/>
      <c r="E8" s="1"/>
      <c r="F8" s="1"/>
      <c r="G8" s="16"/>
      <c r="H8" s="1"/>
      <c r="I8" s="16"/>
      <c r="J8" s="123"/>
      <c r="K8" s="124" t="s">
        <v>47</v>
      </c>
      <c r="L8" s="124"/>
      <c r="M8" s="125"/>
      <c r="N8" s="123"/>
      <c r="O8" s="126" t="s">
        <v>48</v>
      </c>
    </row>
    <row r="9" spans="1:15" ht="9.75" customHeight="1">
      <c r="A9" s="13"/>
      <c r="B9" s="1"/>
      <c r="C9" s="1"/>
      <c r="D9" s="1"/>
      <c r="E9" s="1"/>
      <c r="F9" s="1"/>
      <c r="G9" s="16"/>
      <c r="H9" s="1"/>
      <c r="I9" s="16"/>
      <c r="J9" s="123" t="s">
        <v>126</v>
      </c>
      <c r="K9" s="122" t="s">
        <v>49</v>
      </c>
      <c r="L9" s="122" t="s">
        <v>50</v>
      </c>
      <c r="M9" s="122" t="s">
        <v>50</v>
      </c>
      <c r="N9" s="123" t="s">
        <v>126</v>
      </c>
      <c r="O9" s="126" t="s">
        <v>51</v>
      </c>
    </row>
    <row r="10" spans="1:15" ht="9.75" customHeight="1">
      <c r="A10" s="13"/>
      <c r="B10" s="124" t="s">
        <v>1546</v>
      </c>
      <c r="C10" s="124"/>
      <c r="D10" s="124"/>
      <c r="E10" s="124"/>
      <c r="F10" s="124"/>
      <c r="G10" s="127"/>
      <c r="H10" s="124" t="s">
        <v>11</v>
      </c>
      <c r="I10" s="125"/>
      <c r="J10" s="123" t="s">
        <v>1526</v>
      </c>
      <c r="K10" s="123" t="s">
        <v>52</v>
      </c>
      <c r="L10" s="123" t="s">
        <v>48</v>
      </c>
      <c r="M10" s="123" t="s">
        <v>48</v>
      </c>
      <c r="N10" s="123" t="s">
        <v>53</v>
      </c>
      <c r="O10" s="126" t="s">
        <v>54</v>
      </c>
    </row>
    <row r="11" spans="1:15" ht="9.75" customHeight="1">
      <c r="A11" s="13"/>
      <c r="B11" s="183" t="s">
        <v>1548</v>
      </c>
      <c r="C11" s="183" t="s">
        <v>1549</v>
      </c>
      <c r="D11" s="183" t="s">
        <v>1550</v>
      </c>
      <c r="E11" s="183" t="s">
        <v>1551</v>
      </c>
      <c r="F11" s="183" t="s">
        <v>1552</v>
      </c>
      <c r="G11" s="123" t="s">
        <v>1553</v>
      </c>
      <c r="H11" s="183" t="s">
        <v>1554</v>
      </c>
      <c r="I11" s="184" t="s">
        <v>1555</v>
      </c>
      <c r="J11" s="123" t="s">
        <v>55</v>
      </c>
      <c r="K11" s="123" t="s">
        <v>1458</v>
      </c>
      <c r="L11" s="123" t="s">
        <v>56</v>
      </c>
      <c r="M11" s="123" t="s">
        <v>57</v>
      </c>
      <c r="N11" s="123" t="s">
        <v>1444</v>
      </c>
      <c r="O11" s="128" t="s">
        <v>58</v>
      </c>
    </row>
    <row r="12" spans="1:15" ht="12.75">
      <c r="A12" s="129" t="s">
        <v>13</v>
      </c>
      <c r="B12" s="130">
        <f aca="true" t="shared" si="0" ref="B12:M12">SUM(B14:B32)</f>
        <v>3537843</v>
      </c>
      <c r="C12" s="130">
        <f t="shared" si="0"/>
        <v>1337567</v>
      </c>
      <c r="D12" s="130">
        <f t="shared" si="0"/>
        <v>1766894</v>
      </c>
      <c r="E12" s="130">
        <f t="shared" si="0"/>
        <v>862369</v>
      </c>
      <c r="F12" s="130">
        <f t="shared" si="0"/>
        <v>518996</v>
      </c>
      <c r="G12" s="131">
        <f t="shared" si="0"/>
        <v>370792</v>
      </c>
      <c r="H12" s="130">
        <f t="shared" si="0"/>
        <v>3684118</v>
      </c>
      <c r="I12" s="131">
        <f t="shared" si="0"/>
        <v>257344</v>
      </c>
      <c r="J12" s="131">
        <f t="shared" si="0"/>
        <v>12618932.863489943</v>
      </c>
      <c r="K12" s="131">
        <f t="shared" si="0"/>
        <v>2560959.6800000006</v>
      </c>
      <c r="L12" s="131">
        <f t="shared" si="0"/>
        <v>487082.84200000006</v>
      </c>
      <c r="M12" s="131">
        <f t="shared" si="0"/>
        <v>2399126.966</v>
      </c>
      <c r="N12" s="131">
        <f>SUM(J12:M12)</f>
        <v>18066102.351489946</v>
      </c>
      <c r="O12" s="132">
        <f>(J12/N12)*100</f>
        <v>69.84867359864833</v>
      </c>
    </row>
    <row r="13" spans="1:15" ht="4.5" customHeight="1">
      <c r="A13" s="133"/>
      <c r="B13" s="134"/>
      <c r="C13" s="134"/>
      <c r="D13" s="134"/>
      <c r="E13" s="134"/>
      <c r="F13" s="134"/>
      <c r="G13" s="135"/>
      <c r="H13" s="134"/>
      <c r="I13" s="135"/>
      <c r="J13" s="135"/>
      <c r="K13" s="135"/>
      <c r="L13" s="135"/>
      <c r="M13" s="135"/>
      <c r="N13" s="135"/>
      <c r="O13" s="132"/>
    </row>
    <row r="14" spans="1:15" ht="12.75">
      <c r="A14" s="133" t="s">
        <v>1557</v>
      </c>
      <c r="B14" s="136">
        <f>ROUND(+'Apprp. Summary'!C7/1000,0)</f>
        <v>194858</v>
      </c>
      <c r="C14" s="136">
        <f>ROUND(+'Apprp. Summary'!C8/1000,0)</f>
        <v>38408</v>
      </c>
      <c r="D14" s="136">
        <f>ROUND(+'Apprp. Summary'!C9/1000,0)</f>
        <v>103680</v>
      </c>
      <c r="E14" s="136">
        <f>ROUND(+'Apprp. Summary'!C10/1000,0)</f>
        <v>52627</v>
      </c>
      <c r="F14" s="136">
        <f>ROUND(+'Apprp. Summary'!C11/1000,0)</f>
        <v>55514</v>
      </c>
      <c r="G14" s="137">
        <f>ROUND(+'Apprp. Summary'!C12/1000,0)</f>
        <v>7019</v>
      </c>
      <c r="H14" s="136">
        <f>ROUND(('Apprp. Summary'!C13+'Apprp. Summary'!G13)/1000,0)</f>
        <v>157271</v>
      </c>
      <c r="I14" s="137">
        <f>ROUND(('Apprp. Summary'!C14+'Apprp. Summary'!G14)/1000,0)</f>
        <v>35937</v>
      </c>
      <c r="J14" s="137">
        <f>'Apprp. Summary'!C17/1000</f>
        <v>645312.908</v>
      </c>
      <c r="K14" s="137">
        <f>16197.562+189542.198</f>
        <v>205739.76</v>
      </c>
      <c r="L14" s="137">
        <v>0</v>
      </c>
      <c r="M14" s="137">
        <v>97575.907</v>
      </c>
      <c r="N14" s="137">
        <f>SUM(J14:M14)</f>
        <v>948628.5750000001</v>
      </c>
      <c r="O14" s="132">
        <f>(J14/N14)*100</f>
        <v>68.02587704044231</v>
      </c>
    </row>
    <row r="15" spans="1:15" ht="12.75">
      <c r="A15" s="133" t="s">
        <v>1558</v>
      </c>
      <c r="B15" s="136">
        <f>ROUND(+'Apprp. Summary'!C26/1000,0)</f>
        <v>76176</v>
      </c>
      <c r="C15" s="136">
        <f>ROUND(+'Apprp. Summary'!C27/1000,0)</f>
        <v>0</v>
      </c>
      <c r="D15" s="136">
        <f>ROUND(+'Apprp. Summary'!C28/1000,0)</f>
        <v>110282</v>
      </c>
      <c r="E15" s="136">
        <f>ROUND(+'Apprp. Summary'!C29/1000,0)</f>
        <v>0</v>
      </c>
      <c r="F15" s="136">
        <f>ROUND(+'Apprp. Summary'!C30/1000,0)</f>
        <v>28717</v>
      </c>
      <c r="G15" s="137">
        <f>ROUND(+'Apprp. Summary'!C31/1000,0)</f>
        <v>34176</v>
      </c>
      <c r="H15" s="136">
        <f>ROUND((+'Apprp. Summary'!C32+'Apprp. Summary'!G32)/1000,0)</f>
        <v>75378</v>
      </c>
      <c r="I15" s="137">
        <f>ROUND((+'Apprp. Summary'!C33+'Apprp. Summary'!G33)/1000,0)</f>
        <v>0</v>
      </c>
      <c r="J15" s="137">
        <f>'Apprp. Summary'!C36/1000+'Apprp. Summary'!G36</f>
        <v>384861.04</v>
      </c>
      <c r="K15" s="137">
        <v>59274.911</v>
      </c>
      <c r="L15" s="137">
        <v>0</v>
      </c>
      <c r="M15" s="137">
        <v>73936.175</v>
      </c>
      <c r="N15" s="137">
        <f>SUM(J15:M15)</f>
        <v>518072.126</v>
      </c>
      <c r="O15" s="132">
        <f>(J15/N15)*100</f>
        <v>74.28715437201498</v>
      </c>
    </row>
    <row r="16" spans="1:15" ht="12.75">
      <c r="A16" s="133" t="s">
        <v>1559</v>
      </c>
      <c r="B16" s="136">
        <f>ROUND(+'Apprp. Summary'!C45/1000,0)</f>
        <v>549533</v>
      </c>
      <c r="C16" s="136">
        <f>ROUND(+'Apprp. Summary'!C46/1000,0)</f>
        <v>181815</v>
      </c>
      <c r="D16" s="136">
        <f>ROUND(+'Apprp. Summary'!C47/1000,0)</f>
        <v>150225</v>
      </c>
      <c r="E16" s="136">
        <f>ROUND(+'Apprp. Summary'!C48/1000,0)</f>
        <v>99579</v>
      </c>
      <c r="F16" s="136">
        <f>ROUND(+'Apprp. Summary'!C49/1000,0)</f>
        <v>0</v>
      </c>
      <c r="G16" s="137">
        <f>ROUND(+'Apprp. Summary'!C50/1000,0)</f>
        <v>0</v>
      </c>
      <c r="H16" s="136">
        <f>ROUND((+'Apprp. Summary'!C51+'Apprp. Summary'!G51)/1000,0)</f>
        <v>659218</v>
      </c>
      <c r="I16" s="137">
        <f>ROUND((+'Apprp. Summary'!C52+'Apprp. Summary'!G52)/1000,0)</f>
        <v>0</v>
      </c>
      <c r="J16" s="137">
        <f>'Apprp. Summary'!C55/1000</f>
        <v>1640370.102489943</v>
      </c>
      <c r="K16" s="137">
        <v>286054.466</v>
      </c>
      <c r="L16" s="137">
        <v>0</v>
      </c>
      <c r="M16" s="137">
        <f>(11887.309+24788.916+167379.446)+165177.943</f>
        <v>369233.614</v>
      </c>
      <c r="N16" s="137">
        <f>SUM(J16:M16)</f>
        <v>2295658.1824899428</v>
      </c>
      <c r="O16" s="132">
        <f>(J16/N16)*100</f>
        <v>71.45532880294688</v>
      </c>
    </row>
    <row r="17" spans="1:15" ht="4.5" customHeight="1">
      <c r="A17" s="133"/>
      <c r="B17" s="136"/>
      <c r="C17" s="136"/>
      <c r="D17" s="136"/>
      <c r="E17" s="136"/>
      <c r="F17" s="136"/>
      <c r="G17" s="137"/>
      <c r="H17" s="136"/>
      <c r="I17" s="137"/>
      <c r="J17" s="137"/>
      <c r="K17" s="137"/>
      <c r="L17" s="137"/>
      <c r="M17" s="137"/>
      <c r="N17" s="137"/>
      <c r="O17" s="132"/>
    </row>
    <row r="18" spans="1:15" ht="12.75">
      <c r="A18" s="133" t="s">
        <v>1560</v>
      </c>
      <c r="B18" s="136">
        <f>ROUND(+'Apprp. Summary'!C64/1000,0)</f>
        <v>225273</v>
      </c>
      <c r="C18" s="136">
        <f>ROUND(+'Apprp. Summary'!C65/1000,0)</f>
        <v>241707</v>
      </c>
      <c r="D18" s="136">
        <f>ROUND(+'Apprp. Summary'!C66/1000,0)</f>
        <v>54872</v>
      </c>
      <c r="E18" s="136">
        <f>ROUND(+'Apprp. Summary'!C67/1000,0)</f>
        <v>80605</v>
      </c>
      <c r="F18" s="136">
        <f>ROUND(+'Apprp. Summary'!C68/1000,0)</f>
        <v>121893</v>
      </c>
      <c r="G18" s="137">
        <f>ROUND(+'Apprp. Summary'!C69/1000,0)</f>
        <v>45480</v>
      </c>
      <c r="H18" s="136">
        <f>ROUND((+'Apprp. Summary'!C70+'Apprp. Summary'!G70)/1000,0)</f>
        <v>131005</v>
      </c>
      <c r="I18" s="137">
        <f>ROUND((+'Apprp. Summary'!C71+'Apprp. Summary'!G71)/1000,0)</f>
        <v>141619</v>
      </c>
      <c r="J18" s="137">
        <f>'Apprp. Summary'!C74/1000</f>
        <v>1058910.32</v>
      </c>
      <c r="K18" s="137">
        <f>10850.032+85340.402</f>
        <v>96190.43400000001</v>
      </c>
      <c r="L18" s="137">
        <v>0</v>
      </c>
      <c r="M18" s="137">
        <f>274207.278+52867.903</f>
        <v>327075.181</v>
      </c>
      <c r="N18" s="137">
        <f>SUM(J18:M18)</f>
        <v>1482175.935</v>
      </c>
      <c r="O18" s="132">
        <f>(J18/N18)*100</f>
        <v>71.44295727618868</v>
      </c>
    </row>
    <row r="19" spans="1:15" ht="12.75">
      <c r="A19" s="133" t="s">
        <v>1561</v>
      </c>
      <c r="B19" s="136">
        <f>ROUND(+'Apprp. Summary'!C83/1000,0)</f>
        <v>83325</v>
      </c>
      <c r="C19" s="136">
        <f>ROUND(+'Apprp. Summary'!C84/1000,0)</f>
        <v>73202</v>
      </c>
      <c r="D19" s="136">
        <f>ROUND(+'Apprp. Summary'!C85/1000,0)</f>
        <v>132680</v>
      </c>
      <c r="E19" s="136">
        <f>ROUND(+'Apprp. Summary'!C86/1000,0)</f>
        <v>28700</v>
      </c>
      <c r="F19" s="136">
        <f>ROUND(+'Apprp. Summary'!C87/1000,0)</f>
        <v>25390</v>
      </c>
      <c r="G19" s="137">
        <f>ROUND(+'Apprp. Summary'!C88/1000,0)</f>
        <v>16252</v>
      </c>
      <c r="H19" s="136">
        <f>ROUND((+'Apprp. Summary'!C89+'Apprp. Summary'!G89)/1000,0)</f>
        <v>64885</v>
      </c>
      <c r="I19" s="137">
        <f>ROUND((+'Apprp. Summary'!C90+'Apprp. Summary'!G90)/1000,0)</f>
        <v>0</v>
      </c>
      <c r="J19" s="137">
        <f>'Apprp. Summary'!C93/1000</f>
        <v>424432.4</v>
      </c>
      <c r="K19" s="137">
        <v>128724.6</v>
      </c>
      <c r="L19" s="137">
        <f>18263.5+30732.1+25367.6+14137.8+600</f>
        <v>89101</v>
      </c>
      <c r="M19" s="137">
        <v>125036.9</v>
      </c>
      <c r="N19" s="137">
        <f>SUM(J19:M19)</f>
        <v>767294.9</v>
      </c>
      <c r="O19" s="132">
        <f>(J19/N19)*100</f>
        <v>55.31542044655843</v>
      </c>
    </row>
    <row r="20" spans="1:15" ht="12.75">
      <c r="A20" s="133" t="s">
        <v>1562</v>
      </c>
      <c r="B20" s="136">
        <f>ROUND(+'Apprp. Summary'!C102/1000,0)</f>
        <v>107394</v>
      </c>
      <c r="C20" s="136">
        <f>ROUND(+'Apprp. Summary'!C103/1000,0)</f>
        <v>75409</v>
      </c>
      <c r="D20" s="136">
        <f>ROUND(+'Apprp. Summary'!C104/1000,0)</f>
        <v>110480</v>
      </c>
      <c r="E20" s="136">
        <f>ROUND(+'Apprp. Summary'!C105/1000,0)</f>
        <v>65820</v>
      </c>
      <c r="F20" s="136">
        <f>ROUND(+'Apprp. Summary'!C106/1000,0)</f>
        <v>35487</v>
      </c>
      <c r="G20" s="137">
        <f>ROUND(+'Apprp. Summary'!C107/1000,0)</f>
        <v>0</v>
      </c>
      <c r="H20" s="136">
        <f>ROUND((+'Apprp. Summary'!C108+'Apprp. Summary'!G108)/1000,0)</f>
        <v>35188</v>
      </c>
      <c r="I20" s="137">
        <f>ROUND((+'Apprp. Summary'!C109+'Apprp. Summary'!G109)/1000,0)</f>
        <v>50386</v>
      </c>
      <c r="J20" s="137">
        <f>'Apprp. Summary'!C112/1000</f>
        <v>546254.69</v>
      </c>
      <c r="K20" s="137">
        <f>61466.068+12700.319</f>
        <v>74166.387</v>
      </c>
      <c r="L20" s="137">
        <v>0</v>
      </c>
      <c r="M20" s="137">
        <f>76309.096+133240</f>
        <v>209549.09600000002</v>
      </c>
      <c r="N20" s="137">
        <f>SUM(J20:M20)</f>
        <v>829970.173</v>
      </c>
      <c r="O20" s="132">
        <f>(J20/N20)*100</f>
        <v>65.8161832521661</v>
      </c>
    </row>
    <row r="21" spans="1:15" ht="4.5" customHeight="1">
      <c r="A21" s="133"/>
      <c r="B21" s="136"/>
      <c r="C21" s="136"/>
      <c r="D21" s="136"/>
      <c r="E21" s="136"/>
      <c r="F21" s="136"/>
      <c r="G21" s="137"/>
      <c r="H21" s="136"/>
      <c r="I21" s="137"/>
      <c r="J21" s="137"/>
      <c r="K21" s="137"/>
      <c r="L21" s="137"/>
      <c r="M21" s="137"/>
      <c r="N21" s="137"/>
      <c r="O21" s="132"/>
    </row>
    <row r="22" spans="1:15" ht="12.75">
      <c r="A22" s="133" t="s">
        <v>1563</v>
      </c>
      <c r="B22" s="136">
        <f>ROUND(+'Apprp. Summary'!C121/1000,0)</f>
        <v>240698</v>
      </c>
      <c r="C22" s="136">
        <f>ROUND(+'Apprp. Summary'!C122/1000,0)</f>
        <v>44648</v>
      </c>
      <c r="D22" s="136">
        <f>ROUND(+'Apprp. Summary'!C123/1000,0)</f>
        <v>0</v>
      </c>
      <c r="E22" s="136">
        <f>ROUND(+'Apprp. Summary'!C124/1000,0)</f>
        <v>149522</v>
      </c>
      <c r="F22" s="136">
        <f>ROUND(+'Apprp. Summary'!C125/1000,0)</f>
        <v>28605</v>
      </c>
      <c r="G22" s="137">
        <f>ROUND(+'Apprp. Summary'!C126/1000,0)</f>
        <v>11301</v>
      </c>
      <c r="H22" s="136">
        <f>ROUND((+'Apprp. Summary'!C127+'Apprp. Summary'!G127)/1000,0)</f>
        <v>241085</v>
      </c>
      <c r="I22" s="137">
        <f>ROUND((+'Apprp. Summary'!C128+'Apprp. Summary'!G128)/1000,0)</f>
        <v>0</v>
      </c>
      <c r="J22" s="137">
        <f>('Apprp. Summary'!C131/1000)+('Apprp. Summary'!G131/1000)</f>
        <v>715860.045</v>
      </c>
      <c r="K22" s="137">
        <v>102899.701</v>
      </c>
      <c r="L22" s="137">
        <v>0</v>
      </c>
      <c r="M22" s="137">
        <v>190635.125</v>
      </c>
      <c r="N22" s="137">
        <f>SUM(J22:M22)</f>
        <v>1009394.871</v>
      </c>
      <c r="O22" s="132">
        <f>(J22/N22)*100</f>
        <v>70.91972285244552</v>
      </c>
    </row>
    <row r="23" spans="1:15" ht="12.75">
      <c r="A23" s="133" t="s">
        <v>1564</v>
      </c>
      <c r="B23" s="136">
        <f>ROUND(+'Apprp. Summary'!C140/1000,0)</f>
        <v>63612</v>
      </c>
      <c r="C23" s="136">
        <f>ROUND(+'Apprp. Summary'!C141/1000,0)</f>
        <v>111776</v>
      </c>
      <c r="D23" s="136">
        <f>ROUND(+'Apprp. Summary'!C142/1000,0)</f>
        <v>26298</v>
      </c>
      <c r="E23" s="136">
        <f>ROUND(+'Apprp. Summary'!C143/1000,0)</f>
        <v>0</v>
      </c>
      <c r="F23" s="136">
        <f>ROUND(+'Apprp. Summary'!C144/1000,0)</f>
        <v>30680</v>
      </c>
      <c r="G23" s="137">
        <f>ROUND(+'Apprp. Summary'!C145/1000,0)</f>
        <v>22427</v>
      </c>
      <c r="H23" s="136">
        <f>ROUND((+'Apprp. Summary'!C146+'Apprp. Summary'!G146)/1000,0)</f>
        <v>162540</v>
      </c>
      <c r="I23" s="137">
        <f>ROUND((+'Apprp. Summary'!C147+'Apprp. Summary'!G147)/1000,0)</f>
        <v>0</v>
      </c>
      <c r="J23" s="137">
        <f>'Apprp. Summary'!C150/1000+'Apprp. Summary'!G150/1000</f>
        <v>521731.53500000003</v>
      </c>
      <c r="K23" s="137">
        <f>9194.915+103398.932</f>
        <v>112593.84700000001</v>
      </c>
      <c r="L23" s="137">
        <f>17907.257+22616.649+17250.364</f>
        <v>57774.270000000004</v>
      </c>
      <c r="M23" s="137">
        <f>33136.111+27286.16</f>
        <v>60422.27099999999</v>
      </c>
      <c r="N23" s="137">
        <f>SUM(J23:M23)</f>
        <v>752521.923</v>
      </c>
      <c r="O23" s="132">
        <f>(J23/N23)*100</f>
        <v>69.33107449150023</v>
      </c>
    </row>
    <row r="24" spans="1:15" ht="12.75">
      <c r="A24" s="133" t="s">
        <v>1565</v>
      </c>
      <c r="B24" s="136">
        <f>ROUND('Apprp. Summary'!C159/1000,0)</f>
        <v>316107</v>
      </c>
      <c r="C24" s="136">
        <f>ROUND('Apprp. Summary'!C160/1000,0)</f>
        <v>59518</v>
      </c>
      <c r="D24" s="136">
        <f>ROUND('Apprp. Summary'!C161/1000,0)</f>
        <v>327107</v>
      </c>
      <c r="E24" s="136">
        <f>ROUND('Apprp. Summary'!C162/1000,0)</f>
        <v>36931</v>
      </c>
      <c r="F24" s="136">
        <f>ROUND('Apprp. Summary'!C163/1000,0)</f>
        <v>40901</v>
      </c>
      <c r="G24" s="137">
        <f>ROUND('Apprp. Summary'!C164/1000,0)</f>
        <v>55827</v>
      </c>
      <c r="H24" s="136">
        <f>ROUND((+'Apprp. Summary'!C165+'Apprp. Summary'!G165)/1000,0)</f>
        <v>471085</v>
      </c>
      <c r="I24" s="137">
        <f>ROUND((+'Apprp. Summary'!C166+'Apprp. Summary'!G166)/1000,0)</f>
        <v>0</v>
      </c>
      <c r="J24" s="137">
        <f>'Apprp. Summary'!C169/1000</f>
        <v>1236303.589</v>
      </c>
      <c r="K24" s="137">
        <f>19940.804+166485.961</f>
        <v>186426.765</v>
      </c>
      <c r="L24" s="137">
        <v>0</v>
      </c>
      <c r="M24" s="137">
        <f>262479.235+84583.7</f>
        <v>347062.935</v>
      </c>
      <c r="N24" s="137">
        <f>SUM(J24:M24)</f>
        <v>1769793.2889999999</v>
      </c>
      <c r="O24" s="132">
        <f>(J24/N24)*100</f>
        <v>69.85581856842491</v>
      </c>
    </row>
    <row r="25" spans="1:15" ht="4.5" customHeight="1">
      <c r="A25" s="133"/>
      <c r="B25" s="136"/>
      <c r="C25" s="136"/>
      <c r="D25" s="136"/>
      <c r="E25" s="136"/>
      <c r="F25" s="136"/>
      <c r="G25" s="137"/>
      <c r="H25" s="136"/>
      <c r="I25" s="137"/>
      <c r="J25" s="137"/>
      <c r="K25" s="137"/>
      <c r="L25" s="137"/>
      <c r="M25" s="137"/>
      <c r="N25" s="137"/>
      <c r="O25" s="132"/>
    </row>
    <row r="26" spans="1:15" ht="12.75">
      <c r="A26" s="133" t="s">
        <v>1566</v>
      </c>
      <c r="B26" s="136">
        <f>ROUND(+'Apprp. Summary'!C178/1000,0)</f>
        <v>170085</v>
      </c>
      <c r="C26" s="136">
        <f>ROUND(+'Apprp. Summary'!C179/1000,0)</f>
        <v>0</v>
      </c>
      <c r="D26" s="136">
        <f>ROUND(+'Apprp. Summary'!C180/1000,0)</f>
        <v>28488</v>
      </c>
      <c r="E26" s="136">
        <f>ROUND(+'Apprp. Summary'!C181/1000,0)</f>
        <v>35050</v>
      </c>
      <c r="F26" s="136">
        <f>ROUND(+'Apprp. Summary'!C182/1000,0)</f>
        <v>41281</v>
      </c>
      <c r="G26" s="137">
        <f>ROUND(+'Apprp. Summary'!C183/1000,0)</f>
        <v>14760</v>
      </c>
      <c r="H26" s="136">
        <f>ROUND((+'Apprp. Summary'!C184+'Apprp. Summary'!G184)/1000,0)</f>
        <v>124472</v>
      </c>
      <c r="I26" s="137">
        <f>ROUND((+'Apprp. Summary'!C185+'Apprp. Summary'!G185)/1000,0)</f>
        <v>0</v>
      </c>
      <c r="J26" s="137">
        <f>('Apprp. Summary'!C188/1000)+('Apprp. Summary'!G188/1000)</f>
        <v>492053.472</v>
      </c>
      <c r="K26" s="137">
        <f>8290.684+65871.41</f>
        <v>74162.094</v>
      </c>
      <c r="L26" s="137">
        <v>0</v>
      </c>
      <c r="M26" s="137">
        <v>73682.191</v>
      </c>
      <c r="N26" s="137">
        <f>SUM(J26:M26)</f>
        <v>639897.757</v>
      </c>
      <c r="O26" s="132">
        <f>(J26/N26)*100</f>
        <v>76.89563943884868</v>
      </c>
    </row>
    <row r="27" spans="1:15" ht="12.75">
      <c r="A27" s="133" t="s">
        <v>1567</v>
      </c>
      <c r="B27" s="136">
        <f>ROUND(+'Apprp. Summary'!C197/1000,0)</f>
        <v>116023</v>
      </c>
      <c r="C27" s="136">
        <f>ROUND(+'Apprp. Summary'!C198/1000,0)</f>
        <v>86791</v>
      </c>
      <c r="D27" s="136">
        <f>ROUND(+'Apprp. Summary'!C199/1000,0)</f>
        <v>19143</v>
      </c>
      <c r="E27" s="136">
        <f>ROUND(+'Apprp. Summary'!C200/1000,0)</f>
        <v>23732</v>
      </c>
      <c r="F27" s="136">
        <f>ROUND(+'Apprp. Summary'!C201/1000,0)</f>
        <v>47030</v>
      </c>
      <c r="G27" s="137">
        <f>ROUND(+'Apprp. Summary'!C202/1000,0)</f>
        <v>37969</v>
      </c>
      <c r="H27" s="136">
        <f>ROUND((+'Apprp. Summary'!C203+'Apprp. Summary'!G203)/1000,0)</f>
        <v>149804</v>
      </c>
      <c r="I27" s="137">
        <f>ROUND((+'Apprp. Summary'!C204+'Apprp. Summary'!G204)/1000,0)</f>
        <v>0</v>
      </c>
      <c r="J27" s="137">
        <f>'Apprp. Summary'!C207/1000+'Apprp. Summary'!G207/1000</f>
        <v>486300.009</v>
      </c>
      <c r="K27" s="137">
        <v>95892.099</v>
      </c>
      <c r="L27" s="137">
        <v>0</v>
      </c>
      <c r="M27" s="137">
        <v>157945.419</v>
      </c>
      <c r="N27" s="137">
        <f>SUM(J27:M27)</f>
        <v>740137.527</v>
      </c>
      <c r="O27" s="132">
        <f>(J27/N27)*100</f>
        <v>65.70400652039902</v>
      </c>
    </row>
    <row r="28" spans="1:15" ht="12.75">
      <c r="A28" s="133" t="s">
        <v>1568</v>
      </c>
      <c r="B28" s="136">
        <f>ROUND(+'Apprp. Summary'!C216/1000,0)</f>
        <v>153606</v>
      </c>
      <c r="C28" s="136">
        <f>ROUND(+'Apprp. Summary'!C217/1000,0)</f>
        <v>93477</v>
      </c>
      <c r="D28" s="136">
        <f>ROUND(+'Apprp. Summary'!C218/1000,0)</f>
        <v>141356</v>
      </c>
      <c r="E28" s="136">
        <f>ROUND(+'Apprp. Summary'!C219/1000,0)</f>
        <v>101601</v>
      </c>
      <c r="F28" s="136">
        <f>ROUND(+'Apprp. Summary'!C220/1000,0)</f>
        <v>25324</v>
      </c>
      <c r="G28" s="137">
        <f>ROUND(+'Apprp. Summary'!C221/1000,0)</f>
        <v>0</v>
      </c>
      <c r="H28" s="136">
        <f>ROUND((+'Apprp. Summary'!C222+'Apprp. Summary'!G222)/1000,0)</f>
        <v>159576</v>
      </c>
      <c r="I28" s="137">
        <f>ROUND((+'Apprp. Summary'!C223+'Apprp. Summary'!G223)/1000,0)</f>
        <v>29402</v>
      </c>
      <c r="J28" s="137">
        <f>'Apprp. Summary'!C226/1000+'Apprp. Summary'!G226/1000</f>
        <v>711393.247</v>
      </c>
      <c r="K28" s="137">
        <f>11727.3+71327.303</f>
        <v>83054.603</v>
      </c>
      <c r="L28" s="137">
        <f>6303.2+20861.4+18122.6</f>
        <v>45287.2</v>
      </c>
      <c r="M28" s="137">
        <v>74993.901</v>
      </c>
      <c r="N28" s="137">
        <f>SUM(J28:M28)</f>
        <v>914728.9509999999</v>
      </c>
      <c r="O28" s="132">
        <f>(J28/N28)*100</f>
        <v>77.77093380747277</v>
      </c>
    </row>
    <row r="29" spans="1:15" ht="4.5" customHeight="1">
      <c r="A29" s="133"/>
      <c r="B29" s="136"/>
      <c r="C29" s="136"/>
      <c r="D29" s="136"/>
      <c r="E29" s="136"/>
      <c r="F29" s="136"/>
      <c r="G29" s="137"/>
      <c r="H29" s="136"/>
      <c r="I29" s="137"/>
      <c r="J29" s="137"/>
      <c r="K29" s="137"/>
      <c r="L29" s="137"/>
      <c r="M29" s="137"/>
      <c r="N29" s="137"/>
      <c r="O29" s="132"/>
    </row>
    <row r="30" spans="1:15" ht="12.75">
      <c r="A30" s="133" t="s">
        <v>1569</v>
      </c>
      <c r="B30" s="136">
        <f>ROUND(+'Apprp. Summary'!C235/1000,0)</f>
        <v>971413</v>
      </c>
      <c r="C30" s="136">
        <f>ROUND(+'Apprp. Summary'!C236/1000,0)</f>
        <v>120053</v>
      </c>
      <c r="D30" s="136">
        <f>ROUND(+'Apprp. Summary'!C237/1000,0)</f>
        <v>496625</v>
      </c>
      <c r="E30" s="136">
        <f>ROUND(+'Apprp. Summary'!C238/1000,0)</f>
        <v>127938</v>
      </c>
      <c r="F30" s="136">
        <f>ROUND(+'Apprp. Summary'!C239/1000,0)</f>
        <v>27426</v>
      </c>
      <c r="G30" s="137">
        <f>ROUND(+'Apprp. Summary'!C240/1000,0)</f>
        <v>25185</v>
      </c>
      <c r="H30" s="136">
        <f>ROUND((+'Apprp. Summary'!C241+'Apprp. Summary'!G241)/1000,0)</f>
        <v>1050185</v>
      </c>
      <c r="I30" s="137">
        <f>ROUND((+'Apprp. Summary'!C242+'Apprp. Summary'!G242)/1000,0)</f>
        <v>0</v>
      </c>
      <c r="J30" s="137">
        <f>'Apprp. Summary'!C245/1000+'Apprp. Summary'!G245/1000</f>
        <v>2818824.507</v>
      </c>
      <c r="K30" s="137">
        <f>23749.258+902450.113</f>
        <v>926199.371</v>
      </c>
      <c r="L30" s="137">
        <f>44075.112+52321.454+12597.603+60584.067+47228.935</f>
        <v>216807.171</v>
      </c>
      <c r="M30" s="137">
        <v>123676.085</v>
      </c>
      <c r="N30" s="137">
        <f>SUM(J30:M30)</f>
        <v>4085507.1340000005</v>
      </c>
      <c r="O30" s="132">
        <f>(J30/N30)*100</f>
        <v>68.9957063969234</v>
      </c>
    </row>
    <row r="31" spans="1:15" ht="12.75">
      <c r="A31" s="133" t="s">
        <v>1570</v>
      </c>
      <c r="B31" s="136">
        <f>ROUND(+'Apprp. Summary'!C254/1000,0)</f>
        <v>190345</v>
      </c>
      <c r="C31" s="136">
        <f>ROUND(+'Apprp. Summary'!C255/1000,0)</f>
        <v>210763</v>
      </c>
      <c r="D31" s="136">
        <f>ROUND(+'Apprp. Summary'!C256/1000,0)</f>
        <v>32290</v>
      </c>
      <c r="E31" s="136">
        <f>ROUND(+'Apprp. Summary'!C257/1000,0)</f>
        <v>60264</v>
      </c>
      <c r="F31" s="136">
        <f>ROUND(+'Apprp. Summary'!C258/1000,0)</f>
        <v>10748</v>
      </c>
      <c r="G31" s="137">
        <f>ROUND(+'Apprp. Summary'!C259/1000,0)</f>
        <v>26481</v>
      </c>
      <c r="H31" s="136">
        <f>ROUND((+'Apprp. Summary'!C260+'Apprp. Summary'!G260)/1000,0)</f>
        <v>182669</v>
      </c>
      <c r="I31" s="137">
        <f>ROUND((+'Apprp. Summary'!C261+'Apprp. Summary'!G261)/1000,0)</f>
        <v>0</v>
      </c>
      <c r="J31" s="137">
        <f>'Apprp. Summary'!C264/1000+'Apprp. Summary'!G264/1000</f>
        <v>723491.105</v>
      </c>
      <c r="K31" s="137">
        <f>8557.299+43255.848</f>
        <v>51813.147</v>
      </c>
      <c r="L31" s="137">
        <f>21680.008+19185.985+11478.535</f>
        <v>52344.528000000006</v>
      </c>
      <c r="M31" s="137">
        <f>9058.031+2828.701+7032.857+141.75+18963.333+1063.253+39.9+187+68007.115+46657.258</f>
        <v>153979.198</v>
      </c>
      <c r="N31" s="137">
        <f>SUM(J31:M31)</f>
        <v>981627.978</v>
      </c>
      <c r="O31" s="132">
        <f>(J31/N31)*100</f>
        <v>73.70318707440101</v>
      </c>
    </row>
    <row r="32" spans="1:15" ht="12.75">
      <c r="A32" s="138" t="s">
        <v>1571</v>
      </c>
      <c r="B32" s="139">
        <f>ROUND(+'Apprp. Summary'!C273/1000,0)</f>
        <v>79395</v>
      </c>
      <c r="C32" s="139">
        <f>ROUND(+'Apprp. Summary'!C274/1000,0)</f>
        <v>0</v>
      </c>
      <c r="D32" s="139">
        <f>ROUND(+'Apprp. Summary'!C275/1000,0)</f>
        <v>33368</v>
      </c>
      <c r="E32" s="139">
        <f>ROUND(+'Apprp. Summary'!C276/1000,0)</f>
        <v>0</v>
      </c>
      <c r="F32" s="139">
        <f>ROUND(+'Apprp. Summary'!C277/1000,0)</f>
        <v>0</v>
      </c>
      <c r="G32" s="140">
        <f>ROUND(+'Apprp. Summary'!C278/1000,0)</f>
        <v>73915</v>
      </c>
      <c r="H32" s="139">
        <f>ROUND((+'Apprp. Summary'!C279+'Apprp. Summary'!G279)/1000,0)</f>
        <v>19757</v>
      </c>
      <c r="I32" s="140">
        <f>ROUND((+'Apprp. Summary'!C280+'Apprp. Summary'!G280)/1000,0)</f>
        <v>0</v>
      </c>
      <c r="J32" s="140">
        <f>'Apprp. Summary'!C283/1000+'Apprp. Summary'!G283</f>
        <v>212833.894</v>
      </c>
      <c r="K32" s="140">
        <v>77767.495</v>
      </c>
      <c r="L32" s="140">
        <f>2049.504+9103.632+6600.798+1920.422+4045.966+2048.351</f>
        <v>25768.672999999995</v>
      </c>
      <c r="M32" s="140">
        <v>14322.968</v>
      </c>
      <c r="N32" s="140">
        <f>SUM(J32:M32)</f>
        <v>330693.02999999997</v>
      </c>
      <c r="O32" s="141">
        <f>(J32/N32)*100</f>
        <v>64.35995763200695</v>
      </c>
    </row>
    <row r="33" spans="1:15" ht="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42"/>
    </row>
    <row r="34" spans="1:15" ht="9.75" customHeight="1">
      <c r="A34" s="143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42"/>
    </row>
    <row r="35" spans="1:15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42"/>
    </row>
    <row r="36" spans="1:14" ht="10.5" customHeight="1">
      <c r="A36" s="143" t="s">
        <v>60</v>
      </c>
      <c r="B36" s="1"/>
      <c r="C36" s="1"/>
      <c r="D36" s="1"/>
      <c r="E36" s="1"/>
      <c r="F36" s="1"/>
      <c r="G36" s="1"/>
      <c r="H36" s="1"/>
      <c r="I36" s="1"/>
      <c r="J36" s="144"/>
      <c r="K36" s="1"/>
      <c r="L36" s="1"/>
      <c r="M36" s="1"/>
      <c r="N36" s="1"/>
    </row>
    <row r="37" spans="1:14" ht="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9.75" customHeight="1">
      <c r="A38" s="118" t="s">
        <v>61</v>
      </c>
      <c r="B38" s="9"/>
      <c r="C38" s="9"/>
      <c r="D38" s="9"/>
      <c r="E38" s="9"/>
      <c r="F38" s="9"/>
      <c r="G38" s="9"/>
      <c r="H38" s="33"/>
      <c r="I38" s="33"/>
      <c r="J38" s="33"/>
      <c r="K38" s="33"/>
      <c r="L38" s="33"/>
      <c r="M38" s="33"/>
      <c r="N38" s="33"/>
    </row>
    <row r="39" spans="1:14" ht="9.75" customHeight="1">
      <c r="A39" s="118" t="s">
        <v>62</v>
      </c>
      <c r="B39" s="9"/>
      <c r="C39" s="9"/>
      <c r="D39" s="9"/>
      <c r="E39" s="9"/>
      <c r="F39" s="9"/>
      <c r="G39" s="9"/>
      <c r="H39" s="33"/>
      <c r="I39" s="33"/>
      <c r="J39" s="33"/>
      <c r="K39" s="33"/>
      <c r="L39" s="33"/>
      <c r="M39" s="33"/>
      <c r="N39" s="33"/>
    </row>
    <row r="40" spans="1:14" ht="9.75" customHeight="1">
      <c r="A40" s="118" t="s">
        <v>63</v>
      </c>
      <c r="B40" s="9"/>
      <c r="C40" s="9"/>
      <c r="D40" s="9"/>
      <c r="E40" s="9"/>
      <c r="F40" s="9"/>
      <c r="G40" s="9"/>
      <c r="H40" s="33"/>
      <c r="I40" s="33"/>
      <c r="J40" s="33"/>
      <c r="K40" s="33"/>
      <c r="L40" s="33"/>
      <c r="M40" s="33"/>
      <c r="N40" s="33"/>
    </row>
    <row r="41" spans="1:14" ht="9.75" customHeight="1">
      <c r="A41" s="118" t="s">
        <v>64</v>
      </c>
      <c r="B41" s="9"/>
      <c r="C41" s="9"/>
      <c r="D41" s="9"/>
      <c r="E41" s="9"/>
      <c r="F41" s="9"/>
      <c r="G41" s="9"/>
      <c r="H41" s="33"/>
      <c r="I41" s="33"/>
      <c r="J41" s="33"/>
      <c r="K41" s="33"/>
      <c r="L41" s="33"/>
      <c r="M41" s="33"/>
      <c r="N41" s="33"/>
    </row>
    <row r="42" spans="1:14" ht="9.75" customHeight="1">
      <c r="A42" s="118" t="s">
        <v>65</v>
      </c>
      <c r="B42" s="9"/>
      <c r="C42" s="9"/>
      <c r="D42" s="9"/>
      <c r="E42" s="9"/>
      <c r="F42" s="9"/>
      <c r="G42" s="9"/>
      <c r="H42" s="33"/>
      <c r="I42" s="33"/>
      <c r="J42" s="33"/>
      <c r="K42" s="33"/>
      <c r="L42" s="33"/>
      <c r="M42" s="33"/>
      <c r="N42" s="33"/>
    </row>
    <row r="43" spans="1:14" ht="9.75" customHeight="1">
      <c r="A43" s="118" t="s">
        <v>66</v>
      </c>
      <c r="B43" s="9"/>
      <c r="C43" s="9"/>
      <c r="D43" s="9"/>
      <c r="E43" s="9"/>
      <c r="F43" s="9"/>
      <c r="G43" s="9"/>
      <c r="H43" s="33"/>
      <c r="I43" s="33"/>
      <c r="J43" s="33"/>
      <c r="K43" s="33"/>
      <c r="L43" s="33"/>
      <c r="M43" s="33"/>
      <c r="N43" s="33"/>
    </row>
    <row r="44" spans="1:14" ht="9.75" customHeight="1">
      <c r="A44" s="1"/>
      <c r="B44" s="9"/>
      <c r="C44" s="9"/>
      <c r="D44" s="9"/>
      <c r="E44" s="9"/>
      <c r="F44" s="9"/>
      <c r="G44" s="9"/>
      <c r="H44" s="33"/>
      <c r="I44" s="33"/>
      <c r="J44" s="33"/>
      <c r="K44" s="33"/>
      <c r="L44" s="33"/>
      <c r="M44" s="33"/>
      <c r="N44" s="33"/>
    </row>
    <row r="45" spans="1:14" ht="12.75">
      <c r="A45" s="1"/>
      <c r="B45" s="9"/>
      <c r="C45" s="9"/>
      <c r="D45" s="9"/>
      <c r="E45" s="9"/>
      <c r="F45" s="9"/>
      <c r="G45" s="9"/>
      <c r="H45" s="33"/>
      <c r="I45" s="33"/>
      <c r="J45" s="33"/>
      <c r="K45" s="33"/>
      <c r="L45" s="33"/>
      <c r="M45" s="33"/>
      <c r="N45" s="33"/>
    </row>
    <row r="46" spans="1:14" ht="12.75">
      <c r="A46" s="1"/>
      <c r="B46" s="9"/>
      <c r="C46" s="9"/>
      <c r="D46" s="9"/>
      <c r="E46" s="9"/>
      <c r="F46" s="9"/>
      <c r="G46" s="9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N50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2" max="9" width="6.7109375" style="0" customWidth="1"/>
    <col min="10" max="10" width="10.7109375" style="0" customWidth="1"/>
  </cols>
  <sheetData>
    <row r="1" spans="1:10" ht="13.5" customHeight="1">
      <c r="A1" s="88" t="s">
        <v>67</v>
      </c>
      <c r="B1" s="84"/>
      <c r="C1" s="84"/>
      <c r="D1" s="35"/>
      <c r="E1" s="35"/>
      <c r="F1" s="35"/>
      <c r="G1" s="35"/>
      <c r="H1" s="35"/>
      <c r="I1" s="9"/>
      <c r="J1" s="9"/>
    </row>
    <row r="2" spans="1:10" ht="13.5" customHeight="1">
      <c r="A2" s="88"/>
      <c r="B2" s="84"/>
      <c r="C2" s="84"/>
      <c r="D2" s="35"/>
      <c r="E2" s="35"/>
      <c r="F2" s="35"/>
      <c r="G2" s="35"/>
      <c r="H2" s="35"/>
      <c r="I2" s="9"/>
      <c r="J2" s="9"/>
    </row>
    <row r="3" spans="1:10" ht="13.5" customHeight="1">
      <c r="A3" s="88" t="s">
        <v>68</v>
      </c>
      <c r="B3" s="84"/>
      <c r="C3" s="84"/>
      <c r="D3" s="35"/>
      <c r="E3" s="35"/>
      <c r="F3" s="35"/>
      <c r="G3" s="35"/>
      <c r="H3" s="35"/>
      <c r="I3" s="9"/>
      <c r="J3" s="9"/>
    </row>
    <row r="4" spans="1:10" ht="13.5" customHeight="1">
      <c r="A4" s="88" t="s">
        <v>44</v>
      </c>
      <c r="B4" s="84"/>
      <c r="C4" s="84"/>
      <c r="D4" s="35"/>
      <c r="E4" s="35"/>
      <c r="F4" s="35"/>
      <c r="G4" s="35"/>
      <c r="H4" s="35"/>
      <c r="I4" s="9"/>
      <c r="J4" s="9"/>
    </row>
    <row r="5" spans="1:10" ht="13.5" customHeight="1">
      <c r="A5" s="119" t="s">
        <v>69</v>
      </c>
      <c r="B5" s="9"/>
      <c r="C5" s="9"/>
      <c r="D5" s="9"/>
      <c r="E5" s="9"/>
      <c r="F5" s="9"/>
      <c r="G5" s="9"/>
      <c r="H5" s="9"/>
      <c r="I5" s="9"/>
      <c r="J5" s="9"/>
    </row>
    <row r="6" spans="1:10" ht="4.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9.75" customHeight="1">
      <c r="A7" s="4"/>
      <c r="B7" s="93"/>
      <c r="C7" s="93"/>
      <c r="D7" s="93"/>
      <c r="E7" s="93"/>
      <c r="F7" s="93"/>
      <c r="G7" s="145"/>
      <c r="H7" s="93"/>
      <c r="I7" s="145"/>
      <c r="J7" s="121" t="s">
        <v>46</v>
      </c>
    </row>
    <row r="8" spans="1:10" ht="9.75" customHeight="1">
      <c r="A8" s="1"/>
      <c r="B8" s="146" t="s">
        <v>1546</v>
      </c>
      <c r="C8" s="146"/>
      <c r="D8" s="146"/>
      <c r="E8" s="146"/>
      <c r="F8" s="146"/>
      <c r="G8" s="147"/>
      <c r="H8" s="148" t="s">
        <v>11</v>
      </c>
      <c r="I8" s="127"/>
      <c r="J8" s="126" t="s">
        <v>70</v>
      </c>
    </row>
    <row r="9" spans="1:10" ht="9.75" customHeight="1">
      <c r="A9" s="11"/>
      <c r="B9" s="185" t="s">
        <v>1548</v>
      </c>
      <c r="C9" s="185" t="s">
        <v>1549</v>
      </c>
      <c r="D9" s="185" t="s">
        <v>1550</v>
      </c>
      <c r="E9" s="185" t="s">
        <v>1551</v>
      </c>
      <c r="F9" s="185" t="s">
        <v>1552</v>
      </c>
      <c r="G9" s="186" t="s">
        <v>1553</v>
      </c>
      <c r="H9" s="185" t="s">
        <v>1554</v>
      </c>
      <c r="I9" s="187" t="s">
        <v>1555</v>
      </c>
      <c r="J9" s="128" t="s">
        <v>71</v>
      </c>
    </row>
    <row r="10" spans="1:10" ht="12" customHeight="1">
      <c r="A10" s="1" t="s">
        <v>1556</v>
      </c>
      <c r="B10" s="149">
        <f>('Table 5b'!B12/'Table 4'!B9)*1000</f>
        <v>6039.758672081863</v>
      </c>
      <c r="C10" s="149">
        <f>('Table 5b'!C12/'Table 4'!C9)*1000</f>
        <v>4850.862050207081</v>
      </c>
      <c r="D10" s="149">
        <f>('Table 5b'!D12/'Table 4'!D9)*1000</f>
        <v>4220.829262349712</v>
      </c>
      <c r="E10" s="149">
        <f>('Table 5b'!E12/'Table 4'!E9)*1000</f>
        <v>3822.117131890828</v>
      </c>
      <c r="F10" s="149">
        <f>('Table 5b'!F12/'Table 4'!F9)*1000</f>
        <v>3911.401181719523</v>
      </c>
      <c r="G10" s="150">
        <f>('Table 5b'!G12/'Table 4'!G9)*1000</f>
        <v>4092.9883433415757</v>
      </c>
      <c r="H10" s="149">
        <f>('Table 5b'!H12/'Table 4'!H9)*1000</f>
        <v>3293.1458457544895</v>
      </c>
      <c r="I10" s="150">
        <f>(('Table 5b'!I12-'Table 5b'!I20)/('Table 4'!I9-'Table 4'!I13)*1000)</f>
        <v>4425.583782396715</v>
      </c>
      <c r="J10" s="151">
        <f>'Table 5b'!O12</f>
        <v>69.84867359864833</v>
      </c>
    </row>
    <row r="11" spans="1:10" ht="12" customHeight="1">
      <c r="A11" s="1"/>
      <c r="B11" s="97"/>
      <c r="C11" s="97"/>
      <c r="D11" s="97"/>
      <c r="E11" s="97"/>
      <c r="F11" s="97"/>
      <c r="G11" s="98"/>
      <c r="H11" s="97"/>
      <c r="I11" s="98"/>
      <c r="J11" s="40"/>
    </row>
    <row r="12" spans="1:10" ht="12" customHeight="1">
      <c r="A12" s="1" t="s">
        <v>1557</v>
      </c>
      <c r="B12" s="97">
        <f>ROUND(+'FTE$ Calc.'!B5,0)</f>
        <v>5076</v>
      </c>
      <c r="C12" s="97">
        <f>ROUND(+'FTE$ Calc.'!B6,0)</f>
        <v>3338</v>
      </c>
      <c r="D12" s="97">
        <f>ROUND(+'FTE$ Calc.'!B7,0)</f>
        <v>3962</v>
      </c>
      <c r="E12" s="97">
        <f>ROUND(+'FTE$ Calc.'!B8,0)</f>
        <v>3054</v>
      </c>
      <c r="F12" s="97">
        <f>ROUND(+'FTE$ Calc.'!B9,0)</f>
        <v>3912</v>
      </c>
      <c r="G12" s="98">
        <f>ROUND(+'FTE$ Calc.'!B10,0)</f>
        <v>2608</v>
      </c>
      <c r="H12" s="97">
        <f>ROUND(+'FTE$ Calc.'!B11,0)</f>
        <v>2417</v>
      </c>
      <c r="I12" s="98">
        <f>ROUND(+'FTE$ Calc.'!B12,0)</f>
        <v>4293</v>
      </c>
      <c r="J12" s="151">
        <f>'Table 5b'!O14</f>
        <v>68.02587704044231</v>
      </c>
    </row>
    <row r="13" spans="1:10" ht="12" customHeight="1">
      <c r="A13" s="1" t="s">
        <v>1558</v>
      </c>
      <c r="B13" s="97">
        <f>ROUND(+'FTE$ Calc.'!B24,0)</f>
        <v>5725</v>
      </c>
      <c r="C13" s="97">
        <f>ROUND(+'FTE$ Calc.'!B25,0)</f>
        <v>0</v>
      </c>
      <c r="D13" s="97">
        <f>ROUND(+'FTE$ Calc.'!B26,0)</f>
        <v>4404</v>
      </c>
      <c r="E13" s="97">
        <f>ROUND(+'FTE$ Calc.'!B27,0)</f>
        <v>0</v>
      </c>
      <c r="F13" s="97">
        <f>ROUND(+'FTE$ Calc.'!B28,0)</f>
        <v>3848</v>
      </c>
      <c r="G13" s="98">
        <f>ROUND(+'FTE$ Calc.'!B29,0)</f>
        <v>4423</v>
      </c>
      <c r="H13" s="97">
        <f>ROUND(+'FTE$ Calc.'!B30,0)</f>
        <v>4025</v>
      </c>
      <c r="I13" s="98">
        <f>ROUND(+'FTE$ Calc.'!B31,0)</f>
        <v>0</v>
      </c>
      <c r="J13" s="151">
        <f>'Table 5b'!O15</f>
        <v>74.28715437201498</v>
      </c>
    </row>
    <row r="14" spans="1:10" ht="12" customHeight="1">
      <c r="A14" s="1" t="s">
        <v>1559</v>
      </c>
      <c r="B14" s="97">
        <f>ROUND(+'FTE$ Calc.'!B43,0)</f>
        <v>6531</v>
      </c>
      <c r="C14" s="97">
        <f>ROUND(+'FTE$ Calc.'!B44,0)</f>
        <v>5464</v>
      </c>
      <c r="D14" s="97">
        <f>ROUND(+'FTE$ Calc.'!B45,0)</f>
        <v>5574</v>
      </c>
      <c r="E14" s="97">
        <f>ROUND(+'FTE$ Calc.'!B46,0)</f>
        <v>5915</v>
      </c>
      <c r="F14" s="97">
        <f>ROUND(+'FTE$ Calc.'!B47,0)</f>
        <v>0</v>
      </c>
      <c r="G14" s="98">
        <f>ROUND(+'FTE$ Calc.'!B48,0)</f>
        <v>0</v>
      </c>
      <c r="H14" s="97">
        <f>ROUND(+'FTE$ Calc.'!B49,0)</f>
        <v>2752</v>
      </c>
      <c r="I14" s="98">
        <f>ROUND(+'FTE$ Calc.'!B50,0)</f>
        <v>0</v>
      </c>
      <c r="J14" s="151">
        <f>'Table 5b'!O16</f>
        <v>71.45532880294688</v>
      </c>
    </row>
    <row r="15" spans="1:10" ht="12" customHeight="1">
      <c r="A15" s="1"/>
      <c r="B15" s="97"/>
      <c r="C15" s="97"/>
      <c r="D15" s="97"/>
      <c r="E15" s="97"/>
      <c r="F15" s="97"/>
      <c r="G15" s="98"/>
      <c r="H15" s="97"/>
      <c r="I15" s="98"/>
      <c r="J15" s="151"/>
    </row>
    <row r="16" spans="1:10" ht="12" customHeight="1">
      <c r="A16" s="1" t="s">
        <v>1560</v>
      </c>
      <c r="B16" s="97">
        <f>ROUND(+'FTE$ Calc.'!B62,0)</f>
        <v>7452</v>
      </c>
      <c r="C16" s="97">
        <f>ROUND(+'FTE$ Calc.'!B63,0)</f>
        <v>6791</v>
      </c>
      <c r="D16" s="97">
        <f>ROUND(+'FTE$ Calc.'!B64,0)</f>
        <v>3920</v>
      </c>
      <c r="E16" s="97">
        <f>ROUND(+'FTE$ Calc.'!B65,0)</f>
        <v>3655</v>
      </c>
      <c r="F16" s="97">
        <f>ROUND(+'FTE$ Calc.'!B66,0)</f>
        <v>3914</v>
      </c>
      <c r="G16" s="98">
        <f>ROUND(+'FTE$ Calc.'!B67,0)</f>
        <v>3964</v>
      </c>
      <c r="H16" s="97">
        <f>ROUND(+'FTE$ Calc.'!B68,0)</f>
        <v>3725</v>
      </c>
      <c r="I16" s="98">
        <f>ROUND(+'FTE$ Calc.'!B69,0)</f>
        <v>4278</v>
      </c>
      <c r="J16" s="151">
        <f>'Table 5b'!O18</f>
        <v>71.44295727618868</v>
      </c>
    </row>
    <row r="17" spans="1:10" ht="12" customHeight="1">
      <c r="A17" s="1" t="s">
        <v>1561</v>
      </c>
      <c r="B17" s="97">
        <f>ROUND(+'FTE$ Calc.'!B81,0)</f>
        <v>4469</v>
      </c>
      <c r="C17" s="97">
        <f>ROUND(+'FTE$ Calc.'!B82,0)</f>
        <v>5156</v>
      </c>
      <c r="D17" s="97">
        <f>ROUND(+'FTE$ Calc.'!B83,0)</f>
        <v>3992</v>
      </c>
      <c r="E17" s="97">
        <f>ROUND(+'FTE$ Calc.'!B84,0)</f>
        <v>3895</v>
      </c>
      <c r="F17" s="97">
        <f>ROUND(+'FTE$ Calc.'!B85,0)</f>
        <v>2823</v>
      </c>
      <c r="G17" s="98">
        <f>ROUND(+'FTE$ Calc.'!B86,0)</f>
        <v>7587</v>
      </c>
      <c r="H17" s="97">
        <f>ROUND(+'FTE$ Calc.'!B87,0)</f>
        <v>2319</v>
      </c>
      <c r="I17" s="98">
        <f>ROUND(+'FTE$ Calc.'!B88,0)</f>
        <v>0</v>
      </c>
      <c r="J17" s="151">
        <f>'Table 5b'!O19</f>
        <v>55.31542044655843</v>
      </c>
    </row>
    <row r="18" spans="1:10" ht="12" customHeight="1">
      <c r="A18" s="1" t="s">
        <v>1562</v>
      </c>
      <c r="B18" s="97">
        <f>ROUND(+'FTE$ Calc.'!B100,0)</f>
        <v>4647</v>
      </c>
      <c r="C18" s="97">
        <f>ROUND(+'FTE$ Calc.'!B101,0)</f>
        <v>2736</v>
      </c>
      <c r="D18" s="97">
        <f>ROUND(+'FTE$ Calc.'!B102,0)</f>
        <v>3057</v>
      </c>
      <c r="E18" s="97">
        <f>ROUND(+'FTE$ Calc.'!B103,0)</f>
        <v>2242</v>
      </c>
      <c r="F18" s="97">
        <f>ROUND(+'FTE$ Calc.'!B104,0)</f>
        <v>2507</v>
      </c>
      <c r="G18" s="98">
        <f>ROUND(+'FTE$ Calc.'!B105,0)</f>
        <v>0</v>
      </c>
      <c r="H18" s="97">
        <f>ROUND(+'FTE$ Calc.'!B106,0)</f>
        <v>2252</v>
      </c>
      <c r="I18" s="98">
        <f>ROUND(+'FTE$ Calc.'!B107,0)</f>
        <v>0</v>
      </c>
      <c r="J18" s="151">
        <f>'Table 5b'!O20</f>
        <v>65.8161832521661</v>
      </c>
    </row>
    <row r="19" spans="1:10" ht="12" customHeight="1">
      <c r="A19" s="1"/>
      <c r="B19" s="97"/>
      <c r="C19" s="97"/>
      <c r="D19" s="97"/>
      <c r="E19" s="97"/>
      <c r="F19" s="97"/>
      <c r="G19" s="98"/>
      <c r="H19" s="97"/>
      <c r="I19" s="98"/>
      <c r="J19" s="151"/>
    </row>
    <row r="20" spans="1:10" ht="12" customHeight="1">
      <c r="A20" s="1" t="s">
        <v>1563</v>
      </c>
      <c r="B20" s="97">
        <f>ROUND(+'FTE$ Calc.'!B119,0)</f>
        <v>9152</v>
      </c>
      <c r="C20" s="97">
        <f>ROUND(+'FTE$ Calc.'!B120,0)</f>
        <v>5325</v>
      </c>
      <c r="D20" s="97">
        <f>ROUND(+'FTE$ Calc.'!B121,0)</f>
        <v>0</v>
      </c>
      <c r="E20" s="97">
        <f>ROUND(+'FTE$ Calc.'!B122,0)</f>
        <v>4393</v>
      </c>
      <c r="F20" s="97">
        <f>ROUND(+'FTE$ Calc.'!B123,0)</f>
        <v>5192</v>
      </c>
      <c r="G20" s="98">
        <f>ROUND(+'FTE$ Calc.'!B124,0)</f>
        <v>7163</v>
      </c>
      <c r="H20" s="97">
        <f>ROUND(+'FTE$ Calc.'!B125,0)</f>
        <v>3905</v>
      </c>
      <c r="I20" s="98">
        <f>ROUND(+'FTE$ Calc.'!B126,0)</f>
        <v>0</v>
      </c>
      <c r="J20" s="151">
        <f>'Table 5b'!O22</f>
        <v>70.91972285244552</v>
      </c>
    </row>
    <row r="21" spans="1:10" ht="12" customHeight="1">
      <c r="A21" s="1" t="s">
        <v>1564</v>
      </c>
      <c r="B21" s="97">
        <f>ROUND(+'FTE$ Calc.'!B138,0)</f>
        <v>4890</v>
      </c>
      <c r="C21" s="97">
        <f>ROUND(+'FTE$ Calc.'!B139,0)</f>
        <v>4731</v>
      </c>
      <c r="D21" s="97">
        <f>ROUND(+'FTE$ Calc.'!B140,0)</f>
        <v>4577</v>
      </c>
      <c r="E21" s="97">
        <f>ROUND(+'FTE$ Calc.'!B141,0)</f>
        <v>0</v>
      </c>
      <c r="F21" s="97">
        <f>ROUND(+'FTE$ Calc.'!B142,0)</f>
        <v>4522</v>
      </c>
      <c r="G21" s="98">
        <f>ROUND(+'FTE$ Calc.'!B143,0)</f>
        <v>5162</v>
      </c>
      <c r="H21" s="97">
        <f>ROUND(+'FTE$ Calc.'!B144,0)</f>
        <v>4329</v>
      </c>
      <c r="I21" s="98">
        <f>ROUND(+'FTE$ Calc.'!B145,0)</f>
        <v>0</v>
      </c>
      <c r="J21" s="151">
        <f>'Table 5b'!O23</f>
        <v>69.33107449150023</v>
      </c>
    </row>
    <row r="22" spans="1:10" ht="12" customHeight="1">
      <c r="A22" s="1" t="s">
        <v>1565</v>
      </c>
      <c r="B22" s="97">
        <f>ROUND(+'FTE$ Calc.'!B157,0)</f>
        <v>7734</v>
      </c>
      <c r="C22" s="97">
        <f>ROUND(+'FTE$ Calc.'!B158,0)</f>
        <v>5380</v>
      </c>
      <c r="D22" s="97">
        <f>ROUND(+'FTE$ Calc.'!B159,0)</f>
        <v>5340</v>
      </c>
      <c r="E22" s="97">
        <f>ROUND(+'FTE$ Calc.'!B160,0)</f>
        <v>4652</v>
      </c>
      <c r="F22" s="97">
        <f>ROUND(+'FTE$ Calc.'!B161,0)</f>
        <v>6258</v>
      </c>
      <c r="G22" s="98">
        <f>ROUND(+'FTE$ Calc.'!B162,0)</f>
        <v>7503</v>
      </c>
      <c r="H22" s="97">
        <f>ROUND(+'FTE$ Calc.'!B163,0)</f>
        <v>4652</v>
      </c>
      <c r="I22" s="98">
        <f>ROUND(+'FTE$ Calc.'!B164,0)</f>
        <v>0</v>
      </c>
      <c r="J22" s="151">
        <f>'Table 5b'!O24</f>
        <v>69.85581856842491</v>
      </c>
    </row>
    <row r="23" spans="1:10" ht="12" customHeight="1">
      <c r="A23" s="1"/>
      <c r="B23" s="97"/>
      <c r="C23" s="97"/>
      <c r="D23" s="97"/>
      <c r="E23" s="97"/>
      <c r="F23" s="97"/>
      <c r="G23" s="98"/>
      <c r="H23" s="97"/>
      <c r="I23" s="98"/>
      <c r="J23" s="151"/>
    </row>
    <row r="24" spans="1:10" ht="12" customHeight="1">
      <c r="A24" s="1" t="s">
        <v>1566</v>
      </c>
      <c r="B24" s="97">
        <f>ROUND(+'FTE$ Calc.'!B176,0)</f>
        <v>5042</v>
      </c>
      <c r="C24" s="97">
        <f>ROUND(+'FTE$ Calc.'!B177,0)</f>
        <v>0</v>
      </c>
      <c r="D24" s="97">
        <f>ROUND(+'FTE$ Calc.'!B178,0)</f>
        <v>2443</v>
      </c>
      <c r="E24" s="97">
        <f>ROUND(+'FTE$ Calc.'!B179,0)</f>
        <v>3175</v>
      </c>
      <c r="F24" s="97">
        <f>ROUND(+'FTE$ Calc.'!B180,0)</f>
        <v>3084</v>
      </c>
      <c r="G24" s="98">
        <f>ROUND(+'FTE$ Calc.'!B181,0)</f>
        <v>2800</v>
      </c>
      <c r="H24" s="97">
        <f>ROUND(+'FTE$ Calc.'!B182,0)</f>
        <v>3270</v>
      </c>
      <c r="I24" s="98">
        <f>ROUND(+'FTE$ Calc.'!B183,0)</f>
        <v>0</v>
      </c>
      <c r="J24" s="151">
        <f>'Table 5b'!O26</f>
        <v>76.89563943884868</v>
      </c>
    </row>
    <row r="25" spans="1:10" ht="12" customHeight="1">
      <c r="A25" s="1" t="s">
        <v>1567</v>
      </c>
      <c r="B25" s="97">
        <f>ROUND(+'FTE$ Calc.'!B195,0)</f>
        <v>5944</v>
      </c>
      <c r="C25" s="97">
        <f>ROUND(+'FTE$ Calc.'!B196,0)</f>
        <v>5414</v>
      </c>
      <c r="D25" s="97">
        <f>ROUND(+'FTE$ Calc.'!B197,0)</f>
        <v>4144</v>
      </c>
      <c r="E25" s="97">
        <f>ROUND(+'FTE$ Calc.'!B198,0)</f>
        <v>2735</v>
      </c>
      <c r="F25" s="97">
        <f>ROUND(+'FTE$ Calc.'!B199,0)</f>
        <v>3971</v>
      </c>
      <c r="G25" s="98">
        <f>ROUND(+'FTE$ Calc.'!B200,0)</f>
        <v>3454</v>
      </c>
      <c r="H25" s="97">
        <f>ROUND(+'FTE$ Calc.'!B201,0)</f>
        <v>3397</v>
      </c>
      <c r="I25" s="98">
        <f>ROUND(+'FTE$ Calc.'!B202,0)</f>
        <v>0</v>
      </c>
      <c r="J25" s="151">
        <f>'Table 5b'!O27</f>
        <v>65.70400652039902</v>
      </c>
    </row>
    <row r="26" spans="1:10" ht="12" customHeight="1">
      <c r="A26" s="1" t="s">
        <v>1568</v>
      </c>
      <c r="B26" s="97">
        <f>ROUND(+'FTE$ Calc.'!B214,0)</f>
        <v>6773</v>
      </c>
      <c r="C26" s="97">
        <f>ROUND(+'FTE$ Calc.'!B215,0)</f>
        <v>5498</v>
      </c>
      <c r="D26" s="97">
        <f>ROUND(+'FTE$ Calc.'!B216,0)</f>
        <v>4356</v>
      </c>
      <c r="E26" s="97">
        <f>ROUND(+'FTE$ Calc.'!B217,0)</f>
        <v>4853</v>
      </c>
      <c r="F26" s="97">
        <f>ROUND(+'FTE$ Calc.'!B218,0)</f>
        <v>4521</v>
      </c>
      <c r="G26" s="98">
        <f>ROUND(+'FTE$ Calc.'!B219,0)</f>
        <v>0</v>
      </c>
      <c r="H26" s="97">
        <f>ROUND(+'FTE$ Calc.'!B220,0)</f>
        <v>3340</v>
      </c>
      <c r="I26" s="98">
        <f>ROUND(+'FTE$ Calc.'!B221,0)</f>
        <v>5559</v>
      </c>
      <c r="J26" s="151">
        <f>'Table 5b'!O28</f>
        <v>77.77093380747277</v>
      </c>
    </row>
    <row r="27" spans="1:10" ht="12" customHeight="1">
      <c r="A27" s="1"/>
      <c r="B27" s="97"/>
      <c r="C27" s="97"/>
      <c r="D27" s="97"/>
      <c r="E27" s="97"/>
      <c r="F27" s="97"/>
      <c r="G27" s="98"/>
      <c r="H27" s="97"/>
      <c r="I27" s="98"/>
      <c r="J27" s="151"/>
    </row>
    <row r="28" spans="1:10" ht="12" customHeight="1">
      <c r="A28" s="1" t="s">
        <v>1569</v>
      </c>
      <c r="B28" s="97">
        <f>ROUND(+'FTE$ Calc.'!B233,0)</f>
        <v>6158</v>
      </c>
      <c r="C28" s="97">
        <f>ROUND(+'FTE$ Calc.'!B234,0)</f>
        <v>5058</v>
      </c>
      <c r="D28" s="97">
        <f>ROUND(+'FTE$ Calc.'!B235,0)</f>
        <v>4146</v>
      </c>
      <c r="E28" s="97">
        <f>ROUND(+'FTE$ Calc.'!B236,0)</f>
        <v>4182</v>
      </c>
      <c r="F28" s="97">
        <f>ROUND(+'FTE$ Calc.'!B237,0)</f>
        <v>7379</v>
      </c>
      <c r="G28" s="98">
        <f>ROUND(+'FTE$ Calc.'!B238,0)</f>
        <v>3761</v>
      </c>
      <c r="H28" s="97">
        <f>ROUND(+'FTE$ Calc.'!B239,0)</f>
        <v>3439</v>
      </c>
      <c r="I28" s="98">
        <f>ROUND(+'FTE$ Calc.'!B240,0)</f>
        <v>0</v>
      </c>
      <c r="J28" s="151">
        <f>'Table 5b'!O30</f>
        <v>68.9957063969234</v>
      </c>
    </row>
    <row r="29" spans="1:10" ht="12" customHeight="1">
      <c r="A29" s="1" t="s">
        <v>1570</v>
      </c>
      <c r="B29" s="97">
        <f>ROUND(+'FTE$ Calc.'!B252,0)</f>
        <v>4232</v>
      </c>
      <c r="C29" s="97">
        <f>ROUND(+'FTE$ Calc.'!B253,0)</f>
        <v>3921</v>
      </c>
      <c r="D29" s="97">
        <f>ROUND(+'FTE$ Calc.'!B254,0)</f>
        <v>2739</v>
      </c>
      <c r="E29" s="97">
        <f>ROUND(+'FTE$ Calc.'!B255,0)</f>
        <v>3082</v>
      </c>
      <c r="F29" s="97">
        <f>ROUND(+'FTE$ Calc.'!B256,0)</f>
        <v>3191</v>
      </c>
      <c r="G29" s="98">
        <f>ROUND(+'FTE$ Calc.'!B257,0)</f>
        <v>3269</v>
      </c>
      <c r="H29" s="97">
        <f>ROUND(+'FTE$ Calc.'!B258,0)</f>
        <v>2485</v>
      </c>
      <c r="I29" s="98">
        <f>ROUND(+'FTE$ Calc.'!B259,0)</f>
        <v>0</v>
      </c>
      <c r="J29" s="151">
        <f>'Table 5b'!O31</f>
        <v>73.70318707440101</v>
      </c>
    </row>
    <row r="30" spans="1:10" ht="12" customHeight="1">
      <c r="A30" s="11" t="s">
        <v>1571</v>
      </c>
      <c r="B30" s="99">
        <f>ROUND(+'FTE$ Calc.'!B271,0)</f>
        <v>4158</v>
      </c>
      <c r="C30" s="99">
        <f>ROUND(+'FTE$ Calc.'!B272,0)</f>
        <v>0</v>
      </c>
      <c r="D30" s="99">
        <f>ROUND(+'FTE$ Calc.'!B273,0)</f>
        <v>3410</v>
      </c>
      <c r="E30" s="99">
        <f>ROUND(+'FTE$ Calc.'!B274,0)</f>
        <v>0</v>
      </c>
      <c r="F30" s="99">
        <f>ROUND(+'FTE$ Calc.'!B275,0)</f>
        <v>0</v>
      </c>
      <c r="G30" s="100">
        <f>ROUND(+'FTE$ Calc.'!B276,0)</f>
        <v>3339</v>
      </c>
      <c r="H30" s="99">
        <f>ROUND(+'FTE$ Calc.'!B277,0)</f>
        <v>2734</v>
      </c>
      <c r="I30" s="100">
        <f>ROUND(+'FTE$ Calc.'!B278,0)</f>
        <v>0</v>
      </c>
      <c r="J30" s="152">
        <f>'Table 5b'!O32</f>
        <v>64.35995763200695</v>
      </c>
    </row>
    <row r="31" spans="1:9" ht="4.5" customHeight="1">
      <c r="A31" s="1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101" t="s">
        <v>72</v>
      </c>
      <c r="B32" s="102"/>
      <c r="C32" s="102"/>
      <c r="D32" s="102"/>
      <c r="E32" s="102"/>
      <c r="F32" s="102"/>
      <c r="G32" s="102"/>
      <c r="H32" s="102"/>
      <c r="I32" s="102"/>
    </row>
    <row r="33" spans="1:9" ht="12.75">
      <c r="A33" s="101" t="s">
        <v>73</v>
      </c>
      <c r="B33" s="33"/>
      <c r="C33" s="33"/>
      <c r="D33" s="33"/>
      <c r="E33" s="33"/>
      <c r="F33" s="33"/>
      <c r="G33" s="33"/>
      <c r="H33" s="33"/>
      <c r="I33" s="33"/>
    </row>
    <row r="34" spans="1:9" ht="12.75">
      <c r="A34" s="101" t="s">
        <v>74</v>
      </c>
      <c r="B34" s="33"/>
      <c r="C34" s="33"/>
      <c r="D34" s="33"/>
      <c r="E34" s="33"/>
      <c r="F34" s="33"/>
      <c r="G34" s="33"/>
      <c r="H34" s="33"/>
      <c r="I34" s="33"/>
    </row>
    <row r="35" spans="1:9" ht="12.75">
      <c r="A35" s="101" t="s">
        <v>75</v>
      </c>
      <c r="B35" s="33"/>
      <c r="C35" s="33"/>
      <c r="D35" s="33"/>
      <c r="E35" s="33"/>
      <c r="F35" s="33"/>
      <c r="G35" s="33"/>
      <c r="H35" s="33"/>
      <c r="I35" s="33"/>
    </row>
    <row r="36" spans="1:9" ht="12.75">
      <c r="A36" s="101" t="s">
        <v>76</v>
      </c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101" t="s">
        <v>77</v>
      </c>
      <c r="B37" s="33"/>
      <c r="C37" s="33"/>
      <c r="D37" s="33"/>
      <c r="E37" s="33"/>
      <c r="F37" s="33"/>
      <c r="G37" s="33"/>
      <c r="H37" s="33"/>
      <c r="I37" s="33"/>
    </row>
    <row r="38" spans="1:9" ht="12.75">
      <c r="A38" s="101" t="s">
        <v>78</v>
      </c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101" t="s">
        <v>79</v>
      </c>
      <c r="B39" s="1"/>
      <c r="C39" s="153"/>
      <c r="D39" s="33"/>
      <c r="E39" s="153"/>
      <c r="F39" s="33"/>
      <c r="G39" s="153"/>
      <c r="H39" s="33"/>
      <c r="I39" s="153"/>
    </row>
    <row r="40" spans="1:9" ht="12.75">
      <c r="A40" s="101" t="s">
        <v>80</v>
      </c>
      <c r="B40" s="1"/>
      <c r="C40" s="33"/>
      <c r="D40" s="33"/>
      <c r="E40" s="33"/>
      <c r="F40" s="33"/>
      <c r="G40" s="33"/>
      <c r="H40" s="33"/>
      <c r="I40" s="33"/>
    </row>
    <row r="41" spans="1:9" ht="12.75">
      <c r="A41" s="101" t="s">
        <v>81</v>
      </c>
      <c r="B41" s="1"/>
      <c r="C41" s="33"/>
      <c r="D41" s="33"/>
      <c r="E41" s="33"/>
      <c r="F41" s="33"/>
      <c r="G41" s="33"/>
      <c r="H41" s="33"/>
      <c r="I41" s="33"/>
    </row>
    <row r="42" spans="1:9" ht="12.75">
      <c r="A42" s="101" t="s">
        <v>82</v>
      </c>
      <c r="B42" s="1"/>
      <c r="C42" s="9"/>
      <c r="D42" s="33"/>
      <c r="E42" s="33"/>
      <c r="F42" s="33"/>
      <c r="G42" s="33"/>
      <c r="H42" s="9"/>
      <c r="I42" s="9"/>
    </row>
    <row r="43" spans="1:9" ht="12.75">
      <c r="A43" s="143"/>
      <c r="B43" s="33"/>
      <c r="C43" s="9"/>
      <c r="D43" s="33"/>
      <c r="E43" s="33"/>
      <c r="F43" s="33"/>
      <c r="G43" s="33"/>
      <c r="H43" s="9"/>
      <c r="I43" s="9"/>
    </row>
    <row r="44" spans="1:9" ht="12.75">
      <c r="A44" s="1"/>
      <c r="B44" s="1"/>
      <c r="C44" s="9"/>
      <c r="D44" s="9"/>
      <c r="E44" s="9"/>
      <c r="F44" s="9"/>
      <c r="G44" s="9"/>
      <c r="H44" s="9"/>
      <c r="I44" s="9"/>
    </row>
    <row r="45" spans="1:9" ht="12.75">
      <c r="A45" s="1"/>
      <c r="B45" s="1"/>
      <c r="C45" s="9"/>
      <c r="D45" s="9"/>
      <c r="E45" s="9"/>
      <c r="F45" s="9"/>
      <c r="G45" s="9"/>
      <c r="H45" s="9"/>
      <c r="I45" s="9"/>
    </row>
    <row r="47" spans="1:14" ht="12.75">
      <c r="A47" s="1"/>
      <c r="B47" s="1"/>
      <c r="C47" s="1"/>
      <c r="D47" s="1"/>
      <c r="E47" s="1"/>
      <c r="F47" s="9"/>
      <c r="G47" s="1"/>
      <c r="H47" s="9"/>
      <c r="I47" s="9"/>
      <c r="J47" s="9"/>
      <c r="K47" s="9"/>
      <c r="L47" s="9"/>
      <c r="M47" s="9"/>
      <c r="N47" s="9"/>
    </row>
    <row r="48" spans="1:14" ht="12.75">
      <c r="A48" s="1"/>
      <c r="B48" s="1"/>
      <c r="C48" s="1"/>
      <c r="D48" s="1"/>
      <c r="E48" s="1"/>
      <c r="F48" s="1"/>
      <c r="G48" s="1"/>
      <c r="H48" s="9"/>
      <c r="I48" s="9"/>
      <c r="J48" s="9"/>
      <c r="K48" s="9"/>
      <c r="L48" s="9"/>
      <c r="M48" s="9"/>
      <c r="N48" s="9"/>
    </row>
    <row r="49" spans="1:14" ht="12.75">
      <c r="A49" s="1"/>
      <c r="B49" s="1"/>
      <c r="C49" s="1"/>
      <c r="D49" s="1"/>
      <c r="E49" s="1"/>
      <c r="F49" s="1"/>
      <c r="G49" s="1"/>
      <c r="H49" s="9"/>
      <c r="I49" s="9"/>
      <c r="J49" s="9"/>
      <c r="K49" s="9"/>
      <c r="L49" s="9"/>
      <c r="M49" s="9"/>
      <c r="N49" s="9"/>
    </row>
    <row r="50" spans="1:14" ht="12.75">
      <c r="A50" s="1"/>
      <c r="B50" s="1"/>
      <c r="C50" s="1"/>
      <c r="D50" s="1"/>
      <c r="E50" s="1"/>
      <c r="F50" s="1"/>
      <c r="G50" s="1"/>
      <c r="H50" s="9"/>
      <c r="I50" s="9"/>
      <c r="J50" s="9"/>
      <c r="K50" s="9"/>
      <c r="L50" s="9"/>
      <c r="M50" s="9"/>
      <c r="N50" s="9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D14"/>
  <sheetViews>
    <sheetView showGridLines="0" defaultGridColor="0" zoomScale="87" zoomScaleNormal="87" colorId="22" workbookViewId="0" topLeftCell="C9">
      <selection activeCell="D35" sqref="D35"/>
    </sheetView>
  </sheetViews>
  <sheetFormatPr defaultColWidth="9.7109375" defaultRowHeight="12.75"/>
  <cols>
    <col min="1" max="1" width="3.7109375" style="0" customWidth="1"/>
    <col min="3" max="3" width="2.7109375" style="0" customWidth="1"/>
    <col min="4" max="4" width="71.7109375" style="0" customWidth="1"/>
  </cols>
  <sheetData>
    <row r="2" spans="2:4" ht="12.75">
      <c r="B2" s="157" t="s">
        <v>83</v>
      </c>
      <c r="D2" s="154"/>
    </row>
    <row r="3" spans="2:4" ht="25.5">
      <c r="B3" s="24"/>
      <c r="D3" s="155" t="s">
        <v>84</v>
      </c>
    </row>
    <row r="4" spans="1:4" ht="25.5">
      <c r="A4" s="157" t="s">
        <v>1548</v>
      </c>
      <c r="B4" s="156">
        <f>'Table 6'!B10/1000</f>
        <v>6.039758672081863</v>
      </c>
      <c r="D4" s="155" t="s">
        <v>1524</v>
      </c>
    </row>
    <row r="5" spans="1:4" ht="12.75">
      <c r="A5" s="157" t="s">
        <v>1549</v>
      </c>
      <c r="B5" s="156">
        <f>'Table 6'!C10/1000</f>
        <v>4.8508620502070805</v>
      </c>
      <c r="D5" s="158"/>
    </row>
    <row r="6" spans="1:2" ht="12.75">
      <c r="A6" s="157" t="s">
        <v>1550</v>
      </c>
      <c r="B6" s="156">
        <f>'Table 6'!D10/1000</f>
        <v>4.220829262349712</v>
      </c>
    </row>
    <row r="7" spans="1:4" ht="15">
      <c r="A7" s="157" t="s">
        <v>1551</v>
      </c>
      <c r="B7" s="156">
        <f>'Table 6'!E10/1000</f>
        <v>3.822117131890828</v>
      </c>
      <c r="D7" s="159" t="s">
        <v>68</v>
      </c>
    </row>
    <row r="8" spans="1:4" ht="15">
      <c r="A8" s="157" t="s">
        <v>1552</v>
      </c>
      <c r="B8" s="156">
        <f>'Table 6'!F10/1000</f>
        <v>3.9114011817195227</v>
      </c>
      <c r="D8" s="159" t="s">
        <v>85</v>
      </c>
    </row>
    <row r="9" spans="1:4" ht="15">
      <c r="A9" s="157" t="s">
        <v>1553</v>
      </c>
      <c r="B9" s="156">
        <f>'Table 6'!G10/1000</f>
        <v>4.092988343341576</v>
      </c>
      <c r="D9" s="159" t="s">
        <v>86</v>
      </c>
    </row>
    <row r="10" spans="1:2" ht="12.75">
      <c r="A10" s="157"/>
      <c r="B10" s="156"/>
    </row>
    <row r="11" spans="1:2" ht="12.75">
      <c r="A11" s="157" t="s">
        <v>1554</v>
      </c>
      <c r="B11" s="156">
        <f>'Table 6'!H10/1000</f>
        <v>3.2931458457544895</v>
      </c>
    </row>
    <row r="12" spans="1:2" ht="12.75">
      <c r="A12" s="157" t="s">
        <v>1555</v>
      </c>
      <c r="B12" s="156">
        <f>'Table 6'!I10/1000</f>
        <v>4.425583782396715</v>
      </c>
    </row>
    <row r="13" ht="12.75">
      <c r="B13" s="24"/>
    </row>
    <row r="14" spans="1:2" ht="12.75">
      <c r="A14" t="s">
        <v>87</v>
      </c>
      <c r="B14" s="24">
        <f>(('Table 5b'!J12*1000)/'Table 4'!J9)</f>
        <v>4359.619894500003</v>
      </c>
    </row>
  </sheetData>
  <printOptions/>
  <pageMargins left="0.5" right="0.5" top="0.25" bottom="0.25" header="0.5" footer="0.5"/>
  <pageSetup horizontalDpi="600" verticalDpi="600" orientation="landscape" r:id="rId2"/>
  <headerFooter alignWithMargins="0">
    <oddHeader>&amp;C&amp;RSREB-State Data Exchange</oddHeader>
    <oddFooter>&amp;C--56--&amp;RSeptember 1997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E23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sheetData>
    <row r="1" spans="1:4" ht="12.75">
      <c r="A1" t="s">
        <v>88</v>
      </c>
      <c r="D1" t="s">
        <v>89</v>
      </c>
    </row>
    <row r="2" spans="1:5" ht="12.75">
      <c r="A2" t="s">
        <v>90</v>
      </c>
      <c r="D2" t="s">
        <v>91</v>
      </c>
      <c r="E2" s="160" t="s">
        <v>92</v>
      </c>
    </row>
    <row r="3" spans="1:5" ht="12.75">
      <c r="A3" t="s">
        <v>93</v>
      </c>
      <c r="B3" t="s">
        <v>94</v>
      </c>
      <c r="E3" s="160" t="s">
        <v>95</v>
      </c>
    </row>
    <row r="4" spans="2:5" ht="12.75">
      <c r="B4" t="s">
        <v>96</v>
      </c>
      <c r="E4" s="160" t="s">
        <v>97</v>
      </c>
    </row>
    <row r="5" spans="2:5" ht="12.75">
      <c r="B5" t="s">
        <v>98</v>
      </c>
      <c r="D5" s="2"/>
      <c r="E5" s="160" t="s">
        <v>99</v>
      </c>
    </row>
    <row r="6" spans="2:5" ht="12.75">
      <c r="B6" t="s">
        <v>100</v>
      </c>
      <c r="E6" s="160" t="s">
        <v>101</v>
      </c>
    </row>
    <row r="7" spans="2:5" ht="12.75">
      <c r="B7" t="s">
        <v>102</v>
      </c>
      <c r="E7" s="160" t="s">
        <v>103</v>
      </c>
    </row>
    <row r="8" spans="2:5" ht="12.75">
      <c r="B8" t="s">
        <v>104</v>
      </c>
      <c r="E8" s="160" t="s">
        <v>105</v>
      </c>
    </row>
    <row r="9" spans="2:5" ht="12.75">
      <c r="B9" t="s">
        <v>106</v>
      </c>
      <c r="E9" s="160" t="s">
        <v>107</v>
      </c>
    </row>
    <row r="12" ht="12.75">
      <c r="D12" t="s">
        <v>108</v>
      </c>
    </row>
    <row r="14" spans="4:5" ht="12.75">
      <c r="D14" t="s">
        <v>109</v>
      </c>
      <c r="E14" t="s">
        <v>110</v>
      </c>
    </row>
    <row r="15" ht="12.75">
      <c r="E15" t="s">
        <v>110</v>
      </c>
    </row>
    <row r="16" ht="12.75">
      <c r="E16" t="s">
        <v>110</v>
      </c>
    </row>
    <row r="17" ht="12.75">
      <c r="E17" t="s">
        <v>110</v>
      </c>
    </row>
    <row r="18" ht="12.75">
      <c r="E18" t="s">
        <v>110</v>
      </c>
    </row>
    <row r="19" ht="12.75">
      <c r="E19" t="s">
        <v>110</v>
      </c>
    </row>
    <row r="20" ht="12.75">
      <c r="E20" t="s">
        <v>110</v>
      </c>
    </row>
    <row r="21" ht="12.75">
      <c r="E21" t="s">
        <v>110</v>
      </c>
    </row>
    <row r="22" ht="12.75">
      <c r="E22" t="s">
        <v>110</v>
      </c>
    </row>
    <row r="23" ht="12.75">
      <c r="E23" t="s">
        <v>110</v>
      </c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609"/>
  <sheetViews>
    <sheetView showGridLines="0" defaultGridColor="0" zoomScale="87" zoomScaleNormal="87" colorId="22" workbookViewId="0" topLeftCell="D1">
      <pane ySplit="8" topLeftCell="W370" activePane="bottomLeft" state="frozen"/>
      <selection pane="topLeft" activeCell="D1" sqref="D1"/>
      <selection pane="bottomLeft" activeCell="F373" sqref="F373"/>
    </sheetView>
  </sheetViews>
  <sheetFormatPr defaultColWidth="9.7109375" defaultRowHeight="12.75"/>
  <cols>
    <col min="1" max="1" width="4.7109375" style="0" customWidth="1"/>
    <col min="2" max="2" width="12.7109375" style="0" customWidth="1"/>
    <col min="3" max="3" width="8.7109375" style="0" customWidth="1"/>
    <col min="4" max="4" width="5.7109375" style="0" customWidth="1"/>
  </cols>
  <sheetData>
    <row r="1" ht="15.75">
      <c r="A1" s="3" t="s">
        <v>1441</v>
      </c>
    </row>
    <row r="3" spans="1:17" ht="12" customHeight="1">
      <c r="A3" s="42"/>
      <c r="B3" s="42"/>
      <c r="C3" s="42"/>
      <c r="D3" s="42"/>
      <c r="E3" s="43" t="s">
        <v>1442</v>
      </c>
      <c r="F3" s="44"/>
      <c r="G3" s="43" t="s">
        <v>1443</v>
      </c>
      <c r="H3" s="44"/>
      <c r="I3" s="45"/>
      <c r="J3" s="44"/>
      <c r="K3" s="45"/>
      <c r="L3" s="46"/>
      <c r="M3" s="46"/>
      <c r="N3" s="46"/>
      <c r="O3" s="46"/>
      <c r="P3" s="46"/>
      <c r="Q3" s="44"/>
    </row>
    <row r="4" spans="1:17" ht="12" customHeight="1">
      <c r="A4" s="47"/>
      <c r="B4" s="47"/>
      <c r="C4" s="47"/>
      <c r="D4" s="47"/>
      <c r="E4" s="48" t="s">
        <v>1444</v>
      </c>
      <c r="F4" s="49"/>
      <c r="G4" s="48" t="s">
        <v>1444</v>
      </c>
      <c r="H4" s="49"/>
      <c r="I4" s="35" t="s">
        <v>1445</v>
      </c>
      <c r="J4" s="50"/>
      <c r="K4" s="51" t="s">
        <v>1446</v>
      </c>
      <c r="L4" s="51"/>
      <c r="M4" s="51"/>
      <c r="N4" s="51"/>
      <c r="O4" s="51"/>
      <c r="P4" s="51"/>
      <c r="Q4" s="49"/>
    </row>
    <row r="5" spans="1:17" ht="12" customHeight="1">
      <c r="A5" s="47"/>
      <c r="B5" s="47"/>
      <c r="C5" s="47"/>
      <c r="D5" s="47"/>
      <c r="E5" s="52"/>
      <c r="F5" s="50" t="s">
        <v>1447</v>
      </c>
      <c r="G5" s="53"/>
      <c r="H5" s="50" t="s">
        <v>1447</v>
      </c>
      <c r="I5" s="35" t="s">
        <v>1448</v>
      </c>
      <c r="J5" s="50"/>
      <c r="K5" s="35" t="s">
        <v>1449</v>
      </c>
      <c r="L5" s="54"/>
      <c r="M5" s="35"/>
      <c r="N5" s="54"/>
      <c r="O5" s="35"/>
      <c r="P5" s="35"/>
      <c r="Q5" s="55"/>
    </row>
    <row r="6" spans="1:17" ht="12" customHeight="1">
      <c r="A6" s="47"/>
      <c r="B6" s="47"/>
      <c r="C6" s="47"/>
      <c r="D6" s="47"/>
      <c r="E6" s="52"/>
      <c r="F6" s="50" t="s">
        <v>1450</v>
      </c>
      <c r="G6" s="53"/>
      <c r="H6" s="50" t="s">
        <v>1450</v>
      </c>
      <c r="I6" s="35" t="s">
        <v>1451</v>
      </c>
      <c r="J6" s="50"/>
      <c r="K6" s="35" t="s">
        <v>1452</v>
      </c>
      <c r="L6" s="35" t="s">
        <v>1453</v>
      </c>
      <c r="M6" s="35" t="s">
        <v>1454</v>
      </c>
      <c r="N6" s="35" t="s">
        <v>1454</v>
      </c>
      <c r="O6" s="35" t="s">
        <v>1455</v>
      </c>
      <c r="P6" s="54"/>
      <c r="Q6" s="55"/>
    </row>
    <row r="7" spans="1:17" ht="12" customHeight="1">
      <c r="A7" s="47"/>
      <c r="B7" s="47"/>
      <c r="C7" s="47"/>
      <c r="D7" s="47"/>
      <c r="E7" s="52" t="s">
        <v>1456</v>
      </c>
      <c r="F7" s="50" t="s">
        <v>1457</v>
      </c>
      <c r="G7" s="52" t="s">
        <v>1456</v>
      </c>
      <c r="H7" s="50" t="s">
        <v>1457</v>
      </c>
      <c r="I7" s="35" t="s">
        <v>1458</v>
      </c>
      <c r="J7" s="50"/>
      <c r="K7" s="35" t="s">
        <v>1459</v>
      </c>
      <c r="L7" s="35" t="s">
        <v>1460</v>
      </c>
      <c r="M7" s="35" t="s">
        <v>1461</v>
      </c>
      <c r="N7" s="35" t="s">
        <v>1462</v>
      </c>
      <c r="O7" s="35" t="s">
        <v>1462</v>
      </c>
      <c r="P7" s="35" t="s">
        <v>1463</v>
      </c>
      <c r="Q7" s="55"/>
    </row>
    <row r="8" spans="1:17" ht="12" customHeight="1">
      <c r="A8" s="56" t="s">
        <v>117</v>
      </c>
      <c r="B8" s="56" t="s">
        <v>119</v>
      </c>
      <c r="C8" s="169" t="s">
        <v>120</v>
      </c>
      <c r="D8" s="169" t="s">
        <v>121</v>
      </c>
      <c r="E8" s="48" t="s">
        <v>1464</v>
      </c>
      <c r="F8" s="49" t="s">
        <v>1465</v>
      </c>
      <c r="G8" s="48" t="s">
        <v>1464</v>
      </c>
      <c r="H8" s="49" t="s">
        <v>1465</v>
      </c>
      <c r="I8" s="57" t="s">
        <v>1466</v>
      </c>
      <c r="J8" s="58" t="s">
        <v>1467</v>
      </c>
      <c r="K8" s="51" t="s">
        <v>1468</v>
      </c>
      <c r="L8" s="51" t="s">
        <v>1458</v>
      </c>
      <c r="M8" s="51" t="s">
        <v>1469</v>
      </c>
      <c r="N8" s="51" t="s">
        <v>1470</v>
      </c>
      <c r="O8" s="51" t="s">
        <v>1470</v>
      </c>
      <c r="P8" s="51" t="s">
        <v>1468</v>
      </c>
      <c r="Q8" s="49" t="s">
        <v>1467</v>
      </c>
    </row>
    <row r="9" spans="1:17" ht="12" customHeight="1">
      <c r="A9" s="47" t="s">
        <v>127</v>
      </c>
      <c r="B9" s="12" t="s">
        <v>129</v>
      </c>
      <c r="C9" s="165" t="s">
        <v>130</v>
      </c>
      <c r="D9" s="170" t="s">
        <v>131</v>
      </c>
      <c r="E9" s="13">
        <v>103881067</v>
      </c>
      <c r="F9" s="18">
        <v>97422983</v>
      </c>
      <c r="G9" s="13" t="s">
        <v>306</v>
      </c>
      <c r="H9" s="59"/>
      <c r="I9" s="13">
        <v>16197562</v>
      </c>
      <c r="J9" s="18"/>
      <c r="K9" s="13"/>
      <c r="L9" s="19"/>
      <c r="M9" s="19"/>
      <c r="N9" s="19"/>
      <c r="O9" s="19"/>
      <c r="P9" s="60"/>
      <c r="Q9" s="61"/>
    </row>
    <row r="10" spans="1:17" ht="12" customHeight="1">
      <c r="A10" s="47" t="s">
        <v>127</v>
      </c>
      <c r="B10" s="12" t="s">
        <v>132</v>
      </c>
      <c r="C10" s="165" t="s">
        <v>133</v>
      </c>
      <c r="D10" s="170" t="s">
        <v>131</v>
      </c>
      <c r="E10" s="13">
        <v>104767836</v>
      </c>
      <c r="F10" s="13">
        <v>97435199</v>
      </c>
      <c r="G10" s="62"/>
      <c r="H10" s="59"/>
      <c r="I10" s="19"/>
      <c r="J10" s="18">
        <v>4425667</v>
      </c>
      <c r="K10" s="19"/>
      <c r="L10" s="19"/>
      <c r="M10" s="19"/>
      <c r="N10" s="19"/>
      <c r="O10" s="19"/>
      <c r="P10" s="60"/>
      <c r="Q10" s="61"/>
    </row>
    <row r="11" spans="1:17" ht="12" customHeight="1">
      <c r="A11" s="47" t="s">
        <v>127</v>
      </c>
      <c r="B11" s="12" t="s">
        <v>1471</v>
      </c>
      <c r="C11" s="165" t="s">
        <v>135</v>
      </c>
      <c r="D11" s="170" t="s">
        <v>136</v>
      </c>
      <c r="E11" s="13">
        <v>41598829</v>
      </c>
      <c r="F11" s="13">
        <v>38407631</v>
      </c>
      <c r="G11" s="62"/>
      <c r="H11" s="59"/>
      <c r="I11" s="19"/>
      <c r="J11" s="18">
        <v>139949653</v>
      </c>
      <c r="K11" s="19"/>
      <c r="L11" s="19"/>
      <c r="M11" s="19"/>
      <c r="N11" s="19"/>
      <c r="O11" s="19"/>
      <c r="P11" s="60"/>
      <c r="Q11" s="61"/>
    </row>
    <row r="12" spans="1:17" ht="12" customHeight="1">
      <c r="A12" s="47" t="s">
        <v>127</v>
      </c>
      <c r="B12" s="12" t="s">
        <v>137</v>
      </c>
      <c r="C12" s="165" t="s">
        <v>138</v>
      </c>
      <c r="D12" s="170" t="s">
        <v>139</v>
      </c>
      <c r="E12" s="13">
        <v>22974966</v>
      </c>
      <c r="F12" s="13">
        <v>21067219</v>
      </c>
      <c r="G12" s="62"/>
      <c r="H12" s="59"/>
      <c r="I12" s="19"/>
      <c r="J12" s="18"/>
      <c r="K12" s="19"/>
      <c r="L12" s="19"/>
      <c r="M12" s="19"/>
      <c r="N12" s="19"/>
      <c r="O12" s="19"/>
      <c r="P12" s="60"/>
      <c r="Q12" s="61"/>
    </row>
    <row r="13" spans="1:17" ht="12" customHeight="1">
      <c r="A13" s="47" t="s">
        <v>127</v>
      </c>
      <c r="B13" s="12" t="s">
        <v>140</v>
      </c>
      <c r="C13" s="165" t="s">
        <v>141</v>
      </c>
      <c r="D13" s="170" t="s">
        <v>139</v>
      </c>
      <c r="E13" s="13">
        <v>26954266</v>
      </c>
      <c r="F13" s="13">
        <v>24465277</v>
      </c>
      <c r="G13" s="62"/>
      <c r="H13" s="59"/>
      <c r="I13" s="19"/>
      <c r="J13" s="18"/>
      <c r="K13" s="19"/>
      <c r="L13" s="19"/>
      <c r="M13" s="19"/>
      <c r="N13" s="19"/>
      <c r="O13" s="19"/>
      <c r="P13" s="60"/>
      <c r="Q13" s="61"/>
    </row>
    <row r="14" spans="1:17" ht="12" customHeight="1">
      <c r="A14" s="47" t="s">
        <v>127</v>
      </c>
      <c r="B14" s="12" t="s">
        <v>1472</v>
      </c>
      <c r="C14" s="165" t="s">
        <v>143</v>
      </c>
      <c r="D14" s="170" t="s">
        <v>139</v>
      </c>
      <c r="E14" s="13">
        <v>33242583</v>
      </c>
      <c r="F14" s="13">
        <v>30161376</v>
      </c>
      <c r="G14" s="62"/>
      <c r="H14" s="59"/>
      <c r="I14" s="19"/>
      <c r="J14" s="18">
        <v>4075119</v>
      </c>
      <c r="K14" s="19"/>
      <c r="L14" s="19"/>
      <c r="M14" s="19"/>
      <c r="N14" s="19"/>
      <c r="O14" s="19"/>
      <c r="P14" s="60"/>
      <c r="Q14" s="61"/>
    </row>
    <row r="15" spans="1:17" ht="12" customHeight="1">
      <c r="A15" s="47" t="s">
        <v>127</v>
      </c>
      <c r="B15" s="12" t="s">
        <v>144</v>
      </c>
      <c r="C15" s="165" t="s">
        <v>145</v>
      </c>
      <c r="D15" s="170" t="s">
        <v>139</v>
      </c>
      <c r="E15" s="13">
        <v>30199071</v>
      </c>
      <c r="F15" s="13">
        <v>27985939</v>
      </c>
      <c r="G15" s="62"/>
      <c r="H15" s="59"/>
      <c r="I15" s="19"/>
      <c r="J15" s="18">
        <v>41091759</v>
      </c>
      <c r="K15" s="19"/>
      <c r="L15" s="19"/>
      <c r="M15" s="19"/>
      <c r="N15" s="19"/>
      <c r="O15" s="19"/>
      <c r="P15" s="60"/>
      <c r="Q15" s="61"/>
    </row>
    <row r="16" spans="1:17" ht="12" customHeight="1">
      <c r="A16" s="47" t="s">
        <v>127</v>
      </c>
      <c r="B16" s="12" t="s">
        <v>146</v>
      </c>
      <c r="C16" s="165" t="s">
        <v>147</v>
      </c>
      <c r="D16" s="170" t="s">
        <v>148</v>
      </c>
      <c r="E16" s="13">
        <v>17323086</v>
      </c>
      <c r="F16" s="13">
        <v>16432851</v>
      </c>
      <c r="G16" s="62"/>
      <c r="H16" s="59"/>
      <c r="I16" s="19"/>
      <c r="J16" s="18"/>
      <c r="K16" s="19"/>
      <c r="L16" s="19"/>
      <c r="M16" s="19"/>
      <c r="N16" s="19"/>
      <c r="O16" s="19"/>
      <c r="P16" s="60"/>
      <c r="Q16" s="61"/>
    </row>
    <row r="17" spans="1:17" ht="12" customHeight="1">
      <c r="A17" s="47" t="s">
        <v>127</v>
      </c>
      <c r="B17" s="12" t="s">
        <v>149</v>
      </c>
      <c r="C17" s="165" t="s">
        <v>150</v>
      </c>
      <c r="D17" s="170" t="s">
        <v>148</v>
      </c>
      <c r="E17" s="13">
        <v>20111313</v>
      </c>
      <c r="F17" s="13">
        <v>18850762</v>
      </c>
      <c r="G17" s="62"/>
      <c r="H17" s="59"/>
      <c r="I17" s="19"/>
      <c r="J17" s="18"/>
      <c r="K17" s="19"/>
      <c r="L17" s="19"/>
      <c r="M17" s="19"/>
      <c r="N17" s="19"/>
      <c r="O17" s="19"/>
      <c r="P17" s="60"/>
      <c r="Q17" s="61"/>
    </row>
    <row r="18" spans="1:17" ht="12" customHeight="1">
      <c r="A18" s="47" t="s">
        <v>127</v>
      </c>
      <c r="B18" s="12" t="s">
        <v>151</v>
      </c>
      <c r="C18" s="165" t="s">
        <v>152</v>
      </c>
      <c r="D18" s="170" t="s">
        <v>148</v>
      </c>
      <c r="E18" s="13">
        <v>4715183</v>
      </c>
      <c r="F18" s="13">
        <v>4419640</v>
      </c>
      <c r="G18" s="62"/>
      <c r="H18" s="59"/>
      <c r="I18" s="19"/>
      <c r="J18" s="18"/>
      <c r="K18" s="19"/>
      <c r="L18" s="19"/>
      <c r="M18" s="19"/>
      <c r="N18" s="19"/>
      <c r="O18" s="19"/>
      <c r="P18" s="60"/>
      <c r="Q18" s="61"/>
    </row>
    <row r="19" spans="1:17" ht="12" customHeight="1">
      <c r="A19" s="47" t="s">
        <v>127</v>
      </c>
      <c r="B19" s="12" t="s">
        <v>153</v>
      </c>
      <c r="C19" s="165" t="s">
        <v>154</v>
      </c>
      <c r="D19" s="170" t="s">
        <v>148</v>
      </c>
      <c r="E19" s="13">
        <v>13626774</v>
      </c>
      <c r="F19" s="13">
        <v>12923577</v>
      </c>
      <c r="G19" s="62"/>
      <c r="H19" s="59"/>
      <c r="I19" s="19"/>
      <c r="J19" s="18"/>
      <c r="K19" s="19"/>
      <c r="L19" s="19"/>
      <c r="M19" s="19"/>
      <c r="N19" s="19"/>
      <c r="O19" s="19"/>
      <c r="P19" s="60"/>
      <c r="Q19" s="61"/>
    </row>
    <row r="20" spans="1:17" ht="12" customHeight="1">
      <c r="A20" s="47" t="s">
        <v>127</v>
      </c>
      <c r="B20" s="12" t="s">
        <v>155</v>
      </c>
      <c r="C20" s="165" t="s">
        <v>156</v>
      </c>
      <c r="D20" s="170" t="s">
        <v>157</v>
      </c>
      <c r="E20" s="13">
        <v>27397351</v>
      </c>
      <c r="F20" s="13">
        <v>25229592</v>
      </c>
      <c r="G20" s="62"/>
      <c r="H20" s="59"/>
      <c r="I20" s="19"/>
      <c r="J20" s="59"/>
      <c r="K20" s="19"/>
      <c r="L20" s="19"/>
      <c r="M20" s="19"/>
      <c r="N20" s="19"/>
      <c r="O20" s="19"/>
      <c r="P20" s="60"/>
      <c r="Q20" s="61"/>
    </row>
    <row r="21" spans="1:17" ht="12" customHeight="1">
      <c r="A21" s="47" t="s">
        <v>127</v>
      </c>
      <c r="B21" s="12" t="s">
        <v>158</v>
      </c>
      <c r="C21" s="165" t="s">
        <v>159</v>
      </c>
      <c r="D21" s="170" t="s">
        <v>157</v>
      </c>
      <c r="E21" s="13">
        <v>4427422</v>
      </c>
      <c r="F21" s="13">
        <v>4149917</v>
      </c>
      <c r="G21" s="62"/>
      <c r="H21" s="59"/>
      <c r="I21" s="19"/>
      <c r="J21" s="59"/>
      <c r="K21" s="19"/>
      <c r="L21" s="19"/>
      <c r="M21" s="19"/>
      <c r="N21" s="19"/>
      <c r="O21" s="19"/>
      <c r="P21" s="60"/>
      <c r="Q21" s="61"/>
    </row>
    <row r="22" spans="1:17" ht="12" customHeight="1">
      <c r="A22" s="47" t="s">
        <v>127</v>
      </c>
      <c r="B22" s="12" t="s">
        <v>160</v>
      </c>
      <c r="C22" s="165" t="s">
        <v>161</v>
      </c>
      <c r="D22" s="170" t="s">
        <v>157</v>
      </c>
      <c r="E22" s="13">
        <v>19208886</v>
      </c>
      <c r="F22" s="13">
        <v>18104587</v>
      </c>
      <c r="G22" s="62"/>
      <c r="H22" s="59"/>
      <c r="I22" s="19"/>
      <c r="J22" s="59"/>
      <c r="K22" s="19"/>
      <c r="L22" s="19"/>
      <c r="M22" s="19"/>
      <c r="N22" s="19"/>
      <c r="O22" s="19"/>
      <c r="P22" s="60"/>
      <c r="Q22" s="61"/>
    </row>
    <row r="23" spans="1:17" ht="12" customHeight="1">
      <c r="A23" s="47" t="s">
        <v>127</v>
      </c>
      <c r="B23" s="12" t="s">
        <v>1473</v>
      </c>
      <c r="C23" s="165" t="s">
        <v>163</v>
      </c>
      <c r="D23" s="170" t="s">
        <v>157</v>
      </c>
      <c r="E23" s="13">
        <v>8528332</v>
      </c>
      <c r="F23" s="13">
        <v>8029620</v>
      </c>
      <c r="G23" s="62"/>
      <c r="H23" s="59"/>
      <c r="I23" s="19"/>
      <c r="J23" s="59"/>
      <c r="K23" s="19"/>
      <c r="L23" s="19"/>
      <c r="M23" s="19"/>
      <c r="N23" s="19"/>
      <c r="O23" s="19"/>
      <c r="P23" s="60"/>
      <c r="Q23" s="61"/>
    </row>
    <row r="24" spans="1:17" ht="12" customHeight="1">
      <c r="A24" s="47" t="s">
        <v>127</v>
      </c>
      <c r="B24" s="12" t="s">
        <v>164</v>
      </c>
      <c r="C24" s="165" t="s">
        <v>165</v>
      </c>
      <c r="D24" s="170" t="s">
        <v>166</v>
      </c>
      <c r="E24" s="13">
        <v>7151911</v>
      </c>
      <c r="F24" s="13">
        <v>7018738</v>
      </c>
      <c r="G24" s="62"/>
      <c r="H24" s="59"/>
      <c r="I24" s="19"/>
      <c r="J24" s="59"/>
      <c r="K24" s="19"/>
      <c r="L24" s="19"/>
      <c r="M24" s="19"/>
      <c r="N24" s="19"/>
      <c r="O24" s="19"/>
      <c r="P24" s="60"/>
      <c r="Q24" s="61"/>
    </row>
    <row r="25" spans="1:17" ht="12" customHeight="1">
      <c r="A25" s="47" t="s">
        <v>127</v>
      </c>
      <c r="B25" s="12" t="s">
        <v>168</v>
      </c>
      <c r="C25" s="165" t="s">
        <v>169</v>
      </c>
      <c r="D25" s="170" t="s">
        <v>170</v>
      </c>
      <c r="E25" s="13">
        <v>5014342</v>
      </c>
      <c r="F25" s="13">
        <v>4876795</v>
      </c>
      <c r="G25" s="62"/>
      <c r="H25" s="59"/>
      <c r="I25" s="19"/>
      <c r="J25" s="59"/>
      <c r="K25" s="19"/>
      <c r="L25" s="19"/>
      <c r="M25" s="19"/>
      <c r="N25" s="19"/>
      <c r="O25" s="19"/>
      <c r="P25" s="60"/>
      <c r="Q25" s="61"/>
    </row>
    <row r="26" spans="1:17" ht="12" customHeight="1">
      <c r="A26" s="47" t="s">
        <v>127</v>
      </c>
      <c r="B26" s="12" t="s">
        <v>171</v>
      </c>
      <c r="C26" s="165" t="s">
        <v>172</v>
      </c>
      <c r="D26" s="170" t="s">
        <v>170</v>
      </c>
      <c r="E26" s="13">
        <v>11601129</v>
      </c>
      <c r="F26" s="13">
        <v>11331108</v>
      </c>
      <c r="G26" s="62"/>
      <c r="H26" s="59"/>
      <c r="I26" s="19"/>
      <c r="J26" s="59"/>
      <c r="K26" s="19"/>
      <c r="L26" s="19"/>
      <c r="M26" s="19"/>
      <c r="N26" s="19"/>
      <c r="O26" s="19"/>
      <c r="P26" s="60"/>
      <c r="Q26" s="61"/>
    </row>
    <row r="27" spans="1:17" ht="12" customHeight="1">
      <c r="A27" s="47" t="s">
        <v>127</v>
      </c>
      <c r="B27" s="12" t="s">
        <v>173</v>
      </c>
      <c r="C27" s="165" t="s">
        <v>174</v>
      </c>
      <c r="D27" s="170" t="s">
        <v>170</v>
      </c>
      <c r="E27" s="13">
        <v>10833611</v>
      </c>
      <c r="F27" s="13">
        <v>11142001</v>
      </c>
      <c r="G27" s="62"/>
      <c r="H27" s="59"/>
      <c r="I27" s="19"/>
      <c r="J27" s="59"/>
      <c r="K27" s="19"/>
      <c r="L27" s="19"/>
      <c r="M27" s="19"/>
      <c r="N27" s="19"/>
      <c r="O27" s="19"/>
      <c r="P27" s="60"/>
      <c r="Q27" s="61"/>
    </row>
    <row r="28" spans="1:17" ht="12" customHeight="1">
      <c r="A28" s="47" t="s">
        <v>127</v>
      </c>
      <c r="B28" s="12" t="s">
        <v>175</v>
      </c>
      <c r="C28" s="165" t="s">
        <v>176</v>
      </c>
      <c r="D28" s="170" t="s">
        <v>170</v>
      </c>
      <c r="E28" s="13">
        <v>5347608</v>
      </c>
      <c r="F28" s="13">
        <v>5101875</v>
      </c>
      <c r="G28" s="62"/>
      <c r="H28" s="59"/>
      <c r="I28" s="19"/>
      <c r="J28" s="59"/>
      <c r="K28" s="19"/>
      <c r="L28" s="19"/>
      <c r="M28" s="19"/>
      <c r="N28" s="19"/>
      <c r="O28" s="19"/>
      <c r="P28" s="60"/>
      <c r="Q28" s="61"/>
    </row>
    <row r="29" spans="1:17" ht="12" customHeight="1">
      <c r="A29" s="47" t="s">
        <v>127</v>
      </c>
      <c r="B29" s="12" t="s">
        <v>177</v>
      </c>
      <c r="C29" s="165" t="s">
        <v>178</v>
      </c>
      <c r="D29" s="170" t="s">
        <v>170</v>
      </c>
      <c r="E29" s="13">
        <v>3811728</v>
      </c>
      <c r="F29" s="13">
        <v>3680230</v>
      </c>
      <c r="G29" s="62"/>
      <c r="H29" s="59"/>
      <c r="I29" s="19"/>
      <c r="J29" s="59"/>
      <c r="K29" s="19"/>
      <c r="L29" s="19"/>
      <c r="M29" s="19"/>
      <c r="N29" s="19"/>
      <c r="O29" s="19"/>
      <c r="P29" s="60"/>
      <c r="Q29" s="61"/>
    </row>
    <row r="30" spans="1:17" ht="12" customHeight="1">
      <c r="A30" s="47" t="s">
        <v>127</v>
      </c>
      <c r="B30" s="12" t="s">
        <v>179</v>
      </c>
      <c r="C30" s="165" t="s">
        <v>180</v>
      </c>
      <c r="D30" s="170" t="s">
        <v>170</v>
      </c>
      <c r="E30" s="13">
        <v>4112872</v>
      </c>
      <c r="F30" s="13">
        <v>3951350</v>
      </c>
      <c r="G30" s="62"/>
      <c r="H30" s="59"/>
      <c r="I30" s="19"/>
      <c r="J30" s="59"/>
      <c r="K30" s="19"/>
      <c r="L30" s="19"/>
      <c r="M30" s="19"/>
      <c r="N30" s="19"/>
      <c r="O30" s="19"/>
      <c r="P30" s="60"/>
      <c r="Q30" s="61"/>
    </row>
    <row r="31" spans="1:17" ht="12" customHeight="1">
      <c r="A31" s="47" t="s">
        <v>127</v>
      </c>
      <c r="B31" s="12" t="s">
        <v>181</v>
      </c>
      <c r="C31" s="165" t="s">
        <v>182</v>
      </c>
      <c r="D31" s="170" t="s">
        <v>170</v>
      </c>
      <c r="E31" s="13">
        <v>12977235</v>
      </c>
      <c r="F31" s="13">
        <v>12711266</v>
      </c>
      <c r="G31" s="62"/>
      <c r="H31" s="59"/>
      <c r="I31" s="19"/>
      <c r="J31" s="59"/>
      <c r="K31" s="19"/>
      <c r="L31" s="19"/>
      <c r="M31" s="19"/>
      <c r="N31" s="19"/>
      <c r="O31" s="19"/>
      <c r="P31" s="60"/>
      <c r="Q31" s="61"/>
    </row>
    <row r="32" spans="1:17" ht="12" customHeight="1">
      <c r="A32" s="47" t="s">
        <v>127</v>
      </c>
      <c r="B32" s="12" t="s">
        <v>183</v>
      </c>
      <c r="C32" s="165" t="s">
        <v>184</v>
      </c>
      <c r="D32" s="170" t="s">
        <v>170</v>
      </c>
      <c r="E32" s="13">
        <v>4766220</v>
      </c>
      <c r="F32" s="13">
        <v>4730370</v>
      </c>
      <c r="G32" s="62"/>
      <c r="H32" s="59"/>
      <c r="I32" s="19"/>
      <c r="J32" s="59"/>
      <c r="K32" s="19"/>
      <c r="L32" s="19"/>
      <c r="M32" s="19"/>
      <c r="N32" s="19"/>
      <c r="O32" s="19"/>
      <c r="P32" s="60"/>
      <c r="Q32" s="61"/>
    </row>
    <row r="33" spans="1:17" ht="12" customHeight="1">
      <c r="A33" s="47" t="s">
        <v>127</v>
      </c>
      <c r="B33" s="12" t="s">
        <v>185</v>
      </c>
      <c r="C33" s="165" t="s">
        <v>186</v>
      </c>
      <c r="D33" s="170" t="s">
        <v>170</v>
      </c>
      <c r="E33" s="13">
        <v>8489898</v>
      </c>
      <c r="F33" s="13">
        <v>8081645</v>
      </c>
      <c r="G33" s="62"/>
      <c r="H33" s="59"/>
      <c r="I33" s="19"/>
      <c r="J33" s="59"/>
      <c r="K33" s="19"/>
      <c r="L33" s="19"/>
      <c r="M33" s="19"/>
      <c r="N33" s="19"/>
      <c r="O33" s="19"/>
      <c r="P33" s="60"/>
      <c r="Q33" s="61"/>
    </row>
    <row r="34" spans="1:17" ht="12" customHeight="1">
      <c r="A34" s="47" t="s">
        <v>127</v>
      </c>
      <c r="B34" s="12" t="s">
        <v>187</v>
      </c>
      <c r="C34" s="165" t="s">
        <v>188</v>
      </c>
      <c r="D34" s="170" t="s">
        <v>170</v>
      </c>
      <c r="E34" s="13">
        <v>6405015</v>
      </c>
      <c r="F34" s="13">
        <v>6248227</v>
      </c>
      <c r="G34" s="62"/>
      <c r="H34" s="59"/>
      <c r="I34" s="19"/>
      <c r="J34" s="59"/>
      <c r="K34" s="19"/>
      <c r="L34" s="19"/>
      <c r="M34" s="19"/>
      <c r="N34" s="19"/>
      <c r="O34" s="19"/>
      <c r="P34" s="60"/>
      <c r="Q34" s="61"/>
    </row>
    <row r="35" spans="1:17" ht="12" customHeight="1">
      <c r="A35" s="47" t="s">
        <v>127</v>
      </c>
      <c r="B35" s="12" t="s">
        <v>189</v>
      </c>
      <c r="C35" s="165" t="s">
        <v>190</v>
      </c>
      <c r="D35" s="170" t="s">
        <v>170</v>
      </c>
      <c r="E35" s="13">
        <v>4966574</v>
      </c>
      <c r="F35" s="13">
        <v>4956735</v>
      </c>
      <c r="G35" s="62"/>
      <c r="H35" s="59"/>
      <c r="I35" s="19"/>
      <c r="J35" s="59"/>
      <c r="K35" s="19"/>
      <c r="L35" s="19"/>
      <c r="M35" s="19"/>
      <c r="N35" s="19"/>
      <c r="O35" s="19"/>
      <c r="P35" s="60"/>
      <c r="Q35" s="61"/>
    </row>
    <row r="36" spans="1:17" ht="12" customHeight="1">
      <c r="A36" s="47" t="s">
        <v>127</v>
      </c>
      <c r="B36" s="12" t="s">
        <v>191</v>
      </c>
      <c r="C36" s="165" t="s">
        <v>192</v>
      </c>
      <c r="D36" s="170" t="s">
        <v>170</v>
      </c>
      <c r="E36" s="13">
        <v>11450306</v>
      </c>
      <c r="F36" s="13">
        <v>11199819</v>
      </c>
      <c r="G36" s="62"/>
      <c r="H36" s="59"/>
      <c r="I36" s="19"/>
      <c r="J36" s="59"/>
      <c r="K36" s="19"/>
      <c r="L36" s="19"/>
      <c r="M36" s="19"/>
      <c r="N36" s="19"/>
      <c r="O36" s="19"/>
      <c r="P36" s="60"/>
      <c r="Q36" s="61"/>
    </row>
    <row r="37" spans="1:17" ht="12" customHeight="1">
      <c r="A37" s="47" t="s">
        <v>127</v>
      </c>
      <c r="B37" s="12" t="s">
        <v>193</v>
      </c>
      <c r="C37" s="165" t="s">
        <v>194</v>
      </c>
      <c r="D37" s="170" t="s">
        <v>170</v>
      </c>
      <c r="E37" s="13">
        <v>13096444</v>
      </c>
      <c r="F37" s="13">
        <v>12994827</v>
      </c>
      <c r="G37" s="62"/>
      <c r="H37" s="59"/>
      <c r="I37" s="19"/>
      <c r="J37" s="59"/>
      <c r="K37" s="19"/>
      <c r="L37" s="19"/>
      <c r="M37" s="19"/>
      <c r="N37" s="19"/>
      <c r="O37" s="19"/>
      <c r="P37" s="60"/>
      <c r="Q37" s="61"/>
    </row>
    <row r="38" spans="1:17" ht="12" customHeight="1">
      <c r="A38" s="47" t="s">
        <v>127</v>
      </c>
      <c r="B38" s="12" t="s">
        <v>195</v>
      </c>
      <c r="C38" s="165" t="s">
        <v>196</v>
      </c>
      <c r="D38" s="170" t="s">
        <v>170</v>
      </c>
      <c r="E38" s="13">
        <v>6074708</v>
      </c>
      <c r="F38" s="13">
        <v>5821233</v>
      </c>
      <c r="G38" s="62"/>
      <c r="H38" s="59"/>
      <c r="I38" s="19"/>
      <c r="J38" s="59"/>
      <c r="K38" s="19"/>
      <c r="L38" s="19"/>
      <c r="M38" s="19"/>
      <c r="N38" s="19"/>
      <c r="O38" s="19"/>
      <c r="P38" s="60"/>
      <c r="Q38" s="61"/>
    </row>
    <row r="39" spans="1:17" ht="12" customHeight="1">
      <c r="A39" s="47" t="s">
        <v>127</v>
      </c>
      <c r="B39" s="12" t="s">
        <v>197</v>
      </c>
      <c r="C39" s="165" t="s">
        <v>198</v>
      </c>
      <c r="D39" s="170" t="s">
        <v>170</v>
      </c>
      <c r="E39" s="13">
        <v>2947420</v>
      </c>
      <c r="F39" s="13">
        <v>2831057</v>
      </c>
      <c r="G39" s="62"/>
      <c r="H39" s="59"/>
      <c r="I39" s="19"/>
      <c r="J39" s="59"/>
      <c r="K39" s="19"/>
      <c r="L39" s="19"/>
      <c r="M39" s="19"/>
      <c r="N39" s="19"/>
      <c r="O39" s="19"/>
      <c r="P39" s="60"/>
      <c r="Q39" s="61"/>
    </row>
    <row r="40" spans="1:17" ht="12" customHeight="1">
      <c r="A40" s="47" t="s">
        <v>127</v>
      </c>
      <c r="B40" s="12" t="s">
        <v>199</v>
      </c>
      <c r="C40" s="165" t="s">
        <v>200</v>
      </c>
      <c r="D40" s="170" t="s">
        <v>170</v>
      </c>
      <c r="E40" s="13">
        <v>3974754</v>
      </c>
      <c r="F40" s="13">
        <v>3950774</v>
      </c>
      <c r="G40" s="62"/>
      <c r="H40" s="59"/>
      <c r="I40" s="19"/>
      <c r="J40" s="59"/>
      <c r="K40" s="19"/>
      <c r="L40" s="19"/>
      <c r="M40" s="19"/>
      <c r="N40" s="19"/>
      <c r="O40" s="19"/>
      <c r="P40" s="60"/>
      <c r="Q40" s="61"/>
    </row>
    <row r="41" spans="1:17" ht="12" customHeight="1">
      <c r="A41" s="47" t="s">
        <v>127</v>
      </c>
      <c r="B41" s="12" t="s">
        <v>201</v>
      </c>
      <c r="C41" s="165" t="s">
        <v>202</v>
      </c>
      <c r="D41" s="170" t="s">
        <v>170</v>
      </c>
      <c r="E41" s="62"/>
      <c r="F41" s="13">
        <v>8064506</v>
      </c>
      <c r="G41" s="62"/>
      <c r="H41" s="59"/>
      <c r="I41" s="19"/>
      <c r="J41" s="59"/>
      <c r="K41" s="19"/>
      <c r="L41" s="19"/>
      <c r="M41" s="19"/>
      <c r="N41" s="19"/>
      <c r="O41" s="19"/>
      <c r="P41" s="60"/>
      <c r="Q41" s="61"/>
    </row>
    <row r="42" spans="1:17" ht="12" customHeight="1">
      <c r="A42" s="47" t="s">
        <v>127</v>
      </c>
      <c r="B42" s="12" t="s">
        <v>203</v>
      </c>
      <c r="C42" s="165" t="s">
        <v>204</v>
      </c>
      <c r="D42" s="170" t="s">
        <v>170</v>
      </c>
      <c r="E42" s="13">
        <v>12988602</v>
      </c>
      <c r="F42" s="13">
        <v>12126765</v>
      </c>
      <c r="G42" s="62"/>
      <c r="H42" s="59"/>
      <c r="I42" s="19"/>
      <c r="J42" s="59"/>
      <c r="K42" s="19"/>
      <c r="L42" s="19"/>
      <c r="M42" s="19"/>
      <c r="N42" s="19"/>
      <c r="O42" s="19"/>
      <c r="P42" s="60"/>
      <c r="Q42" s="61"/>
    </row>
    <row r="43" spans="1:17" ht="12" customHeight="1">
      <c r="A43" s="47" t="s">
        <v>127</v>
      </c>
      <c r="B43" s="12" t="s">
        <v>205</v>
      </c>
      <c r="C43" s="165" t="s">
        <v>206</v>
      </c>
      <c r="D43" s="170" t="s">
        <v>170</v>
      </c>
      <c r="E43" s="13">
        <v>7949370</v>
      </c>
      <c r="F43" s="59"/>
      <c r="G43" s="62"/>
      <c r="H43" s="59"/>
      <c r="I43" s="19"/>
      <c r="J43" s="59"/>
      <c r="K43" s="19"/>
      <c r="L43" s="19"/>
      <c r="M43" s="19"/>
      <c r="N43" s="19"/>
      <c r="O43" s="19"/>
      <c r="P43" s="60"/>
      <c r="Q43" s="61"/>
    </row>
    <row r="44" spans="1:17" ht="12" customHeight="1">
      <c r="A44" s="47" t="s">
        <v>127</v>
      </c>
      <c r="B44" s="12" t="s">
        <v>207</v>
      </c>
      <c r="C44" s="165" t="s">
        <v>208</v>
      </c>
      <c r="D44" s="170" t="s">
        <v>170</v>
      </c>
      <c r="E44" s="13">
        <v>3924637</v>
      </c>
      <c r="F44" s="13">
        <v>3790112</v>
      </c>
      <c r="G44" s="62"/>
      <c r="H44" s="59"/>
      <c r="I44" s="19"/>
      <c r="J44" s="59"/>
      <c r="K44" s="19"/>
      <c r="L44" s="19"/>
      <c r="M44" s="19"/>
      <c r="N44" s="19"/>
      <c r="O44" s="19"/>
      <c r="P44" s="60"/>
      <c r="Q44" s="61"/>
    </row>
    <row r="45" spans="1:17" ht="12" customHeight="1">
      <c r="A45" s="47" t="s">
        <v>127</v>
      </c>
      <c r="B45" s="12" t="s">
        <v>209</v>
      </c>
      <c r="C45" s="165" t="s">
        <v>210</v>
      </c>
      <c r="D45" s="170" t="s">
        <v>170</v>
      </c>
      <c r="E45" s="13">
        <v>9001287</v>
      </c>
      <c r="F45" s="13">
        <v>8720330</v>
      </c>
      <c r="G45" s="62"/>
      <c r="H45" s="59"/>
      <c r="I45" s="19"/>
      <c r="J45" s="59"/>
      <c r="K45" s="19"/>
      <c r="L45" s="19"/>
      <c r="M45" s="19"/>
      <c r="N45" s="19"/>
      <c r="O45" s="19"/>
      <c r="P45" s="60"/>
      <c r="Q45" s="61"/>
    </row>
    <row r="46" spans="1:17" ht="12" customHeight="1">
      <c r="A46" s="47" t="s">
        <v>127</v>
      </c>
      <c r="B46" s="12" t="s">
        <v>211</v>
      </c>
      <c r="C46" s="165" t="s">
        <v>212</v>
      </c>
      <c r="D46" s="170" t="s">
        <v>170</v>
      </c>
      <c r="E46" s="13">
        <v>11381928</v>
      </c>
      <c r="F46" s="13">
        <v>10959546</v>
      </c>
      <c r="G46" s="62"/>
      <c r="H46" s="59"/>
      <c r="I46" s="19"/>
      <c r="J46" s="59"/>
      <c r="K46" s="19"/>
      <c r="L46" s="19"/>
      <c r="M46" s="19"/>
      <c r="N46" s="19"/>
      <c r="O46" s="19"/>
      <c r="P46" s="60"/>
      <c r="Q46" s="61"/>
    </row>
    <row r="47" spans="1:17" ht="12" customHeight="1">
      <c r="A47" s="47" t="s">
        <v>127</v>
      </c>
      <c r="B47" s="12" t="s">
        <v>213</v>
      </c>
      <c r="C47" s="165" t="s">
        <v>214</v>
      </c>
      <c r="D47" s="170" t="s">
        <v>215</v>
      </c>
      <c r="E47" s="13">
        <v>2500288</v>
      </c>
      <c r="F47" s="13">
        <v>2393277</v>
      </c>
      <c r="G47" s="62"/>
      <c r="H47" s="59"/>
      <c r="I47" s="19"/>
      <c r="J47" s="59"/>
      <c r="K47" s="19"/>
      <c r="L47" s="19"/>
      <c r="M47" s="19"/>
      <c r="N47" s="19"/>
      <c r="O47" s="19"/>
      <c r="P47" s="60"/>
      <c r="Q47" s="61"/>
    </row>
    <row r="48" spans="1:17" ht="12" customHeight="1">
      <c r="A48" s="47" t="s">
        <v>127</v>
      </c>
      <c r="B48" s="12" t="s">
        <v>216</v>
      </c>
      <c r="C48" s="165" t="s">
        <v>217</v>
      </c>
      <c r="D48" s="170" t="s">
        <v>215</v>
      </c>
      <c r="E48" s="62"/>
      <c r="F48" s="59"/>
      <c r="G48" s="62"/>
      <c r="H48" s="59"/>
      <c r="I48" s="19"/>
      <c r="J48" s="59"/>
      <c r="K48" s="19"/>
      <c r="L48" s="19"/>
      <c r="M48" s="19"/>
      <c r="N48" s="19"/>
      <c r="O48" s="19"/>
      <c r="P48" s="60"/>
      <c r="Q48" s="61"/>
    </row>
    <row r="49" spans="1:17" ht="12" customHeight="1">
      <c r="A49" s="47" t="s">
        <v>127</v>
      </c>
      <c r="B49" s="12" t="s">
        <v>218</v>
      </c>
      <c r="C49" s="165" t="s">
        <v>219</v>
      </c>
      <c r="D49" s="170" t="s">
        <v>215</v>
      </c>
      <c r="E49" s="13">
        <v>5358917</v>
      </c>
      <c r="F49" s="13">
        <v>5158661</v>
      </c>
      <c r="G49" s="62"/>
      <c r="H49" s="59"/>
      <c r="I49" s="19"/>
      <c r="J49" s="59"/>
      <c r="K49" s="19"/>
      <c r="L49" s="19"/>
      <c r="M49" s="19"/>
      <c r="N49" s="19"/>
      <c r="O49" s="19"/>
      <c r="P49" s="60"/>
      <c r="Q49" s="61"/>
    </row>
    <row r="50" spans="1:17" ht="12" customHeight="1">
      <c r="A50" s="47" t="s">
        <v>127</v>
      </c>
      <c r="B50" s="12" t="s">
        <v>220</v>
      </c>
      <c r="C50" s="165" t="s">
        <v>221</v>
      </c>
      <c r="D50" s="170" t="s">
        <v>215</v>
      </c>
      <c r="E50" s="13">
        <v>2868359</v>
      </c>
      <c r="F50" s="13">
        <v>2798556</v>
      </c>
      <c r="G50" s="62"/>
      <c r="H50" s="59"/>
      <c r="I50" s="19"/>
      <c r="J50" s="59"/>
      <c r="K50" s="19"/>
      <c r="L50" s="19"/>
      <c r="M50" s="19"/>
      <c r="N50" s="19"/>
      <c r="O50" s="19"/>
      <c r="P50" s="60"/>
      <c r="Q50" s="61"/>
    </row>
    <row r="51" spans="1:17" ht="12" customHeight="1">
      <c r="A51" s="47" t="s">
        <v>127</v>
      </c>
      <c r="B51" s="12" t="s">
        <v>222</v>
      </c>
      <c r="C51" s="165" t="s">
        <v>223</v>
      </c>
      <c r="D51" s="170" t="s">
        <v>215</v>
      </c>
      <c r="E51" s="13">
        <v>3709732</v>
      </c>
      <c r="F51" s="13">
        <v>3597075</v>
      </c>
      <c r="G51" s="62"/>
      <c r="H51" s="59"/>
      <c r="I51" s="19"/>
      <c r="J51" s="59"/>
      <c r="K51" s="19"/>
      <c r="L51" s="19"/>
      <c r="M51" s="19"/>
      <c r="N51" s="19"/>
      <c r="O51" s="19"/>
      <c r="P51" s="60"/>
      <c r="Q51" s="61"/>
    </row>
    <row r="52" spans="1:17" ht="12" customHeight="1">
      <c r="A52" s="47" t="s">
        <v>127</v>
      </c>
      <c r="B52" s="12" t="s">
        <v>224</v>
      </c>
      <c r="C52" s="165" t="s">
        <v>225</v>
      </c>
      <c r="D52" s="170" t="s">
        <v>215</v>
      </c>
      <c r="E52" s="13">
        <v>2995101</v>
      </c>
      <c r="F52" s="13">
        <v>2882685</v>
      </c>
      <c r="G52" s="62"/>
      <c r="H52" s="59"/>
      <c r="I52" s="19"/>
      <c r="J52" s="59"/>
      <c r="K52" s="19"/>
      <c r="L52" s="19"/>
      <c r="M52" s="19"/>
      <c r="N52" s="19"/>
      <c r="O52" s="19"/>
      <c r="P52" s="60"/>
      <c r="Q52" s="61"/>
    </row>
    <row r="53" spans="1:17" ht="12" customHeight="1">
      <c r="A53" s="47" t="s">
        <v>127</v>
      </c>
      <c r="B53" s="12" t="s">
        <v>226</v>
      </c>
      <c r="C53" s="165" t="s">
        <v>227</v>
      </c>
      <c r="D53" s="170" t="s">
        <v>215</v>
      </c>
      <c r="E53" s="13">
        <v>5576622</v>
      </c>
      <c r="F53" s="13">
        <v>5864418</v>
      </c>
      <c r="G53" s="62"/>
      <c r="H53" s="59"/>
      <c r="I53" s="19"/>
      <c r="J53" s="59"/>
      <c r="K53" s="19"/>
      <c r="L53" s="19"/>
      <c r="M53" s="19"/>
      <c r="N53" s="19"/>
      <c r="O53" s="19"/>
      <c r="P53" s="60"/>
      <c r="Q53" s="61"/>
    </row>
    <row r="54" spans="1:17" ht="12" customHeight="1">
      <c r="A54" s="47" t="s">
        <v>127</v>
      </c>
      <c r="B54" s="12" t="s">
        <v>228</v>
      </c>
      <c r="C54" s="165" t="s">
        <v>229</v>
      </c>
      <c r="D54" s="170" t="s">
        <v>215</v>
      </c>
      <c r="E54" s="13">
        <v>2879075</v>
      </c>
      <c r="F54" s="13">
        <v>2748575</v>
      </c>
      <c r="G54" s="62"/>
      <c r="H54" s="59"/>
      <c r="I54" s="19"/>
      <c r="J54" s="59"/>
      <c r="K54" s="19"/>
      <c r="L54" s="19"/>
      <c r="M54" s="19"/>
      <c r="N54" s="19"/>
      <c r="O54" s="19"/>
      <c r="P54" s="60"/>
      <c r="Q54" s="61"/>
    </row>
    <row r="55" spans="1:17" ht="12" customHeight="1">
      <c r="A55" s="47" t="s">
        <v>127</v>
      </c>
      <c r="B55" s="12" t="s">
        <v>230</v>
      </c>
      <c r="C55" s="165" t="s">
        <v>231</v>
      </c>
      <c r="D55" s="170" t="s">
        <v>215</v>
      </c>
      <c r="E55" s="62"/>
      <c r="F55" s="13" t="s">
        <v>306</v>
      </c>
      <c r="G55" s="62"/>
      <c r="H55" s="59"/>
      <c r="I55" s="19"/>
      <c r="J55" s="59"/>
      <c r="K55" s="19"/>
      <c r="L55" s="19"/>
      <c r="M55" s="19"/>
      <c r="N55" s="19"/>
      <c r="O55" s="19"/>
      <c r="P55" s="60"/>
      <c r="Q55" s="61"/>
    </row>
    <row r="56" spans="1:17" ht="12" customHeight="1">
      <c r="A56" s="47" t="s">
        <v>127</v>
      </c>
      <c r="B56" s="12" t="s">
        <v>232</v>
      </c>
      <c r="C56" s="165" t="s">
        <v>233</v>
      </c>
      <c r="D56" s="170" t="s">
        <v>215</v>
      </c>
      <c r="E56" s="13">
        <v>3214928</v>
      </c>
      <c r="F56" s="13">
        <v>3099556</v>
      </c>
      <c r="G56" s="62"/>
      <c r="H56" s="59"/>
      <c r="I56" s="19"/>
      <c r="J56" s="59"/>
      <c r="K56" s="19"/>
      <c r="L56" s="19"/>
      <c r="M56" s="19"/>
      <c r="N56" s="19"/>
      <c r="O56" s="19"/>
      <c r="P56" s="60"/>
      <c r="Q56" s="61"/>
    </row>
    <row r="57" spans="1:17" ht="12" customHeight="1">
      <c r="A57" s="47" t="s">
        <v>127</v>
      </c>
      <c r="B57" s="12" t="s">
        <v>234</v>
      </c>
      <c r="C57" s="165" t="s">
        <v>235</v>
      </c>
      <c r="D57" s="170" t="s">
        <v>215</v>
      </c>
      <c r="E57" s="13">
        <v>3233545</v>
      </c>
      <c r="F57" s="13">
        <v>3193318</v>
      </c>
      <c r="G57" s="62"/>
      <c r="H57" s="59"/>
      <c r="I57" s="19"/>
      <c r="J57" s="59"/>
      <c r="K57" s="19"/>
      <c r="L57" s="19"/>
      <c r="M57" s="19"/>
      <c r="N57" s="19"/>
      <c r="O57" s="19"/>
      <c r="P57" s="60"/>
      <c r="Q57" s="61"/>
    </row>
    <row r="58" spans="1:17" ht="12" customHeight="1">
      <c r="A58" s="47" t="s">
        <v>127</v>
      </c>
      <c r="B58" s="12" t="s">
        <v>236</v>
      </c>
      <c r="C58" s="165" t="s">
        <v>237</v>
      </c>
      <c r="D58" s="170" t="s">
        <v>215</v>
      </c>
      <c r="E58" s="13">
        <v>4248634</v>
      </c>
      <c r="F58" s="13">
        <v>4201308</v>
      </c>
      <c r="G58" s="62"/>
      <c r="H58" s="59"/>
      <c r="I58" s="19"/>
      <c r="J58" s="59"/>
      <c r="K58" s="19"/>
      <c r="L58" s="19"/>
      <c r="M58" s="19"/>
      <c r="N58" s="19"/>
      <c r="O58" s="19"/>
      <c r="P58" s="60"/>
      <c r="Q58" s="61"/>
    </row>
    <row r="59" spans="1:17" ht="12" customHeight="1">
      <c r="A59" s="47" t="s">
        <v>127</v>
      </c>
      <c r="B59" s="12" t="s">
        <v>238</v>
      </c>
      <c r="C59" s="165" t="s">
        <v>172</v>
      </c>
      <c r="D59" s="170" t="s">
        <v>215</v>
      </c>
      <c r="E59" s="13">
        <f>SUM(E25:E58)</f>
        <v>197700889</v>
      </c>
      <c r="F59" s="59"/>
      <c r="G59" s="62"/>
      <c r="H59" s="59"/>
      <c r="I59" s="19"/>
      <c r="J59" s="59"/>
      <c r="K59" s="19"/>
      <c r="L59" s="19"/>
      <c r="M59" s="19"/>
      <c r="N59" s="19"/>
      <c r="O59" s="19"/>
      <c r="P59" s="60"/>
      <c r="Q59" s="61"/>
    </row>
    <row r="60" spans="1:11" ht="12" customHeight="1">
      <c r="A60" s="47" t="s">
        <v>239</v>
      </c>
      <c r="B60" s="12" t="s">
        <v>240</v>
      </c>
      <c r="C60" s="165" t="s">
        <v>241</v>
      </c>
      <c r="D60" s="19" t="s">
        <v>131</v>
      </c>
      <c r="E60" s="62">
        <v>75253899</v>
      </c>
      <c r="F60" s="13">
        <v>76175554</v>
      </c>
      <c r="G60" s="62"/>
      <c r="H60" s="1"/>
      <c r="I60" s="62"/>
      <c r="J60" s="1"/>
      <c r="K60" s="62"/>
    </row>
    <row r="61" spans="1:11" ht="12" customHeight="1">
      <c r="A61" s="47" t="s">
        <v>239</v>
      </c>
      <c r="B61" s="12" t="s">
        <v>242</v>
      </c>
      <c r="C61" s="165" t="s">
        <v>243</v>
      </c>
      <c r="D61" s="19" t="s">
        <v>139</v>
      </c>
      <c r="E61" s="62">
        <v>36271565</v>
      </c>
      <c r="F61" s="13">
        <v>37065510</v>
      </c>
      <c r="G61" s="62"/>
      <c r="H61" s="1"/>
      <c r="I61" s="62"/>
      <c r="J61" s="1"/>
      <c r="K61" s="62"/>
    </row>
    <row r="62" spans="1:11" ht="12" customHeight="1">
      <c r="A62" s="47" t="s">
        <v>239</v>
      </c>
      <c r="B62" s="12" t="s">
        <v>244</v>
      </c>
      <c r="C62" s="165" t="s">
        <v>245</v>
      </c>
      <c r="D62" s="19" t="s">
        <v>139</v>
      </c>
      <c r="E62" s="62">
        <v>37269195</v>
      </c>
      <c r="F62" s="13">
        <v>40266442</v>
      </c>
      <c r="G62" s="62"/>
      <c r="H62" s="1"/>
      <c r="I62" s="62"/>
      <c r="J62" s="1"/>
      <c r="K62" s="62"/>
    </row>
    <row r="63" spans="1:11" ht="12" customHeight="1">
      <c r="A63" s="47" t="s">
        <v>239</v>
      </c>
      <c r="B63" s="12" t="s">
        <v>246</v>
      </c>
      <c r="C63" s="165" t="s">
        <v>247</v>
      </c>
      <c r="D63" s="19" t="s">
        <v>139</v>
      </c>
      <c r="E63" s="62">
        <v>28893561</v>
      </c>
      <c r="F63" s="13">
        <v>32949873</v>
      </c>
      <c r="G63" s="62"/>
      <c r="H63" s="1"/>
      <c r="I63" s="62"/>
      <c r="J63" s="1"/>
      <c r="K63" s="62"/>
    </row>
    <row r="64" spans="1:11" ht="12" customHeight="1">
      <c r="A64" s="47" t="s">
        <v>239</v>
      </c>
      <c r="B64" s="12" t="s">
        <v>248</v>
      </c>
      <c r="C64" s="165" t="s">
        <v>249</v>
      </c>
      <c r="D64" s="19" t="s">
        <v>157</v>
      </c>
      <c r="E64" s="62">
        <v>15108475</v>
      </c>
      <c r="F64" s="13">
        <v>15374511</v>
      </c>
      <c r="G64" s="62"/>
      <c r="H64" s="1"/>
      <c r="I64" s="62"/>
      <c r="J64" s="1"/>
      <c r="K64" s="62"/>
    </row>
    <row r="65" spans="1:11" ht="12" customHeight="1">
      <c r="A65" s="47" t="s">
        <v>239</v>
      </c>
      <c r="B65" s="12" t="s">
        <v>250</v>
      </c>
      <c r="C65" s="165" t="s">
        <v>251</v>
      </c>
      <c r="D65" s="19" t="s">
        <v>157</v>
      </c>
      <c r="E65" s="62">
        <v>12659463</v>
      </c>
      <c r="F65" s="13">
        <v>13342288</v>
      </c>
      <c r="G65" s="62"/>
      <c r="H65" s="1"/>
      <c r="I65" s="62"/>
      <c r="J65" s="1"/>
      <c r="K65" s="62"/>
    </row>
    <row r="66" spans="1:11" ht="12" customHeight="1">
      <c r="A66" s="47" t="s">
        <v>239</v>
      </c>
      <c r="B66" s="12" t="s">
        <v>252</v>
      </c>
      <c r="C66" s="165" t="s">
        <v>253</v>
      </c>
      <c r="D66" s="19" t="s">
        <v>166</v>
      </c>
      <c r="E66" s="62">
        <v>10158141</v>
      </c>
      <c r="F66" s="13">
        <v>10291994</v>
      </c>
      <c r="G66" s="62"/>
      <c r="H66" s="1"/>
      <c r="I66" s="62"/>
      <c r="J66" s="1"/>
      <c r="K66" s="62"/>
    </row>
    <row r="67" spans="1:11" ht="12" customHeight="1">
      <c r="A67" s="47" t="s">
        <v>239</v>
      </c>
      <c r="B67" s="12" t="s">
        <v>254</v>
      </c>
      <c r="C67" s="165" t="s">
        <v>255</v>
      </c>
      <c r="D67" s="19" t="s">
        <v>166</v>
      </c>
      <c r="E67" s="62">
        <v>8520113</v>
      </c>
      <c r="F67" s="13">
        <v>8683162</v>
      </c>
      <c r="G67" s="62"/>
      <c r="H67" s="1"/>
      <c r="I67" s="62"/>
      <c r="J67" s="1"/>
      <c r="K67" s="62"/>
    </row>
    <row r="68" spans="1:11" ht="12" customHeight="1">
      <c r="A68" s="47" t="s">
        <v>239</v>
      </c>
      <c r="B68" s="12" t="s">
        <v>256</v>
      </c>
      <c r="C68" s="165" t="s">
        <v>257</v>
      </c>
      <c r="D68" s="19" t="s">
        <v>166</v>
      </c>
      <c r="E68" s="62">
        <v>14623680</v>
      </c>
      <c r="F68" s="13">
        <v>15201259</v>
      </c>
      <c r="G68" s="62"/>
      <c r="H68" s="1"/>
      <c r="I68" s="62"/>
      <c r="J68" s="1"/>
      <c r="K68" s="62"/>
    </row>
    <row r="69" spans="1:11" ht="12" customHeight="1">
      <c r="A69" s="47" t="s">
        <v>239</v>
      </c>
      <c r="B69" s="12" t="s">
        <v>1474</v>
      </c>
      <c r="C69" s="165" t="s">
        <v>261</v>
      </c>
      <c r="D69" s="19" t="s">
        <v>170</v>
      </c>
      <c r="E69" s="62">
        <v>4691307</v>
      </c>
      <c r="F69" s="13">
        <v>5681887</v>
      </c>
      <c r="G69" s="62"/>
      <c r="H69" s="1"/>
      <c r="I69" s="62"/>
      <c r="J69" s="1"/>
      <c r="K69" s="62"/>
    </row>
    <row r="70" spans="1:11" ht="12" customHeight="1">
      <c r="A70" s="47" t="s">
        <v>239</v>
      </c>
      <c r="B70" s="12" t="s">
        <v>262</v>
      </c>
      <c r="C70" s="165" t="s">
        <v>261</v>
      </c>
      <c r="D70" s="19" t="s">
        <v>170</v>
      </c>
      <c r="E70" s="62">
        <v>1411932</v>
      </c>
      <c r="F70" s="13">
        <v>1438731</v>
      </c>
      <c r="G70" s="62"/>
      <c r="H70" s="1"/>
      <c r="I70" s="62"/>
      <c r="J70" s="1"/>
      <c r="K70" s="62"/>
    </row>
    <row r="71" spans="1:11" ht="12" customHeight="1">
      <c r="A71" s="47" t="s">
        <v>239</v>
      </c>
      <c r="B71" s="12" t="s">
        <v>1475</v>
      </c>
      <c r="C71" s="165" t="s">
        <v>259</v>
      </c>
      <c r="D71" s="19" t="s">
        <v>170</v>
      </c>
      <c r="E71" s="62">
        <v>1241783</v>
      </c>
      <c r="F71" s="13">
        <v>1073382</v>
      </c>
      <c r="G71" s="62"/>
      <c r="H71" s="1"/>
      <c r="I71" s="62"/>
      <c r="J71" s="1"/>
      <c r="K71" s="62"/>
    </row>
    <row r="72" spans="1:11" ht="12" customHeight="1">
      <c r="A72" s="47" t="s">
        <v>239</v>
      </c>
      <c r="B72" s="12" t="s">
        <v>263</v>
      </c>
      <c r="C72" s="165" t="s">
        <v>264</v>
      </c>
      <c r="D72" s="19" t="s">
        <v>170</v>
      </c>
      <c r="E72" s="62">
        <v>2379074</v>
      </c>
      <c r="F72" s="13">
        <v>2661192</v>
      </c>
      <c r="G72" s="62"/>
      <c r="H72" s="1"/>
      <c r="I72" s="62"/>
      <c r="J72" s="1"/>
      <c r="K72" s="62"/>
    </row>
    <row r="73" spans="1:11" ht="12" customHeight="1">
      <c r="A73" s="47" t="s">
        <v>239</v>
      </c>
      <c r="B73" s="12" t="s">
        <v>265</v>
      </c>
      <c r="C73" s="165" t="s">
        <v>266</v>
      </c>
      <c r="D73" s="19" t="s">
        <v>170</v>
      </c>
      <c r="E73" s="62">
        <v>1493292</v>
      </c>
      <c r="F73" s="13">
        <v>1572466</v>
      </c>
      <c r="G73" s="62"/>
      <c r="H73" s="1"/>
      <c r="I73" s="62"/>
      <c r="J73" s="1"/>
      <c r="K73" s="62"/>
    </row>
    <row r="74" spans="1:11" ht="12" customHeight="1">
      <c r="A74" s="47" t="s">
        <v>239</v>
      </c>
      <c r="B74" s="12" t="s">
        <v>267</v>
      </c>
      <c r="C74" s="165" t="s">
        <v>268</v>
      </c>
      <c r="D74" s="19" t="s">
        <v>170</v>
      </c>
      <c r="E74" s="62">
        <v>3412073</v>
      </c>
      <c r="F74" s="13">
        <v>3490696</v>
      </c>
      <c r="G74" s="62"/>
      <c r="H74" s="1"/>
      <c r="I74" s="62"/>
      <c r="J74" s="1"/>
      <c r="K74" s="62"/>
    </row>
    <row r="75" spans="1:11" ht="12" customHeight="1">
      <c r="A75" s="47" t="s">
        <v>239</v>
      </c>
      <c r="B75" s="12" t="s">
        <v>269</v>
      </c>
      <c r="C75" s="165" t="s">
        <v>270</v>
      </c>
      <c r="D75" s="19" t="s">
        <v>170</v>
      </c>
      <c r="E75" s="62">
        <v>3999665</v>
      </c>
      <c r="F75" s="13">
        <v>4050886</v>
      </c>
      <c r="G75" s="62"/>
      <c r="H75" s="1"/>
      <c r="I75" s="62"/>
      <c r="J75" s="1"/>
      <c r="K75" s="62"/>
    </row>
    <row r="76" spans="1:11" ht="12" customHeight="1">
      <c r="A76" s="47" t="s">
        <v>239</v>
      </c>
      <c r="B76" s="12" t="s">
        <v>271</v>
      </c>
      <c r="C76" s="165" t="s">
        <v>272</v>
      </c>
      <c r="D76" s="19" t="s">
        <v>170</v>
      </c>
      <c r="E76" s="62">
        <v>1773604</v>
      </c>
      <c r="F76" s="13">
        <v>1931718</v>
      </c>
      <c r="G76" s="62"/>
      <c r="H76" s="1"/>
      <c r="I76" s="62"/>
      <c r="J76" s="1"/>
      <c r="K76" s="62"/>
    </row>
    <row r="77" spans="1:11" ht="12" customHeight="1">
      <c r="A77" s="47" t="s">
        <v>239</v>
      </c>
      <c r="B77" s="12" t="s">
        <v>273</v>
      </c>
      <c r="C77" s="165" t="s">
        <v>274</v>
      </c>
      <c r="D77" s="19" t="s">
        <v>170</v>
      </c>
      <c r="E77" s="62">
        <v>1738363</v>
      </c>
      <c r="F77" s="13">
        <v>1765680</v>
      </c>
      <c r="G77" s="62"/>
      <c r="H77" s="1"/>
      <c r="I77" s="62"/>
      <c r="J77" s="1"/>
      <c r="K77" s="62"/>
    </row>
    <row r="78" spans="1:11" ht="12" customHeight="1">
      <c r="A78" s="47" t="s">
        <v>239</v>
      </c>
      <c r="B78" s="12" t="s">
        <v>275</v>
      </c>
      <c r="C78" s="165" t="s">
        <v>276</v>
      </c>
      <c r="D78" s="19" t="s">
        <v>170</v>
      </c>
      <c r="E78" s="62">
        <v>3454733</v>
      </c>
      <c r="F78" s="13">
        <v>3713134</v>
      </c>
      <c r="G78" s="62"/>
      <c r="H78" s="1"/>
      <c r="I78" s="62"/>
      <c r="J78" s="1"/>
      <c r="K78" s="62"/>
    </row>
    <row r="79" spans="1:11" ht="12" customHeight="1">
      <c r="A79" s="47" t="s">
        <v>239</v>
      </c>
      <c r="B79" s="12" t="s">
        <v>277</v>
      </c>
      <c r="C79" s="165" t="s">
        <v>278</v>
      </c>
      <c r="D79" s="19" t="s">
        <v>170</v>
      </c>
      <c r="E79" s="62">
        <v>4810678</v>
      </c>
      <c r="F79" s="13">
        <v>5010708</v>
      </c>
      <c r="G79" s="62"/>
      <c r="H79" s="1"/>
      <c r="I79" s="62"/>
      <c r="J79" s="1"/>
      <c r="K79" s="62"/>
    </row>
    <row r="80" spans="1:11" ht="12" customHeight="1">
      <c r="A80" s="47" t="s">
        <v>239</v>
      </c>
      <c r="B80" s="12" t="s">
        <v>279</v>
      </c>
      <c r="C80" s="165" t="s">
        <v>280</v>
      </c>
      <c r="D80" s="19" t="s">
        <v>170</v>
      </c>
      <c r="E80" s="62">
        <v>1075452</v>
      </c>
      <c r="F80" s="13">
        <v>2726852</v>
      </c>
      <c r="G80" s="62"/>
      <c r="H80" s="1"/>
      <c r="I80" s="62"/>
      <c r="J80" s="1"/>
      <c r="K80" s="62"/>
    </row>
    <row r="81" spans="1:11" ht="12" customHeight="1">
      <c r="A81" s="47" t="s">
        <v>239</v>
      </c>
      <c r="B81" s="12" t="s">
        <v>281</v>
      </c>
      <c r="C81" s="165" t="s">
        <v>282</v>
      </c>
      <c r="D81" s="19" t="s">
        <v>170</v>
      </c>
      <c r="E81" s="62">
        <v>1772978</v>
      </c>
      <c r="F81" s="13">
        <v>1787954</v>
      </c>
      <c r="G81" s="62"/>
      <c r="H81" s="1"/>
      <c r="I81" s="62"/>
      <c r="J81" s="1"/>
      <c r="K81" s="62"/>
    </row>
    <row r="82" spans="1:11" ht="12" customHeight="1">
      <c r="A82" s="47" t="s">
        <v>239</v>
      </c>
      <c r="B82" s="12" t="s">
        <v>283</v>
      </c>
      <c r="C82" s="165" t="s">
        <v>284</v>
      </c>
      <c r="D82" s="19" t="s">
        <v>170</v>
      </c>
      <c r="E82" s="62">
        <v>1475443</v>
      </c>
      <c r="F82" s="13">
        <v>1577221</v>
      </c>
      <c r="G82" s="62"/>
      <c r="H82" s="1"/>
      <c r="I82" s="62"/>
      <c r="J82" s="1"/>
      <c r="K82" s="62"/>
    </row>
    <row r="83" spans="1:11" ht="12" customHeight="1">
      <c r="A83" s="47" t="s">
        <v>239</v>
      </c>
      <c r="B83" s="12" t="s">
        <v>285</v>
      </c>
      <c r="C83" s="165" t="s">
        <v>286</v>
      </c>
      <c r="D83" s="19" t="s">
        <v>170</v>
      </c>
      <c r="E83" s="62">
        <v>2316611</v>
      </c>
      <c r="F83" s="13">
        <v>2340760</v>
      </c>
      <c r="G83" s="62"/>
      <c r="H83" s="1"/>
      <c r="I83" s="62"/>
      <c r="J83" s="1"/>
      <c r="K83" s="62"/>
    </row>
    <row r="84" spans="1:11" ht="12" customHeight="1">
      <c r="A84" s="47" t="s">
        <v>239</v>
      </c>
      <c r="B84" s="12" t="s">
        <v>287</v>
      </c>
      <c r="C84" s="165" t="s">
        <v>288</v>
      </c>
      <c r="D84" s="19" t="s">
        <v>170</v>
      </c>
      <c r="E84" s="62">
        <v>4998744</v>
      </c>
      <c r="F84" s="13">
        <v>5028729</v>
      </c>
      <c r="G84" s="62"/>
      <c r="H84" s="1"/>
      <c r="I84" s="62"/>
      <c r="J84" s="1"/>
      <c r="K84" s="62"/>
    </row>
    <row r="85" spans="1:11" ht="12" customHeight="1">
      <c r="A85" s="47" t="s">
        <v>239</v>
      </c>
      <c r="B85" s="12" t="s">
        <v>289</v>
      </c>
      <c r="C85" s="165" t="s">
        <v>290</v>
      </c>
      <c r="D85" s="19" t="s">
        <v>170</v>
      </c>
      <c r="E85" s="62">
        <v>2708493</v>
      </c>
      <c r="F85" s="13">
        <v>2729972</v>
      </c>
      <c r="G85" s="62"/>
      <c r="H85" s="1"/>
      <c r="I85" s="62"/>
      <c r="J85" s="1"/>
      <c r="K85" s="62"/>
    </row>
    <row r="86" spans="1:11" ht="12" customHeight="1">
      <c r="A86" s="47" t="s">
        <v>239</v>
      </c>
      <c r="B86" s="12" t="s">
        <v>291</v>
      </c>
      <c r="C86" s="165" t="s">
        <v>292</v>
      </c>
      <c r="D86" s="165" t="s">
        <v>170</v>
      </c>
      <c r="E86" s="63">
        <v>3553810</v>
      </c>
      <c r="F86" s="19">
        <v>3912280</v>
      </c>
      <c r="G86" s="62"/>
      <c r="H86" s="1"/>
      <c r="I86" s="62"/>
      <c r="J86" s="1"/>
      <c r="K86" s="62"/>
    </row>
    <row r="87" spans="1:11" ht="12" customHeight="1">
      <c r="A87" s="47" t="s">
        <v>239</v>
      </c>
      <c r="B87" s="12" t="s">
        <v>293</v>
      </c>
      <c r="C87" s="165" t="s">
        <v>294</v>
      </c>
      <c r="D87" s="165" t="s">
        <v>170</v>
      </c>
      <c r="E87" s="63">
        <v>2173283</v>
      </c>
      <c r="F87" s="19">
        <v>2403177</v>
      </c>
      <c r="G87" s="62"/>
      <c r="H87" s="1"/>
      <c r="I87" s="62"/>
      <c r="J87" s="1"/>
      <c r="K87" s="62"/>
    </row>
    <row r="88" spans="1:11" ht="12" customHeight="1">
      <c r="A88" s="47" t="s">
        <v>239</v>
      </c>
      <c r="B88" s="12" t="s">
        <v>295</v>
      </c>
      <c r="C88" s="165" t="s">
        <v>296</v>
      </c>
      <c r="D88" s="165" t="s">
        <v>170</v>
      </c>
      <c r="E88" s="63">
        <v>1534500</v>
      </c>
      <c r="F88" s="19">
        <v>1596065</v>
      </c>
      <c r="G88" s="62"/>
      <c r="H88" s="1"/>
      <c r="I88" s="62"/>
      <c r="J88" s="1"/>
      <c r="K88" s="62"/>
    </row>
    <row r="89" spans="1:11" ht="12" customHeight="1">
      <c r="A89" s="47" t="s">
        <v>239</v>
      </c>
      <c r="B89" s="12" t="s">
        <v>297</v>
      </c>
      <c r="C89" s="40" t="s">
        <v>298</v>
      </c>
      <c r="D89" s="165" t="s">
        <v>170</v>
      </c>
      <c r="E89" s="63">
        <v>3351687</v>
      </c>
      <c r="F89" s="19">
        <v>3581147</v>
      </c>
      <c r="G89" s="62"/>
      <c r="H89" s="1"/>
      <c r="I89" s="62"/>
      <c r="J89" s="1"/>
      <c r="K89" s="62"/>
    </row>
    <row r="90" spans="1:11" ht="12" customHeight="1">
      <c r="A90" s="47" t="s">
        <v>239</v>
      </c>
      <c r="B90" s="12" t="s">
        <v>299</v>
      </c>
      <c r="C90" s="165" t="s">
        <v>300</v>
      </c>
      <c r="D90" s="165" t="s">
        <v>170</v>
      </c>
      <c r="E90" s="63">
        <v>2748104</v>
      </c>
      <c r="F90" s="19">
        <v>2979197</v>
      </c>
      <c r="G90" s="62"/>
      <c r="H90" s="1"/>
      <c r="I90" s="62"/>
      <c r="J90" s="1"/>
      <c r="K90" s="62"/>
    </row>
    <row r="91" spans="1:11" ht="12" customHeight="1">
      <c r="A91" s="47" t="s">
        <v>239</v>
      </c>
      <c r="B91" s="12" t="s">
        <v>301</v>
      </c>
      <c r="C91" s="165" t="s">
        <v>302</v>
      </c>
      <c r="D91" s="165" t="s">
        <v>170</v>
      </c>
      <c r="E91" s="63">
        <v>11526815</v>
      </c>
      <c r="F91" s="19">
        <v>12323722</v>
      </c>
      <c r="G91" s="62"/>
      <c r="H91" s="1"/>
      <c r="I91" s="62"/>
      <c r="J91" s="1"/>
      <c r="K91" s="62"/>
    </row>
    <row r="92" spans="1:11" ht="12" customHeight="1">
      <c r="A92" s="47" t="s">
        <v>239</v>
      </c>
      <c r="B92" s="12" t="s">
        <v>1476</v>
      </c>
      <c r="C92" s="165" t="s">
        <v>304</v>
      </c>
      <c r="D92" s="165" t="s">
        <v>305</v>
      </c>
      <c r="E92" s="63">
        <v>57500520</v>
      </c>
      <c r="F92" s="19"/>
      <c r="G92" s="62"/>
      <c r="H92" s="1"/>
      <c r="I92" s="62"/>
      <c r="J92" s="13">
        <v>59274911</v>
      </c>
      <c r="K92" s="62"/>
    </row>
    <row r="93" spans="1:17" ht="12.75">
      <c r="A93" s="1" t="s">
        <v>307</v>
      </c>
      <c r="B93" s="12" t="s">
        <v>308</v>
      </c>
      <c r="C93" s="165" t="s">
        <v>309</v>
      </c>
      <c r="D93" s="170" t="s">
        <v>131</v>
      </c>
      <c r="E93" s="13">
        <v>173975986</v>
      </c>
      <c r="F93" s="18">
        <v>177936689</v>
      </c>
      <c r="G93" s="13"/>
      <c r="H93" s="18"/>
      <c r="I93" s="13"/>
      <c r="J93" s="18">
        <v>95296802</v>
      </c>
      <c r="K93" s="13"/>
      <c r="L93" s="13"/>
      <c r="M93" s="13"/>
      <c r="N93" s="13"/>
      <c r="O93" s="13"/>
      <c r="P93" s="2"/>
      <c r="Q93" s="2"/>
    </row>
    <row r="94" spans="1:17" ht="12.75">
      <c r="A94" s="1" t="s">
        <v>307</v>
      </c>
      <c r="B94" s="12" t="s">
        <v>310</v>
      </c>
      <c r="C94" s="165" t="s">
        <v>311</v>
      </c>
      <c r="D94" s="170" t="s">
        <v>131</v>
      </c>
      <c r="E94" s="13">
        <v>198643066</v>
      </c>
      <c r="F94" s="18">
        <v>210104237</v>
      </c>
      <c r="G94" s="13"/>
      <c r="H94" s="18"/>
      <c r="I94" s="64"/>
      <c r="J94" s="65"/>
      <c r="K94" s="13"/>
      <c r="L94" s="13"/>
      <c r="M94" s="13"/>
      <c r="N94" s="13"/>
      <c r="O94" s="13"/>
      <c r="P94" s="2"/>
      <c r="Q94" s="2"/>
    </row>
    <row r="95" spans="1:17" ht="12.75">
      <c r="A95" s="1" t="s">
        <v>307</v>
      </c>
      <c r="B95" s="12" t="s">
        <v>312</v>
      </c>
      <c r="C95" s="165" t="s">
        <v>313</v>
      </c>
      <c r="D95" s="171" t="s">
        <v>131</v>
      </c>
      <c r="E95" s="13">
        <v>154936225</v>
      </c>
      <c r="F95" s="18">
        <v>161491665</v>
      </c>
      <c r="G95" s="13"/>
      <c r="H95" s="18"/>
      <c r="I95" s="64"/>
      <c r="J95" s="65">
        <v>49554536</v>
      </c>
      <c r="K95" s="13"/>
      <c r="L95" s="13"/>
      <c r="M95" s="13"/>
      <c r="N95" s="13"/>
      <c r="O95" s="13"/>
      <c r="P95" s="2"/>
      <c r="Q95" s="2"/>
    </row>
    <row r="96" spans="1:17" ht="12.75">
      <c r="A96" s="1" t="s">
        <v>307</v>
      </c>
      <c r="B96" s="12" t="s">
        <v>314</v>
      </c>
      <c r="C96" s="165" t="s">
        <v>315</v>
      </c>
      <c r="D96" s="171" t="s">
        <v>136</v>
      </c>
      <c r="E96" s="13">
        <v>74542433</v>
      </c>
      <c r="F96" s="18">
        <v>81590590</v>
      </c>
      <c r="G96" s="13"/>
      <c r="H96" s="18"/>
      <c r="I96" s="64"/>
      <c r="J96" s="65"/>
      <c r="K96" s="13"/>
      <c r="L96" s="13"/>
      <c r="M96" s="13"/>
      <c r="N96" s="13"/>
      <c r="O96" s="13"/>
      <c r="P96" s="2"/>
      <c r="Q96" s="2"/>
    </row>
    <row r="97" spans="1:17" ht="12.75">
      <c r="A97" s="1" t="s">
        <v>307</v>
      </c>
      <c r="B97" s="12" t="s">
        <v>316</v>
      </c>
      <c r="C97" s="165" t="s">
        <v>317</v>
      </c>
      <c r="D97" s="171" t="s">
        <v>136</v>
      </c>
      <c r="E97" s="13">
        <v>89268188</v>
      </c>
      <c r="F97" s="18">
        <v>100224083</v>
      </c>
      <c r="G97" s="13"/>
      <c r="H97" s="18"/>
      <c r="I97" s="64"/>
      <c r="J97" s="65"/>
      <c r="K97" s="13"/>
      <c r="L97" s="13"/>
      <c r="M97" s="13"/>
      <c r="N97" s="13"/>
      <c r="O97" s="13"/>
      <c r="P97" s="2"/>
      <c r="Q97" s="2"/>
    </row>
    <row r="98" spans="1:17" ht="12.75">
      <c r="A98" s="1" t="s">
        <v>307</v>
      </c>
      <c r="B98" s="12" t="s">
        <v>318</v>
      </c>
      <c r="C98" s="165" t="s">
        <v>319</v>
      </c>
      <c r="D98" s="171" t="s">
        <v>139</v>
      </c>
      <c r="E98" s="13">
        <v>102341048</v>
      </c>
      <c r="F98" s="18">
        <v>110503511</v>
      </c>
      <c r="G98" s="13"/>
      <c r="H98" s="18"/>
      <c r="I98" s="64"/>
      <c r="J98" s="65"/>
      <c r="K98" s="13"/>
      <c r="L98" s="13"/>
      <c r="M98" s="13"/>
      <c r="N98" s="13"/>
      <c r="O98" s="13"/>
      <c r="P98" s="2"/>
      <c r="Q98" s="2"/>
    </row>
    <row r="99" spans="1:17" ht="12.75">
      <c r="A99" s="1" t="s">
        <v>307</v>
      </c>
      <c r="B99" s="12" t="s">
        <v>320</v>
      </c>
      <c r="C99" s="165" t="s">
        <v>321</v>
      </c>
      <c r="D99" s="171" t="s">
        <v>139</v>
      </c>
      <c r="E99" s="13">
        <v>38202931</v>
      </c>
      <c r="F99" s="18">
        <v>39721939</v>
      </c>
      <c r="G99" s="13"/>
      <c r="H99" s="18"/>
      <c r="I99" s="13"/>
      <c r="J99" s="18"/>
      <c r="K99" s="13"/>
      <c r="L99" s="13"/>
      <c r="M99" s="13"/>
      <c r="N99" s="13"/>
      <c r="O99" s="13"/>
      <c r="P99" s="2"/>
      <c r="Q99" s="2"/>
    </row>
    <row r="100" spans="1:17" ht="12.75">
      <c r="A100" s="1" t="s">
        <v>307</v>
      </c>
      <c r="B100" s="12" t="s">
        <v>322</v>
      </c>
      <c r="C100" s="165" t="s">
        <v>323</v>
      </c>
      <c r="D100" s="171" t="s">
        <v>148</v>
      </c>
      <c r="E100" s="13">
        <v>57380790</v>
      </c>
      <c r="F100" s="18">
        <v>60614352</v>
      </c>
      <c r="G100" s="13"/>
      <c r="H100" s="18"/>
      <c r="I100" s="13"/>
      <c r="J100" s="18"/>
      <c r="K100" s="13"/>
      <c r="L100" s="13"/>
      <c r="M100" s="13"/>
      <c r="N100" s="13"/>
      <c r="O100" s="13"/>
      <c r="P100" s="2"/>
      <c r="Q100" s="2"/>
    </row>
    <row r="101" spans="1:17" ht="12.75">
      <c r="A101" s="1" t="s">
        <v>307</v>
      </c>
      <c r="B101" s="12" t="s">
        <v>324</v>
      </c>
      <c r="C101" s="165" t="s">
        <v>325</v>
      </c>
      <c r="D101" s="171" t="s">
        <v>148</v>
      </c>
      <c r="E101" s="13">
        <v>36290446</v>
      </c>
      <c r="F101" s="18">
        <v>38964621</v>
      </c>
      <c r="G101" s="13"/>
      <c r="H101" s="18"/>
      <c r="I101" s="13"/>
      <c r="J101" s="18"/>
      <c r="K101" s="13"/>
      <c r="L101" s="13"/>
      <c r="M101" s="13"/>
      <c r="N101" s="13"/>
      <c r="O101" s="13"/>
      <c r="P101" s="2"/>
      <c r="Q101" s="2"/>
    </row>
    <row r="102" spans="1:17" ht="12.75">
      <c r="A102" s="1" t="s">
        <v>307</v>
      </c>
      <c r="B102" s="12" t="s">
        <v>326</v>
      </c>
      <c r="C102" s="165" t="s">
        <v>327</v>
      </c>
      <c r="D102" s="171" t="s">
        <v>170</v>
      </c>
      <c r="E102" s="66">
        <v>28568236.28843</v>
      </c>
      <c r="F102" s="18">
        <v>28752241.62488</v>
      </c>
      <c r="G102" s="13"/>
      <c r="H102" s="18"/>
      <c r="I102" s="64"/>
      <c r="J102" s="65"/>
      <c r="K102" s="13"/>
      <c r="L102" s="13"/>
      <c r="M102" s="13"/>
      <c r="N102" s="13"/>
      <c r="O102" s="13"/>
      <c r="P102" s="2"/>
      <c r="Q102" s="2"/>
    </row>
    <row r="103" spans="1:17" ht="12.75">
      <c r="A103" s="1" t="s">
        <v>307</v>
      </c>
      <c r="B103" s="12" t="s">
        <v>328</v>
      </c>
      <c r="C103" s="165" t="s">
        <v>329</v>
      </c>
      <c r="D103" s="171" t="s">
        <v>170</v>
      </c>
      <c r="E103" s="13">
        <v>40971276.91841</v>
      </c>
      <c r="F103" s="18">
        <v>43168619.68689</v>
      </c>
      <c r="G103" s="13"/>
      <c r="H103" s="18"/>
      <c r="I103" s="64"/>
      <c r="J103" s="65"/>
      <c r="K103" s="13"/>
      <c r="L103" s="13"/>
      <c r="M103" s="13"/>
      <c r="N103" s="13"/>
      <c r="O103" s="13"/>
      <c r="P103" s="2"/>
      <c r="Q103" s="2"/>
    </row>
    <row r="104" spans="1:17" ht="12.75">
      <c r="A104" s="1" t="s">
        <v>307</v>
      </c>
      <c r="B104" s="12" t="s">
        <v>330</v>
      </c>
      <c r="C104" s="165" t="s">
        <v>331</v>
      </c>
      <c r="D104" s="171" t="s">
        <v>170</v>
      </c>
      <c r="E104" s="13">
        <f>137710600+498601461</f>
        <v>636312061</v>
      </c>
      <c r="F104" s="18">
        <v>12298006.30006</v>
      </c>
      <c r="G104" s="13"/>
      <c r="H104" s="18"/>
      <c r="I104" s="64"/>
      <c r="J104" s="65"/>
      <c r="K104" s="13"/>
      <c r="L104" s="13"/>
      <c r="M104" s="13"/>
      <c r="N104" s="13"/>
      <c r="O104" s="13"/>
      <c r="P104" s="2"/>
      <c r="Q104" s="2"/>
    </row>
    <row r="105" spans="1:17" ht="12.75">
      <c r="A105" s="1" t="s">
        <v>307</v>
      </c>
      <c r="B105" s="12" t="s">
        <v>332</v>
      </c>
      <c r="C105" s="165" t="s">
        <v>333</v>
      </c>
      <c r="D105" s="171" t="s">
        <v>170</v>
      </c>
      <c r="E105" s="13">
        <v>6368476.979127</v>
      </c>
      <c r="F105" s="18">
        <v>6513673.023484</v>
      </c>
      <c r="G105" s="13"/>
      <c r="H105" s="18"/>
      <c r="I105" s="64"/>
      <c r="J105" s="65"/>
      <c r="K105" s="13"/>
      <c r="L105" s="13"/>
      <c r="M105" s="13"/>
      <c r="N105" s="13"/>
      <c r="O105" s="13"/>
      <c r="P105" s="2"/>
      <c r="Q105" s="2"/>
    </row>
    <row r="106" spans="1:17" ht="12.75">
      <c r="A106" s="1" t="s">
        <v>307</v>
      </c>
      <c r="B106" s="12" t="s">
        <v>334</v>
      </c>
      <c r="C106" s="165" t="s">
        <v>335</v>
      </c>
      <c r="D106" s="171" t="s">
        <v>170</v>
      </c>
      <c r="E106" s="13">
        <v>30239716.25237</v>
      </c>
      <c r="F106" s="18">
        <v>32069434.02023</v>
      </c>
      <c r="G106" s="13"/>
      <c r="H106" s="18"/>
      <c r="I106" s="64"/>
      <c r="J106" s="65"/>
      <c r="K106" s="13"/>
      <c r="L106" s="13"/>
      <c r="M106" s="13"/>
      <c r="N106" s="13"/>
      <c r="O106" s="13"/>
      <c r="P106" s="2"/>
      <c r="Q106" s="2"/>
    </row>
    <row r="107" spans="1:17" ht="12.75">
      <c r="A107" s="1" t="s">
        <v>307</v>
      </c>
      <c r="B107" s="12" t="s">
        <v>336</v>
      </c>
      <c r="C107" s="165" t="s">
        <v>337</v>
      </c>
      <c r="D107" s="171" t="s">
        <v>170</v>
      </c>
      <c r="E107" s="13">
        <v>14140028.72106</v>
      </c>
      <c r="F107" s="18">
        <v>14980499.65584</v>
      </c>
      <c r="G107" s="13"/>
      <c r="H107" s="18"/>
      <c r="I107" s="64"/>
      <c r="J107" s="65"/>
      <c r="K107" s="13"/>
      <c r="L107" s="13"/>
      <c r="M107" s="13"/>
      <c r="N107" s="13"/>
      <c r="O107" s="13"/>
      <c r="P107" s="2"/>
      <c r="Q107" s="2"/>
    </row>
    <row r="108" spans="1:17" ht="12.75">
      <c r="A108" s="1" t="s">
        <v>307</v>
      </c>
      <c r="B108" s="12" t="s">
        <v>338</v>
      </c>
      <c r="C108" s="165" t="s">
        <v>339</v>
      </c>
      <c r="D108" s="171" t="s">
        <v>170</v>
      </c>
      <c r="E108" s="13">
        <v>57179791.92789</v>
      </c>
      <c r="F108" s="18">
        <v>59109197.59701</v>
      </c>
      <c r="G108" s="13"/>
      <c r="H108" s="18"/>
      <c r="I108" s="64"/>
      <c r="J108" s="65"/>
      <c r="K108" s="13"/>
      <c r="L108" s="13"/>
      <c r="M108" s="13"/>
      <c r="N108" s="13"/>
      <c r="O108" s="13"/>
      <c r="P108" s="2"/>
      <c r="Q108" s="2"/>
    </row>
    <row r="109" spans="1:17" ht="12.75">
      <c r="A109" s="1" t="s">
        <v>307</v>
      </c>
      <c r="B109" s="12" t="s">
        <v>340</v>
      </c>
      <c r="C109" s="165" t="s">
        <v>341</v>
      </c>
      <c r="D109" s="171" t="s">
        <v>170</v>
      </c>
      <c r="E109" s="13">
        <v>4456365.104364</v>
      </c>
      <c r="F109" s="18">
        <v>4568138.016805</v>
      </c>
      <c r="G109" s="13"/>
      <c r="H109" s="18"/>
      <c r="I109" s="64"/>
      <c r="J109" s="65"/>
      <c r="K109" s="13"/>
      <c r="L109" s="13"/>
      <c r="M109" s="13"/>
      <c r="N109" s="13"/>
      <c r="O109" s="13"/>
      <c r="P109" s="2"/>
      <c r="Q109" s="2"/>
    </row>
    <row r="110" spans="1:17" ht="12.75">
      <c r="A110" s="1" t="s">
        <v>307</v>
      </c>
      <c r="B110" s="12" t="s">
        <v>342</v>
      </c>
      <c r="C110" s="165" t="s">
        <v>343</v>
      </c>
      <c r="D110" s="171" t="s">
        <v>170</v>
      </c>
      <c r="E110" s="13">
        <v>10596994.55977</v>
      </c>
      <c r="F110" s="18">
        <v>11243152.34922</v>
      </c>
      <c r="G110" s="13"/>
      <c r="H110" s="18"/>
      <c r="I110" s="64"/>
      <c r="J110" s="65"/>
      <c r="K110" s="13"/>
      <c r="L110" s="13"/>
      <c r="M110" s="13"/>
      <c r="N110" s="13"/>
      <c r="O110" s="13"/>
      <c r="P110" s="2"/>
      <c r="Q110" s="2"/>
    </row>
    <row r="111" spans="1:17" ht="12.75">
      <c r="A111" s="1" t="s">
        <v>307</v>
      </c>
      <c r="B111" s="12" t="s">
        <v>344</v>
      </c>
      <c r="C111" s="165" t="s">
        <v>345</v>
      </c>
      <c r="D111" s="171" t="s">
        <v>170</v>
      </c>
      <c r="E111" s="13">
        <f>321-5820</f>
        <v>-5499</v>
      </c>
      <c r="F111" s="18">
        <v>33467975.18338</v>
      </c>
      <c r="G111" s="13"/>
      <c r="H111" s="18"/>
      <c r="I111" s="64"/>
      <c r="J111" s="65"/>
      <c r="K111" s="13"/>
      <c r="L111" s="13"/>
      <c r="M111" s="13"/>
      <c r="N111" s="13"/>
      <c r="O111" s="13"/>
      <c r="P111" s="2"/>
      <c r="Q111" s="2"/>
    </row>
    <row r="112" spans="1:17" ht="12.75">
      <c r="A112" s="1" t="s">
        <v>307</v>
      </c>
      <c r="B112" s="12" t="s">
        <v>346</v>
      </c>
      <c r="C112" s="165" t="s">
        <v>347</v>
      </c>
      <c r="D112" s="171" t="s">
        <v>170</v>
      </c>
      <c r="E112" s="13">
        <v>22773261.91082</v>
      </c>
      <c r="F112" s="18">
        <v>24918973.78538</v>
      </c>
      <c r="G112" s="13"/>
      <c r="H112" s="18"/>
      <c r="I112" s="64"/>
      <c r="J112" s="65"/>
      <c r="K112" s="13"/>
      <c r="L112" s="13"/>
      <c r="M112" s="13"/>
      <c r="N112" s="13"/>
      <c r="O112" s="13"/>
      <c r="P112" s="2"/>
      <c r="Q112" s="2"/>
    </row>
    <row r="113" spans="1:17" ht="12.75">
      <c r="A113" s="1" t="s">
        <v>307</v>
      </c>
      <c r="B113" s="12" t="s">
        <v>348</v>
      </c>
      <c r="C113" s="165" t="s">
        <v>349</v>
      </c>
      <c r="D113" s="171" t="s">
        <v>170</v>
      </c>
      <c r="E113" s="13">
        <v>9388707.56926</v>
      </c>
      <c r="F113" s="18">
        <v>9549528.734949</v>
      </c>
      <c r="G113" s="13"/>
      <c r="H113" s="18"/>
      <c r="I113" s="64"/>
      <c r="J113" s="65"/>
      <c r="K113" s="13"/>
      <c r="L113" s="13"/>
      <c r="M113" s="13"/>
      <c r="N113" s="13"/>
      <c r="O113" s="13"/>
      <c r="P113" s="2"/>
      <c r="Q113" s="2"/>
    </row>
    <row r="114" spans="1:17" ht="12.75">
      <c r="A114" s="1" t="s">
        <v>307</v>
      </c>
      <c r="B114" s="12" t="s">
        <v>350</v>
      </c>
      <c r="C114" s="165" t="s">
        <v>351</v>
      </c>
      <c r="D114" s="171" t="s">
        <v>170</v>
      </c>
      <c r="E114" s="13">
        <v>4975466.225806</v>
      </c>
      <c r="F114" s="18">
        <v>5136278.618264</v>
      </c>
      <c r="G114" s="13"/>
      <c r="H114" s="18"/>
      <c r="I114" s="64"/>
      <c r="J114" s="65"/>
      <c r="K114" s="13"/>
      <c r="L114" s="13"/>
      <c r="M114" s="13"/>
      <c r="N114" s="13"/>
      <c r="O114" s="13"/>
      <c r="P114" s="2"/>
      <c r="Q114" s="2"/>
    </row>
    <row r="115" spans="1:17" ht="12.75">
      <c r="A115" s="1" t="s">
        <v>307</v>
      </c>
      <c r="B115" s="12" t="s">
        <v>352</v>
      </c>
      <c r="C115" s="165" t="s">
        <v>353</v>
      </c>
      <c r="D115" s="171" t="s">
        <v>170</v>
      </c>
      <c r="E115" s="13">
        <v>14363102.78558</v>
      </c>
      <c r="F115" s="18">
        <v>14468460.71476</v>
      </c>
      <c r="G115" s="13"/>
      <c r="H115" s="18"/>
      <c r="I115" s="64"/>
      <c r="J115" s="65"/>
      <c r="K115" s="13"/>
      <c r="L115" s="13"/>
      <c r="M115" s="13"/>
      <c r="N115" s="13"/>
      <c r="O115" s="13"/>
      <c r="P115" s="2"/>
      <c r="Q115" s="2"/>
    </row>
    <row r="116" spans="1:17" ht="12.75">
      <c r="A116" s="1" t="s">
        <v>307</v>
      </c>
      <c r="B116" s="12" t="s">
        <v>354</v>
      </c>
      <c r="C116" s="165" t="s">
        <v>355</v>
      </c>
      <c r="D116" s="171" t="s">
        <v>170</v>
      </c>
      <c r="E116" s="13">
        <v>109111124.9317</v>
      </c>
      <c r="F116" s="18">
        <v>110943597.8055</v>
      </c>
      <c r="G116" s="13"/>
      <c r="H116" s="18"/>
      <c r="I116" s="64"/>
      <c r="J116" s="65"/>
      <c r="K116" s="13"/>
      <c r="L116" s="13"/>
      <c r="M116" s="13"/>
      <c r="N116" s="13"/>
      <c r="O116" s="13"/>
      <c r="P116" s="2"/>
      <c r="Q116" s="2"/>
    </row>
    <row r="117" spans="1:17" ht="12.75">
      <c r="A117" s="1" t="s">
        <v>307</v>
      </c>
      <c r="B117" s="12" t="s">
        <v>356</v>
      </c>
      <c r="C117" s="165" t="s">
        <v>357</v>
      </c>
      <c r="D117" s="171" t="s">
        <v>170</v>
      </c>
      <c r="E117" s="13">
        <v>4110784.527514</v>
      </c>
      <c r="F117" s="18">
        <v>4323915.323104</v>
      </c>
      <c r="G117" s="13"/>
      <c r="H117" s="18"/>
      <c r="I117" s="64"/>
      <c r="J117" s="65"/>
      <c r="K117" s="13"/>
      <c r="L117" s="13"/>
      <c r="M117" s="13"/>
      <c r="N117" s="13"/>
      <c r="O117" s="13"/>
      <c r="P117" s="2"/>
      <c r="Q117" s="2"/>
    </row>
    <row r="118" spans="1:17" ht="12.75">
      <c r="A118" s="1" t="s">
        <v>307</v>
      </c>
      <c r="B118" s="12" t="s">
        <v>358</v>
      </c>
      <c r="C118" s="165" t="s">
        <v>359</v>
      </c>
      <c r="D118" s="171" t="s">
        <v>170</v>
      </c>
      <c r="E118" s="13">
        <v>11460559.82732</v>
      </c>
      <c r="F118" s="18">
        <v>12504102.99182</v>
      </c>
      <c r="G118" s="13"/>
      <c r="H118" s="18"/>
      <c r="I118" s="64"/>
      <c r="J118" s="65"/>
      <c r="K118" s="13"/>
      <c r="L118" s="13"/>
      <c r="M118" s="13"/>
      <c r="N118" s="13"/>
      <c r="O118" s="13"/>
      <c r="P118" s="2"/>
      <c r="Q118" s="2"/>
    </row>
    <row r="119" spans="1:17" ht="12.75">
      <c r="A119" s="1" t="s">
        <v>307</v>
      </c>
      <c r="B119" s="12" t="s">
        <v>360</v>
      </c>
      <c r="C119" s="165" t="s">
        <v>361</v>
      </c>
      <c r="D119" s="171" t="s">
        <v>170</v>
      </c>
      <c r="E119" s="13">
        <v>27721637.87287</v>
      </c>
      <c r="F119" s="18">
        <v>28257967.65142</v>
      </c>
      <c r="G119" s="13"/>
      <c r="H119" s="18"/>
      <c r="I119" s="64"/>
      <c r="J119" s="65"/>
      <c r="K119" s="13"/>
      <c r="L119" s="13"/>
      <c r="M119" s="13"/>
      <c r="N119" s="13"/>
      <c r="O119" s="13"/>
      <c r="P119" s="2"/>
      <c r="Q119" s="2"/>
    </row>
    <row r="120" spans="1:17" ht="12.75">
      <c r="A120" s="1" t="s">
        <v>307</v>
      </c>
      <c r="B120" s="12" t="s">
        <v>362</v>
      </c>
      <c r="C120" s="165" t="s">
        <v>363</v>
      </c>
      <c r="D120" s="171" t="s">
        <v>170</v>
      </c>
      <c r="E120" s="13">
        <v>9807304.525617</v>
      </c>
      <c r="F120" s="18">
        <v>10276309.99924</v>
      </c>
      <c r="G120" s="13"/>
      <c r="H120" s="18"/>
      <c r="I120" s="64"/>
      <c r="J120" s="65"/>
      <c r="K120" s="13"/>
      <c r="L120" s="13"/>
      <c r="M120" s="13"/>
      <c r="N120" s="13"/>
      <c r="O120" s="13"/>
      <c r="P120" s="2"/>
      <c r="Q120" s="2"/>
    </row>
    <row r="121" spans="1:17" ht="12.75">
      <c r="A121" s="1" t="s">
        <v>307</v>
      </c>
      <c r="B121" s="12" t="s">
        <v>364</v>
      </c>
      <c r="C121" s="165" t="s">
        <v>365</v>
      </c>
      <c r="D121" s="171" t="s">
        <v>170</v>
      </c>
      <c r="E121" s="13">
        <v>29185333.72676</v>
      </c>
      <c r="F121" s="18">
        <v>29040397.65046</v>
      </c>
      <c r="G121" s="13"/>
      <c r="H121" s="18"/>
      <c r="I121" s="64"/>
      <c r="J121" s="65"/>
      <c r="K121" s="13"/>
      <c r="L121" s="13"/>
      <c r="M121" s="13"/>
      <c r="N121" s="13"/>
      <c r="O121" s="13"/>
      <c r="P121" s="2"/>
      <c r="Q121" s="2"/>
    </row>
    <row r="122" spans="1:17" ht="12.75">
      <c r="A122" s="1" t="s">
        <v>307</v>
      </c>
      <c r="B122" s="12" t="s">
        <v>366</v>
      </c>
      <c r="C122" s="165" t="s">
        <v>367</v>
      </c>
      <c r="D122" s="171" t="s">
        <v>170</v>
      </c>
      <c r="E122" s="13">
        <v>10765710.59772</v>
      </c>
      <c r="F122" s="18">
        <v>11078406.29136</v>
      </c>
      <c r="G122" s="13"/>
      <c r="H122" s="18"/>
      <c r="I122" s="64"/>
      <c r="J122" s="65"/>
      <c r="K122" s="13"/>
      <c r="L122" s="13"/>
      <c r="M122" s="13"/>
      <c r="N122" s="13"/>
      <c r="O122" s="13"/>
      <c r="P122" s="2"/>
      <c r="Q122" s="2"/>
    </row>
    <row r="123" spans="1:17" ht="12.75">
      <c r="A123" s="1" t="s">
        <v>307</v>
      </c>
      <c r="B123" s="12" t="s">
        <v>368</v>
      </c>
      <c r="C123" s="165" t="s">
        <v>369</v>
      </c>
      <c r="D123" s="171" t="s">
        <v>170</v>
      </c>
      <c r="E123" s="13">
        <v>6644760.491651</v>
      </c>
      <c r="F123" s="18">
        <v>7376924.875363</v>
      </c>
      <c r="G123" s="13"/>
      <c r="H123" s="18"/>
      <c r="I123" s="64"/>
      <c r="J123" s="65"/>
      <c r="K123" s="13"/>
      <c r="L123" s="13"/>
      <c r="M123" s="13"/>
      <c r="N123" s="13"/>
      <c r="O123" s="13"/>
      <c r="P123" s="2"/>
      <c r="Q123" s="2"/>
    </row>
    <row r="124" spans="1:17" ht="12.75">
      <c r="A124" s="1" t="s">
        <v>307</v>
      </c>
      <c r="B124" s="12" t="s">
        <v>370</v>
      </c>
      <c r="C124" s="165" t="s">
        <v>371</v>
      </c>
      <c r="D124" s="171" t="s">
        <v>170</v>
      </c>
      <c r="E124" s="13">
        <v>34350884.79905</v>
      </c>
      <c r="F124" s="18">
        <v>34780174.73108</v>
      </c>
      <c r="G124" s="13"/>
      <c r="H124" s="18"/>
      <c r="I124" s="64"/>
      <c r="J124" s="65"/>
      <c r="K124" s="13"/>
      <c r="L124" s="13"/>
      <c r="M124" s="13"/>
      <c r="N124" s="13"/>
      <c r="O124" s="13"/>
      <c r="P124" s="2"/>
      <c r="Q124" s="2"/>
    </row>
    <row r="125" spans="1:17" ht="12.75">
      <c r="A125" s="1" t="s">
        <v>307</v>
      </c>
      <c r="B125" s="12" t="s">
        <v>372</v>
      </c>
      <c r="C125" s="165" t="s">
        <v>373</v>
      </c>
      <c r="D125" s="171" t="s">
        <v>170</v>
      </c>
      <c r="E125" s="13">
        <v>24484915.03245</v>
      </c>
      <c r="F125" s="18">
        <v>25999011.63815</v>
      </c>
      <c r="G125" s="13"/>
      <c r="H125" s="18"/>
      <c r="I125" s="64"/>
      <c r="J125" s="65"/>
      <c r="K125" s="13"/>
      <c r="L125" s="13"/>
      <c r="M125" s="13"/>
      <c r="N125" s="13"/>
      <c r="O125" s="13"/>
      <c r="P125" s="2"/>
      <c r="Q125" s="2"/>
    </row>
    <row r="126" spans="1:17" ht="12.75">
      <c r="A126" s="1" t="s">
        <v>307</v>
      </c>
      <c r="B126" s="12" t="s">
        <v>374</v>
      </c>
      <c r="C126" s="165" t="s">
        <v>375</v>
      </c>
      <c r="D126" s="171" t="s">
        <v>170</v>
      </c>
      <c r="E126" s="13">
        <v>21039690.66622</v>
      </c>
      <c r="F126" s="18">
        <v>21621049.719</v>
      </c>
      <c r="G126" s="13"/>
      <c r="H126" s="18"/>
      <c r="I126" s="64"/>
      <c r="J126" s="65"/>
      <c r="K126" s="13"/>
      <c r="L126" s="13"/>
      <c r="M126" s="13"/>
      <c r="N126" s="13"/>
      <c r="O126" s="13"/>
      <c r="P126" s="2"/>
      <c r="Q126" s="2"/>
    </row>
    <row r="127" spans="1:17" ht="12.75">
      <c r="A127" s="1" t="s">
        <v>307</v>
      </c>
      <c r="B127" s="12" t="s">
        <v>376</v>
      </c>
      <c r="C127" s="165" t="s">
        <v>377</v>
      </c>
      <c r="D127" s="171" t="s">
        <v>170</v>
      </c>
      <c r="E127" s="13">
        <v>9099098.294307</v>
      </c>
      <c r="F127" s="18">
        <v>9586398.422834</v>
      </c>
      <c r="G127" s="13"/>
      <c r="H127" s="18"/>
      <c r="I127" s="64"/>
      <c r="J127" s="65"/>
      <c r="K127" s="13"/>
      <c r="L127" s="13"/>
      <c r="M127" s="13"/>
      <c r="N127" s="13"/>
      <c r="O127" s="13"/>
      <c r="P127" s="2"/>
      <c r="Q127" s="2"/>
    </row>
    <row r="128" spans="1:17" ht="12.75">
      <c r="A128" s="1" t="s">
        <v>307</v>
      </c>
      <c r="B128" s="12" t="s">
        <v>378</v>
      </c>
      <c r="C128" s="165" t="s">
        <v>379</v>
      </c>
      <c r="D128" s="171" t="s">
        <v>170</v>
      </c>
      <c r="E128" s="13">
        <v>16769692.4518</v>
      </c>
      <c r="F128" s="18">
        <v>16981871.52848</v>
      </c>
      <c r="G128" s="13"/>
      <c r="H128" s="18"/>
      <c r="I128" s="64"/>
      <c r="J128" s="65"/>
      <c r="K128" s="13"/>
      <c r="L128" s="13"/>
      <c r="M128" s="13"/>
      <c r="N128" s="13"/>
      <c r="O128" s="13"/>
      <c r="P128" s="2"/>
      <c r="Q128" s="2"/>
    </row>
    <row r="129" spans="1:17" ht="12.75">
      <c r="A129" s="1" t="s">
        <v>307</v>
      </c>
      <c r="B129" s="12" t="s">
        <v>380</v>
      </c>
      <c r="C129" s="165" t="s">
        <v>381</v>
      </c>
      <c r="D129" s="171" t="s">
        <v>170</v>
      </c>
      <c r="E129" s="13">
        <v>33384563.33985</v>
      </c>
      <c r="F129" s="18">
        <v>36204107.55098</v>
      </c>
      <c r="G129" s="13"/>
      <c r="H129" s="18"/>
      <c r="I129" s="64"/>
      <c r="J129" s="65"/>
      <c r="K129" s="13"/>
      <c r="L129" s="13"/>
      <c r="M129" s="13"/>
      <c r="N129" s="13"/>
      <c r="O129" s="13"/>
      <c r="P129" s="2"/>
      <c r="Q129" s="2"/>
    </row>
    <row r="130" spans="1:17" ht="12.75">
      <c r="A130" s="1" t="s">
        <v>382</v>
      </c>
      <c r="B130" s="12" t="s">
        <v>383</v>
      </c>
      <c r="C130" s="165" t="s">
        <v>384</v>
      </c>
      <c r="D130" s="170" t="s">
        <v>131</v>
      </c>
      <c r="E130" s="13">
        <f>208697438+10186981</f>
        <v>218884419</v>
      </c>
      <c r="F130" s="18">
        <v>225273086</v>
      </c>
      <c r="G130" s="13"/>
      <c r="H130" s="18"/>
      <c r="I130" s="13">
        <v>10850032</v>
      </c>
      <c r="J130" s="18"/>
      <c r="K130" s="13"/>
      <c r="L130" s="13"/>
      <c r="M130" s="13"/>
      <c r="N130" s="13"/>
      <c r="O130" s="13"/>
      <c r="P130" s="2"/>
      <c r="Q130" s="21"/>
    </row>
    <row r="131" spans="1:17" ht="12.75">
      <c r="A131" s="1" t="s">
        <v>382</v>
      </c>
      <c r="B131" s="12" t="s">
        <v>1477</v>
      </c>
      <c r="C131" s="165" t="s">
        <v>384</v>
      </c>
      <c r="D131" s="170" t="s">
        <v>131</v>
      </c>
      <c r="E131" s="13">
        <v>10196467</v>
      </c>
      <c r="F131" s="18"/>
      <c r="G131" s="13"/>
      <c r="H131" s="18"/>
      <c r="I131" s="13"/>
      <c r="J131" s="18"/>
      <c r="K131" s="13"/>
      <c r="L131" s="13"/>
      <c r="M131" s="13"/>
      <c r="N131" s="13"/>
      <c r="O131" s="13"/>
      <c r="P131" s="2"/>
      <c r="Q131" s="21"/>
    </row>
    <row r="132" spans="1:17" ht="12.75">
      <c r="A132" s="1" t="s">
        <v>382</v>
      </c>
      <c r="B132" s="12" t="s">
        <v>385</v>
      </c>
      <c r="C132" s="165" t="s">
        <v>386</v>
      </c>
      <c r="D132" s="170" t="s">
        <v>136</v>
      </c>
      <c r="E132" s="13">
        <v>112245997</v>
      </c>
      <c r="F132" s="18">
        <v>120699156</v>
      </c>
      <c r="G132" s="13"/>
      <c r="H132" s="18"/>
      <c r="I132" s="13"/>
      <c r="J132" s="18"/>
      <c r="K132" s="13"/>
      <c r="L132" s="13"/>
      <c r="M132" s="13"/>
      <c r="N132" s="13"/>
      <c r="O132" s="13"/>
      <c r="P132" s="2"/>
      <c r="Q132" s="21"/>
    </row>
    <row r="133" spans="1:17" ht="12.75">
      <c r="A133" s="1" t="s">
        <v>382</v>
      </c>
      <c r="B133" s="12" t="s">
        <v>387</v>
      </c>
      <c r="C133" s="165" t="s">
        <v>388</v>
      </c>
      <c r="D133" s="170" t="s">
        <v>136</v>
      </c>
      <c r="E133" s="13">
        <v>115292031</v>
      </c>
      <c r="F133" s="18">
        <v>121007346</v>
      </c>
      <c r="G133" s="13"/>
      <c r="H133" s="18"/>
      <c r="I133" s="13"/>
      <c r="J133" s="18"/>
      <c r="K133" s="13"/>
      <c r="L133" s="13"/>
      <c r="M133" s="13"/>
      <c r="N133" s="13"/>
      <c r="O133" s="13"/>
      <c r="P133" s="2"/>
      <c r="Q133" s="21"/>
    </row>
    <row r="134" spans="1:17" ht="12.75">
      <c r="A134" s="1" t="s">
        <v>382</v>
      </c>
      <c r="B134" s="12" t="s">
        <v>389</v>
      </c>
      <c r="C134" s="165" t="s">
        <v>390</v>
      </c>
      <c r="D134" s="170" t="s">
        <v>139</v>
      </c>
      <c r="E134" s="13">
        <v>53868577</v>
      </c>
      <c r="F134" s="18">
        <v>54872117</v>
      </c>
      <c r="G134" s="13"/>
      <c r="H134" s="18"/>
      <c r="I134" s="13"/>
      <c r="J134" s="18"/>
      <c r="K134" s="13"/>
      <c r="L134" s="13"/>
      <c r="M134" s="13"/>
      <c r="N134" s="13"/>
      <c r="O134" s="13"/>
      <c r="P134" s="2"/>
      <c r="Q134" s="21"/>
    </row>
    <row r="135" spans="1:17" ht="12.75">
      <c r="A135" s="1" t="s">
        <v>382</v>
      </c>
      <c r="B135" s="12" t="s">
        <v>391</v>
      </c>
      <c r="C135" s="165" t="s">
        <v>392</v>
      </c>
      <c r="D135" s="170" t="s">
        <v>148</v>
      </c>
      <c r="E135" s="13">
        <v>18413423</v>
      </c>
      <c r="F135" s="18">
        <v>20165563</v>
      </c>
      <c r="G135" s="13"/>
      <c r="H135" s="18"/>
      <c r="I135" s="13"/>
      <c r="J135" s="18"/>
      <c r="K135" s="13"/>
      <c r="L135" s="13"/>
      <c r="M135" s="13"/>
      <c r="N135" s="13"/>
      <c r="O135" s="13"/>
      <c r="P135" s="2"/>
      <c r="Q135" s="21"/>
    </row>
    <row r="136" spans="1:17" ht="12.75">
      <c r="A136" s="1" t="s">
        <v>382</v>
      </c>
      <c r="B136" s="12" t="s">
        <v>393</v>
      </c>
      <c r="C136" s="165" t="s">
        <v>394</v>
      </c>
      <c r="D136" s="170" t="s">
        <v>148</v>
      </c>
      <c r="E136" s="13">
        <v>28691214</v>
      </c>
      <c r="F136" s="18">
        <v>32973835</v>
      </c>
      <c r="G136" s="13"/>
      <c r="H136" s="18"/>
      <c r="I136" s="13"/>
      <c r="J136" s="18"/>
      <c r="K136" s="13"/>
      <c r="L136" s="13"/>
      <c r="M136" s="13"/>
      <c r="N136" s="13"/>
      <c r="O136" s="13"/>
      <c r="P136" s="2"/>
      <c r="Q136" s="21"/>
    </row>
    <row r="137" spans="1:17" ht="12.75">
      <c r="A137" s="1" t="s">
        <v>382</v>
      </c>
      <c r="B137" s="12" t="s">
        <v>395</v>
      </c>
      <c r="C137" s="165" t="s">
        <v>396</v>
      </c>
      <c r="D137" s="170" t="s">
        <v>148</v>
      </c>
      <c r="E137" s="13">
        <v>25359166</v>
      </c>
      <c r="F137" s="18">
        <v>27465550</v>
      </c>
      <c r="G137" s="13"/>
      <c r="H137" s="18"/>
      <c r="I137" s="13"/>
      <c r="J137" s="18"/>
      <c r="K137" s="13"/>
      <c r="L137" s="13"/>
      <c r="M137" s="13"/>
      <c r="N137" s="13"/>
      <c r="O137" s="13"/>
      <c r="P137" s="2"/>
      <c r="Q137" s="21"/>
    </row>
    <row r="138" spans="1:17" ht="12.75">
      <c r="A138" s="1" t="s">
        <v>382</v>
      </c>
      <c r="B138" s="12" t="s">
        <v>397</v>
      </c>
      <c r="C138" s="165" t="s">
        <v>398</v>
      </c>
      <c r="D138" s="170" t="s">
        <v>157</v>
      </c>
      <c r="E138" s="13">
        <v>13493506</v>
      </c>
      <c r="F138" s="18">
        <v>14329293</v>
      </c>
      <c r="G138" s="13"/>
      <c r="H138" s="18"/>
      <c r="I138" s="13"/>
      <c r="J138" s="18"/>
      <c r="K138" s="13"/>
      <c r="L138" s="13"/>
      <c r="M138" s="13"/>
      <c r="N138" s="13"/>
      <c r="O138" s="13"/>
      <c r="P138" s="2"/>
      <c r="Q138" s="21"/>
    </row>
    <row r="139" spans="1:17" ht="12.75">
      <c r="A139" s="1" t="s">
        <v>382</v>
      </c>
      <c r="B139" s="12" t="s">
        <v>399</v>
      </c>
      <c r="C139" s="165" t="s">
        <v>400</v>
      </c>
      <c r="D139" s="170" t="s">
        <v>157</v>
      </c>
      <c r="E139" s="13">
        <v>16642729</v>
      </c>
      <c r="F139" s="18">
        <v>18004741</v>
      </c>
      <c r="G139" s="13"/>
      <c r="H139" s="18"/>
      <c r="I139" s="13"/>
      <c r="J139" s="18"/>
      <c r="K139" s="13"/>
      <c r="L139" s="13"/>
      <c r="M139" s="13"/>
      <c r="N139" s="13"/>
      <c r="O139" s="13"/>
      <c r="P139" s="2"/>
      <c r="Q139" s="21"/>
    </row>
    <row r="140" spans="1:17" ht="12.75">
      <c r="A140" s="1" t="s">
        <v>382</v>
      </c>
      <c r="B140" s="12" t="s">
        <v>401</v>
      </c>
      <c r="C140" s="165" t="s">
        <v>402</v>
      </c>
      <c r="D140" s="170" t="s">
        <v>157</v>
      </c>
      <c r="E140" s="13">
        <v>17583556</v>
      </c>
      <c r="F140" s="18">
        <v>19020528</v>
      </c>
      <c r="G140" s="13"/>
      <c r="H140" s="18"/>
      <c r="I140" s="13"/>
      <c r="J140" s="18"/>
      <c r="K140" s="13"/>
      <c r="L140" s="13"/>
      <c r="M140" s="13"/>
      <c r="N140" s="13"/>
      <c r="O140" s="13"/>
      <c r="P140" s="2"/>
      <c r="Q140" s="21"/>
    </row>
    <row r="141" spans="1:17" ht="12.75">
      <c r="A141" s="1" t="s">
        <v>382</v>
      </c>
      <c r="B141" s="12" t="s">
        <v>403</v>
      </c>
      <c r="C141" s="165" t="s">
        <v>404</v>
      </c>
      <c r="D141" s="170" t="s">
        <v>157</v>
      </c>
      <c r="E141" s="13">
        <v>14014174</v>
      </c>
      <c r="F141" s="18">
        <v>15286781</v>
      </c>
      <c r="G141" s="13"/>
      <c r="H141" s="18"/>
      <c r="I141" s="13"/>
      <c r="J141" s="18"/>
      <c r="K141" s="13"/>
      <c r="L141" s="13"/>
      <c r="M141" s="13"/>
      <c r="N141" s="13"/>
      <c r="O141" s="13"/>
      <c r="P141" s="2"/>
      <c r="Q141" s="21"/>
    </row>
    <row r="142" spans="1:17" ht="12.75">
      <c r="A142" s="1" t="s">
        <v>382</v>
      </c>
      <c r="B142" s="12" t="s">
        <v>405</v>
      </c>
      <c r="C142" s="165" t="s">
        <v>406</v>
      </c>
      <c r="D142" s="170" t="s">
        <v>157</v>
      </c>
      <c r="E142" s="13">
        <v>9876120</v>
      </c>
      <c r="F142" s="18">
        <v>10457542</v>
      </c>
      <c r="G142" s="13"/>
      <c r="H142" s="18"/>
      <c r="I142" s="13"/>
      <c r="J142" s="18"/>
      <c r="K142" s="13"/>
      <c r="L142" s="13"/>
      <c r="M142" s="13"/>
      <c r="N142" s="13"/>
      <c r="O142" s="13"/>
      <c r="P142" s="2"/>
      <c r="Q142" s="21"/>
    </row>
    <row r="143" spans="1:17" ht="12.75">
      <c r="A143" s="1" t="s">
        <v>382</v>
      </c>
      <c r="B143" s="12" t="s">
        <v>407</v>
      </c>
      <c r="C143" s="165" t="s">
        <v>408</v>
      </c>
      <c r="D143" s="170" t="s">
        <v>157</v>
      </c>
      <c r="E143" s="13">
        <v>30166358</v>
      </c>
      <c r="F143" s="18">
        <v>32330211</v>
      </c>
      <c r="G143" s="13"/>
      <c r="H143" s="18"/>
      <c r="I143" s="13"/>
      <c r="J143" s="18"/>
      <c r="K143" s="13"/>
      <c r="L143" s="13"/>
      <c r="M143" s="13"/>
      <c r="N143" s="13"/>
      <c r="O143" s="13"/>
      <c r="P143" s="2"/>
      <c r="Q143" s="21"/>
    </row>
    <row r="144" spans="1:17" ht="12.75">
      <c r="A144" s="1" t="s">
        <v>382</v>
      </c>
      <c r="B144" s="12" t="s">
        <v>409</v>
      </c>
      <c r="C144" s="165" t="s">
        <v>410</v>
      </c>
      <c r="D144" s="170" t="s">
        <v>157</v>
      </c>
      <c r="E144" s="13">
        <v>11545836</v>
      </c>
      <c r="F144" s="18">
        <v>12464196</v>
      </c>
      <c r="G144" s="13"/>
      <c r="H144" s="18"/>
      <c r="I144" s="13"/>
      <c r="J144" s="18"/>
      <c r="K144" s="13"/>
      <c r="L144" s="13"/>
      <c r="M144" s="13"/>
      <c r="N144" s="13"/>
      <c r="O144" s="13"/>
      <c r="P144" s="2"/>
      <c r="Q144" s="21"/>
    </row>
    <row r="145" spans="1:17" ht="12.75">
      <c r="A145" s="1" t="s">
        <v>382</v>
      </c>
      <c r="B145" s="12" t="s">
        <v>411</v>
      </c>
      <c r="C145" s="165" t="s">
        <v>412</v>
      </c>
      <c r="D145" s="170" t="s">
        <v>166</v>
      </c>
      <c r="E145" s="13">
        <v>15323074</v>
      </c>
      <c r="F145" s="18">
        <v>17637995</v>
      </c>
      <c r="G145" s="13"/>
      <c r="H145" s="18"/>
      <c r="I145" s="13"/>
      <c r="J145" s="18"/>
      <c r="K145" s="13"/>
      <c r="L145" s="13"/>
      <c r="M145" s="13"/>
      <c r="N145" s="13"/>
      <c r="O145" s="13"/>
      <c r="P145" s="2"/>
      <c r="Q145" s="21"/>
    </row>
    <row r="146" spans="1:17" ht="12.75">
      <c r="A146" s="1" t="s">
        <v>382</v>
      </c>
      <c r="B146" s="12" t="s">
        <v>413</v>
      </c>
      <c r="C146" s="165" t="s">
        <v>414</v>
      </c>
      <c r="D146" s="170" t="s">
        <v>166</v>
      </c>
      <c r="E146" s="13">
        <v>12342870</v>
      </c>
      <c r="F146" s="18">
        <v>13089403</v>
      </c>
      <c r="G146" s="13"/>
      <c r="H146" s="18"/>
      <c r="I146" s="13"/>
      <c r="J146" s="18"/>
      <c r="K146" s="13"/>
      <c r="L146" s="13"/>
      <c r="M146" s="13"/>
      <c r="N146" s="13"/>
      <c r="O146" s="13"/>
      <c r="P146" s="2"/>
      <c r="Q146" s="21"/>
    </row>
    <row r="147" spans="1:17" ht="12.75">
      <c r="A147" s="1" t="s">
        <v>382</v>
      </c>
      <c r="B147" s="12" t="s">
        <v>415</v>
      </c>
      <c r="C147" s="165" t="s">
        <v>416</v>
      </c>
      <c r="D147" s="170" t="s">
        <v>166</v>
      </c>
      <c r="E147" s="13">
        <v>13571006</v>
      </c>
      <c r="F147" s="18">
        <v>14752466</v>
      </c>
      <c r="G147" s="13"/>
      <c r="H147" s="18"/>
      <c r="I147" s="13"/>
      <c r="J147" s="18"/>
      <c r="K147" s="13"/>
      <c r="L147" s="13"/>
      <c r="M147" s="13"/>
      <c r="N147" s="13"/>
      <c r="O147" s="13"/>
      <c r="P147" s="2"/>
      <c r="Q147" s="21"/>
    </row>
    <row r="148" spans="1:17" ht="12.75">
      <c r="A148" s="1" t="s">
        <v>382</v>
      </c>
      <c r="B148" s="12" t="s">
        <v>417</v>
      </c>
      <c r="C148" s="165" t="s">
        <v>418</v>
      </c>
      <c r="D148" s="170" t="s">
        <v>170</v>
      </c>
      <c r="E148" s="13">
        <v>9420228</v>
      </c>
      <c r="F148" s="18">
        <v>9921106</v>
      </c>
      <c r="G148" s="13"/>
      <c r="H148" s="18"/>
      <c r="I148" s="13"/>
      <c r="J148" s="18"/>
      <c r="K148" s="13"/>
      <c r="L148" s="13"/>
      <c r="M148" s="13"/>
      <c r="N148" s="13"/>
      <c r="O148" s="13"/>
      <c r="P148" s="2"/>
      <c r="Q148" s="21"/>
    </row>
    <row r="149" spans="1:17" ht="12.75">
      <c r="A149" s="1" t="s">
        <v>382</v>
      </c>
      <c r="B149" s="12" t="s">
        <v>419</v>
      </c>
      <c r="C149" s="165" t="s">
        <v>420</v>
      </c>
      <c r="D149" s="170" t="s">
        <v>170</v>
      </c>
      <c r="E149" s="13">
        <v>4840187</v>
      </c>
      <c r="F149" s="18">
        <v>5690506</v>
      </c>
      <c r="G149" s="13"/>
      <c r="H149" s="18"/>
      <c r="I149" s="13"/>
      <c r="J149" s="18"/>
      <c r="K149" s="13"/>
      <c r="L149" s="13"/>
      <c r="M149" s="13"/>
      <c r="N149" s="13"/>
      <c r="O149" s="13"/>
      <c r="P149" s="2"/>
      <c r="Q149" s="21"/>
    </row>
    <row r="150" spans="1:17" ht="12.75">
      <c r="A150" s="1" t="s">
        <v>382</v>
      </c>
      <c r="B150" s="12" t="s">
        <v>421</v>
      </c>
      <c r="C150" s="165" t="s">
        <v>422</v>
      </c>
      <c r="D150" s="170" t="s">
        <v>170</v>
      </c>
      <c r="E150" s="13">
        <v>3116713</v>
      </c>
      <c r="F150" s="18">
        <v>3348825</v>
      </c>
      <c r="G150" s="13"/>
      <c r="H150" s="18"/>
      <c r="I150" s="13"/>
      <c r="J150" s="18"/>
      <c r="K150" s="13"/>
      <c r="L150" s="13"/>
      <c r="M150" s="13"/>
      <c r="N150" s="13"/>
      <c r="O150" s="13"/>
      <c r="P150" s="2"/>
      <c r="Q150" s="21"/>
    </row>
    <row r="151" spans="1:17" ht="12.75">
      <c r="A151" s="1" t="s">
        <v>382</v>
      </c>
      <c r="B151" s="12" t="s">
        <v>423</v>
      </c>
      <c r="C151" s="165" t="s">
        <v>424</v>
      </c>
      <c r="D151" s="170" t="s">
        <v>170</v>
      </c>
      <c r="E151" s="13">
        <v>5151043</v>
      </c>
      <c r="F151" s="18">
        <v>5697674</v>
      </c>
      <c r="G151" s="13"/>
      <c r="H151" s="18"/>
      <c r="I151" s="13"/>
      <c r="J151" s="18"/>
      <c r="K151" s="13"/>
      <c r="L151" s="13"/>
      <c r="M151" s="13"/>
      <c r="N151" s="13"/>
      <c r="O151" s="13"/>
      <c r="P151" s="2"/>
      <c r="Q151" s="21"/>
    </row>
    <row r="152" spans="1:17" ht="12.75">
      <c r="A152" s="1" t="s">
        <v>382</v>
      </c>
      <c r="B152" s="12" t="s">
        <v>425</v>
      </c>
      <c r="C152" s="165" t="s">
        <v>426</v>
      </c>
      <c r="D152" s="170" t="s">
        <v>170</v>
      </c>
      <c r="E152" s="13">
        <v>6183238</v>
      </c>
      <c r="F152" s="18">
        <v>7191162</v>
      </c>
      <c r="G152" s="13"/>
      <c r="H152" s="18"/>
      <c r="I152" s="13"/>
      <c r="J152" s="18"/>
      <c r="K152" s="13"/>
      <c r="L152" s="13"/>
      <c r="M152" s="13"/>
      <c r="N152" s="13"/>
      <c r="O152" s="13"/>
      <c r="P152" s="2"/>
      <c r="Q152" s="21"/>
    </row>
    <row r="153" spans="1:17" ht="12.75">
      <c r="A153" s="1" t="s">
        <v>382</v>
      </c>
      <c r="B153" s="12" t="s">
        <v>427</v>
      </c>
      <c r="C153" s="165" t="s">
        <v>428</v>
      </c>
      <c r="D153" s="170" t="s">
        <v>170</v>
      </c>
      <c r="E153" s="13">
        <v>7312125</v>
      </c>
      <c r="F153" s="18">
        <v>8456874</v>
      </c>
      <c r="G153" s="13"/>
      <c r="H153" s="18"/>
      <c r="I153" s="13"/>
      <c r="J153" s="18"/>
      <c r="K153" s="13"/>
      <c r="L153" s="13"/>
      <c r="M153" s="13"/>
      <c r="N153" s="13"/>
      <c r="O153" s="13"/>
      <c r="P153" s="2"/>
      <c r="Q153" s="21"/>
    </row>
    <row r="154" spans="1:17" ht="12.75">
      <c r="A154" s="1" t="s">
        <v>382</v>
      </c>
      <c r="B154" s="12" t="s">
        <v>429</v>
      </c>
      <c r="C154" s="165" t="s">
        <v>430</v>
      </c>
      <c r="D154" s="170" t="s">
        <v>170</v>
      </c>
      <c r="E154" s="13">
        <v>34697550</v>
      </c>
      <c r="F154" s="18">
        <v>38141650</v>
      </c>
      <c r="G154" s="13"/>
      <c r="H154" s="18"/>
      <c r="I154" s="13"/>
      <c r="J154" s="18"/>
      <c r="K154" s="13"/>
      <c r="L154" s="13"/>
      <c r="M154" s="13"/>
      <c r="N154" s="13"/>
      <c r="O154" s="13"/>
      <c r="P154" s="2"/>
      <c r="Q154" s="21"/>
    </row>
    <row r="155" spans="1:17" ht="12.75">
      <c r="A155" s="1" t="s">
        <v>382</v>
      </c>
      <c r="B155" s="12" t="s">
        <v>431</v>
      </c>
      <c r="C155" s="165" t="s">
        <v>432</v>
      </c>
      <c r="D155" s="170" t="s">
        <v>170</v>
      </c>
      <c r="E155" s="13">
        <v>2112273</v>
      </c>
      <c r="F155" s="18">
        <v>2481424</v>
      </c>
      <c r="G155" s="13"/>
      <c r="H155" s="18"/>
      <c r="I155" s="13"/>
      <c r="J155" s="18"/>
      <c r="K155" s="13"/>
      <c r="L155" s="13"/>
      <c r="M155" s="13"/>
      <c r="N155" s="13"/>
      <c r="O155" s="13"/>
      <c r="P155" s="2"/>
      <c r="Q155" s="21"/>
    </row>
    <row r="156" spans="1:17" ht="12.75">
      <c r="A156" s="1" t="s">
        <v>382</v>
      </c>
      <c r="B156" s="12" t="s">
        <v>433</v>
      </c>
      <c r="C156" s="165" t="s">
        <v>434</v>
      </c>
      <c r="D156" s="170" t="s">
        <v>170</v>
      </c>
      <c r="E156" s="13">
        <v>7099709</v>
      </c>
      <c r="F156" s="18">
        <v>7978910</v>
      </c>
      <c r="G156" s="13"/>
      <c r="H156" s="18"/>
      <c r="I156" s="13"/>
      <c r="J156" s="18"/>
      <c r="K156" s="13"/>
      <c r="L156" s="13"/>
      <c r="M156" s="13"/>
      <c r="N156" s="13"/>
      <c r="O156" s="13"/>
      <c r="P156" s="2"/>
      <c r="Q156" s="21"/>
    </row>
    <row r="157" spans="1:17" ht="12.75">
      <c r="A157" s="1" t="s">
        <v>382</v>
      </c>
      <c r="B157" s="12" t="s">
        <v>435</v>
      </c>
      <c r="C157" s="165" t="s">
        <v>436</v>
      </c>
      <c r="D157" s="170" t="s">
        <v>170</v>
      </c>
      <c r="E157" s="13">
        <v>7791614</v>
      </c>
      <c r="F157" s="18">
        <v>8208649</v>
      </c>
      <c r="G157" s="13"/>
      <c r="H157" s="18"/>
      <c r="I157" s="13"/>
      <c r="J157" s="18"/>
      <c r="K157" s="13"/>
      <c r="L157" s="13"/>
      <c r="M157" s="13"/>
      <c r="N157" s="13"/>
      <c r="O157" s="13"/>
      <c r="P157" s="2"/>
      <c r="Q157" s="21"/>
    </row>
    <row r="158" spans="1:17" ht="12.75">
      <c r="A158" s="1" t="s">
        <v>382</v>
      </c>
      <c r="B158" s="12" t="s">
        <v>437</v>
      </c>
      <c r="C158" s="165" t="s">
        <v>438</v>
      </c>
      <c r="D158" s="170" t="s">
        <v>170</v>
      </c>
      <c r="E158" s="13">
        <v>5364084</v>
      </c>
      <c r="F158" s="18">
        <v>6356326</v>
      </c>
      <c r="G158" s="13"/>
      <c r="H158" s="18"/>
      <c r="I158" s="13"/>
      <c r="J158" s="18"/>
      <c r="K158" s="13"/>
      <c r="L158" s="13"/>
      <c r="M158" s="13"/>
      <c r="N158" s="13"/>
      <c r="O158" s="13"/>
      <c r="P158" s="2"/>
      <c r="Q158" s="21"/>
    </row>
    <row r="159" spans="1:17" ht="12.75">
      <c r="A159" s="1" t="s">
        <v>382</v>
      </c>
      <c r="B159" s="12" t="s">
        <v>439</v>
      </c>
      <c r="C159" s="165" t="s">
        <v>440</v>
      </c>
      <c r="D159" s="170" t="s">
        <v>170</v>
      </c>
      <c r="E159" s="13">
        <v>11315075</v>
      </c>
      <c r="F159" s="18">
        <v>11779067</v>
      </c>
      <c r="G159" s="13"/>
      <c r="H159" s="18"/>
      <c r="I159" s="13"/>
      <c r="J159" s="18"/>
      <c r="K159" s="13"/>
      <c r="L159" s="13"/>
      <c r="M159" s="13"/>
      <c r="N159" s="13"/>
      <c r="O159" s="13"/>
      <c r="P159" s="2"/>
      <c r="Q159" s="21"/>
    </row>
    <row r="160" spans="1:17" ht="12.75">
      <c r="A160" s="1" t="s">
        <v>382</v>
      </c>
      <c r="B160" s="12" t="s">
        <v>441</v>
      </c>
      <c r="C160" s="165" t="s">
        <v>442</v>
      </c>
      <c r="D160" s="170" t="s">
        <v>170</v>
      </c>
      <c r="E160" s="13">
        <v>7038934</v>
      </c>
      <c r="F160" s="18">
        <v>7761396</v>
      </c>
      <c r="G160" s="13"/>
      <c r="H160" s="18"/>
      <c r="I160" s="13"/>
      <c r="J160" s="18"/>
      <c r="K160" s="13"/>
      <c r="L160" s="13"/>
      <c r="M160" s="13"/>
      <c r="N160" s="13"/>
      <c r="O160" s="13"/>
      <c r="P160" s="2"/>
      <c r="Q160" s="21"/>
    </row>
    <row r="161" spans="1:17" ht="12.75">
      <c r="A161" s="1" t="s">
        <v>382</v>
      </c>
      <c r="B161" s="12" t="s">
        <v>443</v>
      </c>
      <c r="C161" s="165" t="s">
        <v>444</v>
      </c>
      <c r="D161" s="170" t="s">
        <v>170</v>
      </c>
      <c r="E161" s="13">
        <v>4861246</v>
      </c>
      <c r="F161" s="18">
        <v>5181162</v>
      </c>
      <c r="G161" s="13"/>
      <c r="H161" s="18"/>
      <c r="I161" s="13"/>
      <c r="J161" s="18"/>
      <c r="K161" s="13"/>
      <c r="L161" s="13"/>
      <c r="M161" s="13"/>
      <c r="N161" s="13"/>
      <c r="O161" s="13"/>
      <c r="P161" s="2"/>
      <c r="Q161" s="21"/>
    </row>
    <row r="162" spans="1:17" ht="12.75">
      <c r="A162" s="1" t="s">
        <v>382</v>
      </c>
      <c r="B162" s="12" t="s">
        <v>445</v>
      </c>
      <c r="C162" s="165" t="s">
        <v>446</v>
      </c>
      <c r="D162" s="170" t="s">
        <v>170</v>
      </c>
      <c r="E162" s="13">
        <v>2601214</v>
      </c>
      <c r="F162" s="18">
        <v>2810270</v>
      </c>
      <c r="G162" s="13"/>
      <c r="H162" s="18"/>
      <c r="I162" s="13"/>
      <c r="J162" s="18"/>
      <c r="K162" s="13"/>
      <c r="L162" s="13"/>
      <c r="M162" s="13"/>
      <c r="N162" s="13"/>
      <c r="O162" s="13"/>
      <c r="P162" s="2"/>
      <c r="Q162" s="21"/>
    </row>
    <row r="163" spans="1:17" ht="12.75">
      <c r="A163" s="1" t="s">
        <v>382</v>
      </c>
      <c r="B163" s="12" t="s">
        <v>447</v>
      </c>
      <c r="C163" s="165" t="s">
        <v>448</v>
      </c>
      <c r="D163" s="170" t="s">
        <v>215</v>
      </c>
      <c r="E163" s="13">
        <v>4869377</v>
      </c>
      <c r="F163" s="18">
        <v>5360983</v>
      </c>
      <c r="G163" s="13"/>
      <c r="H163" s="18"/>
      <c r="I163" s="13"/>
      <c r="J163" s="18"/>
      <c r="K163" s="13"/>
      <c r="L163" s="13"/>
      <c r="M163" s="13"/>
      <c r="N163" s="13"/>
      <c r="O163" s="13"/>
      <c r="P163" s="2"/>
      <c r="Q163" s="21"/>
    </row>
    <row r="164" spans="1:17" ht="12.75">
      <c r="A164" s="1" t="s">
        <v>382</v>
      </c>
      <c r="B164" s="12" t="s">
        <v>449</v>
      </c>
      <c r="C164" s="165" t="s">
        <v>450</v>
      </c>
      <c r="D164" s="170" t="s">
        <v>215</v>
      </c>
      <c r="E164" s="13">
        <v>1988316</v>
      </c>
      <c r="F164" s="18">
        <v>2084286</v>
      </c>
      <c r="G164" s="13"/>
      <c r="H164" s="18"/>
      <c r="I164" s="13"/>
      <c r="J164" s="18"/>
      <c r="K164" s="13"/>
      <c r="L164" s="13"/>
      <c r="M164" s="13"/>
      <c r="N164" s="13"/>
      <c r="O164" s="13"/>
      <c r="P164" s="2"/>
      <c r="Q164" s="21"/>
    </row>
    <row r="165" spans="1:17" ht="12.75">
      <c r="A165" s="1" t="s">
        <v>382</v>
      </c>
      <c r="B165" s="12" t="s">
        <v>451</v>
      </c>
      <c r="C165" s="165" t="s">
        <v>452</v>
      </c>
      <c r="D165" s="170" t="s">
        <v>215</v>
      </c>
      <c r="E165" s="13">
        <v>5718315</v>
      </c>
      <c r="F165" s="18">
        <v>6041167</v>
      </c>
      <c r="G165" s="13"/>
      <c r="H165" s="18"/>
      <c r="I165" s="13"/>
      <c r="J165" s="18"/>
      <c r="K165" s="13"/>
      <c r="L165" s="13"/>
      <c r="M165" s="13"/>
      <c r="N165" s="13"/>
      <c r="O165" s="13"/>
      <c r="P165" s="2"/>
      <c r="Q165" s="21"/>
    </row>
    <row r="166" spans="1:17" ht="12.75">
      <c r="A166" s="1" t="s">
        <v>382</v>
      </c>
      <c r="B166" s="12" t="s">
        <v>453</v>
      </c>
      <c r="C166" s="165" t="s">
        <v>454</v>
      </c>
      <c r="D166" s="170" t="s">
        <v>215</v>
      </c>
      <c r="E166" s="13">
        <v>7853877</v>
      </c>
      <c r="F166" s="18">
        <v>8153872</v>
      </c>
      <c r="G166" s="13"/>
      <c r="H166" s="18"/>
      <c r="I166" s="13"/>
      <c r="J166" s="18"/>
      <c r="K166" s="13"/>
      <c r="L166" s="13"/>
      <c r="M166" s="13"/>
      <c r="N166" s="13"/>
      <c r="O166" s="13"/>
      <c r="P166" s="2"/>
      <c r="Q166" s="21"/>
    </row>
    <row r="167" spans="1:17" ht="12.75">
      <c r="A167" s="1" t="s">
        <v>382</v>
      </c>
      <c r="B167" s="12" t="s">
        <v>455</v>
      </c>
      <c r="C167" s="165" t="s">
        <v>456</v>
      </c>
      <c r="D167" s="170" t="s">
        <v>215</v>
      </c>
      <c r="E167" s="13">
        <v>7890401</v>
      </c>
      <c r="F167" s="18">
        <v>8793111</v>
      </c>
      <c r="G167" s="13"/>
      <c r="H167" s="18"/>
      <c r="I167" s="13"/>
      <c r="J167" s="18"/>
      <c r="K167" s="13"/>
      <c r="L167" s="13"/>
      <c r="M167" s="13"/>
      <c r="N167" s="13"/>
      <c r="O167" s="13"/>
      <c r="P167" s="2"/>
      <c r="Q167" s="21"/>
    </row>
    <row r="168" spans="1:17" ht="12.75">
      <c r="A168" s="1" t="s">
        <v>382</v>
      </c>
      <c r="B168" s="12" t="s">
        <v>457</v>
      </c>
      <c r="C168" s="165" t="s">
        <v>458</v>
      </c>
      <c r="D168" s="170" t="s">
        <v>215</v>
      </c>
      <c r="E168" s="13">
        <v>2812170</v>
      </c>
      <c r="F168" s="18">
        <v>3007743</v>
      </c>
      <c r="G168" s="13"/>
      <c r="H168" s="18"/>
      <c r="I168" s="13"/>
      <c r="J168" s="18"/>
      <c r="K168" s="13"/>
      <c r="L168" s="13"/>
      <c r="M168" s="13"/>
      <c r="N168" s="13"/>
      <c r="O168" s="13"/>
      <c r="P168" s="2"/>
      <c r="Q168" s="21"/>
    </row>
    <row r="169" spans="1:17" ht="12.75">
      <c r="A169" s="1" t="s">
        <v>382</v>
      </c>
      <c r="B169" s="12" t="s">
        <v>459</v>
      </c>
      <c r="C169" s="165" t="s">
        <v>460</v>
      </c>
      <c r="D169" s="170" t="s">
        <v>215</v>
      </c>
      <c r="E169" s="13">
        <v>4176930</v>
      </c>
      <c r="F169" s="18">
        <v>6343543</v>
      </c>
      <c r="G169" s="13"/>
      <c r="H169" s="18"/>
      <c r="I169" s="13"/>
      <c r="J169" s="18"/>
      <c r="K169" s="13"/>
      <c r="L169" s="13"/>
      <c r="M169" s="13"/>
      <c r="N169" s="13"/>
      <c r="O169" s="13"/>
      <c r="P169" s="2"/>
      <c r="Q169" s="21"/>
    </row>
    <row r="170" spans="1:17" ht="12.75">
      <c r="A170" s="1" t="s">
        <v>382</v>
      </c>
      <c r="B170" s="12" t="s">
        <v>461</v>
      </c>
      <c r="C170" s="165" t="s">
        <v>462</v>
      </c>
      <c r="D170" s="170" t="s">
        <v>215</v>
      </c>
      <c r="E170" s="13">
        <v>4815230</v>
      </c>
      <c r="F170" s="18">
        <v>5614712</v>
      </c>
      <c r="G170" s="13"/>
      <c r="H170" s="18"/>
      <c r="I170" s="13"/>
      <c r="J170" s="18"/>
      <c r="K170" s="13"/>
      <c r="L170" s="13"/>
      <c r="M170" s="13"/>
      <c r="N170" s="13"/>
      <c r="O170" s="13"/>
      <c r="P170" s="2"/>
      <c r="Q170" s="2"/>
    </row>
    <row r="171" spans="1:17" ht="12.75">
      <c r="A171" s="1" t="s">
        <v>382</v>
      </c>
      <c r="B171" s="12" t="s">
        <v>463</v>
      </c>
      <c r="C171" s="165" t="s">
        <v>464</v>
      </c>
      <c r="D171" s="170" t="s">
        <v>215</v>
      </c>
      <c r="E171" s="13">
        <v>5728115</v>
      </c>
      <c r="F171" s="18">
        <v>5990294</v>
      </c>
      <c r="G171" s="13"/>
      <c r="H171" s="18"/>
      <c r="I171" s="13"/>
      <c r="J171" s="18"/>
      <c r="K171" s="13"/>
      <c r="L171" s="13"/>
      <c r="M171" s="13"/>
      <c r="N171" s="13"/>
      <c r="O171" s="13"/>
      <c r="P171" s="2"/>
      <c r="Q171" s="2"/>
    </row>
    <row r="172" spans="1:17" ht="12.75">
      <c r="A172" s="1" t="s">
        <v>382</v>
      </c>
      <c r="B172" s="12" t="s">
        <v>465</v>
      </c>
      <c r="C172" s="165" t="s">
        <v>466</v>
      </c>
      <c r="D172" s="170" t="s">
        <v>215</v>
      </c>
      <c r="E172" s="13">
        <v>3455335</v>
      </c>
      <c r="F172" s="18">
        <v>3754750</v>
      </c>
      <c r="G172" s="13"/>
      <c r="H172" s="18"/>
      <c r="I172" s="13"/>
      <c r="J172" s="18"/>
      <c r="K172" s="13"/>
      <c r="L172" s="13"/>
      <c r="M172" s="13"/>
      <c r="N172" s="13"/>
      <c r="O172" s="13"/>
      <c r="P172" s="2"/>
      <c r="Q172" s="2"/>
    </row>
    <row r="173" spans="1:17" ht="12.75">
      <c r="A173" s="1" t="s">
        <v>382</v>
      </c>
      <c r="B173" s="12" t="s">
        <v>467</v>
      </c>
      <c r="C173" s="165" t="s">
        <v>468</v>
      </c>
      <c r="D173" s="170" t="s">
        <v>215</v>
      </c>
      <c r="E173" s="13">
        <v>379089</v>
      </c>
      <c r="F173" s="18">
        <v>393569</v>
      </c>
      <c r="G173" s="13"/>
      <c r="H173" s="18"/>
      <c r="I173" s="13"/>
      <c r="J173" s="18"/>
      <c r="K173" s="13"/>
      <c r="L173" s="13"/>
      <c r="M173" s="13"/>
      <c r="N173" s="13"/>
      <c r="O173" s="13"/>
      <c r="P173" s="2"/>
      <c r="Q173" s="2"/>
    </row>
    <row r="174" spans="1:17" ht="12.75">
      <c r="A174" s="1" t="s">
        <v>382</v>
      </c>
      <c r="B174" s="12" t="s">
        <v>469</v>
      </c>
      <c r="C174" s="165" t="s">
        <v>470</v>
      </c>
      <c r="D174" s="170" t="s">
        <v>215</v>
      </c>
      <c r="E174" s="13">
        <v>5244446</v>
      </c>
      <c r="F174" s="18">
        <v>8744769</v>
      </c>
      <c r="G174" s="13"/>
      <c r="H174" s="18"/>
      <c r="I174" s="13"/>
      <c r="J174" s="18"/>
      <c r="K174" s="13"/>
      <c r="L174" s="13"/>
      <c r="M174" s="13"/>
      <c r="N174" s="13"/>
      <c r="O174" s="13"/>
      <c r="P174" s="2"/>
      <c r="Q174" s="2"/>
    </row>
    <row r="175" spans="1:17" ht="12.75">
      <c r="A175" s="1" t="s">
        <v>382</v>
      </c>
      <c r="B175" s="12" t="s">
        <v>471</v>
      </c>
      <c r="C175" s="165" t="s">
        <v>472</v>
      </c>
      <c r="D175" s="170" t="s">
        <v>215</v>
      </c>
      <c r="E175" s="13">
        <v>2269315</v>
      </c>
      <c r="F175" s="18">
        <v>2802996</v>
      </c>
      <c r="G175" s="13"/>
      <c r="H175" s="18"/>
      <c r="I175" s="13"/>
      <c r="J175" s="18"/>
      <c r="K175" s="13"/>
      <c r="L175" s="13"/>
      <c r="M175" s="13"/>
      <c r="N175" s="13"/>
      <c r="O175" s="13"/>
      <c r="P175" s="2"/>
      <c r="Q175" s="2"/>
    </row>
    <row r="176" spans="1:17" ht="12.75">
      <c r="A176" s="1" t="s">
        <v>382</v>
      </c>
      <c r="B176" s="12" t="s">
        <v>473</v>
      </c>
      <c r="C176" s="165" t="s">
        <v>474</v>
      </c>
      <c r="D176" s="170" t="s">
        <v>215</v>
      </c>
      <c r="E176" s="13">
        <v>3468840</v>
      </c>
      <c r="F176" s="18">
        <v>3628209</v>
      </c>
      <c r="G176" s="13"/>
      <c r="H176" s="18"/>
      <c r="I176" s="13"/>
      <c r="J176" s="18"/>
      <c r="K176" s="13"/>
      <c r="L176" s="13"/>
      <c r="M176" s="13"/>
      <c r="N176" s="13"/>
      <c r="O176" s="13"/>
      <c r="P176" s="2"/>
      <c r="Q176" s="2"/>
    </row>
    <row r="177" spans="1:17" ht="12.75">
      <c r="A177" s="1" t="s">
        <v>382</v>
      </c>
      <c r="B177" s="12" t="s">
        <v>475</v>
      </c>
      <c r="C177" s="165" t="s">
        <v>476</v>
      </c>
      <c r="D177" s="170" t="s">
        <v>215</v>
      </c>
      <c r="E177" s="13">
        <v>5256074</v>
      </c>
      <c r="F177" s="18">
        <v>5456841</v>
      </c>
      <c r="G177" s="13"/>
      <c r="H177" s="18"/>
      <c r="I177" s="13"/>
      <c r="J177" s="18"/>
      <c r="K177" s="13"/>
      <c r="L177" s="13"/>
      <c r="M177" s="13"/>
      <c r="N177" s="13"/>
      <c r="O177" s="13"/>
      <c r="P177" s="2"/>
      <c r="Q177" s="2"/>
    </row>
    <row r="178" spans="1:17" ht="12.75">
      <c r="A178" s="1" t="s">
        <v>382</v>
      </c>
      <c r="B178" s="12" t="s">
        <v>477</v>
      </c>
      <c r="C178" s="165" t="s">
        <v>478</v>
      </c>
      <c r="D178" s="170" t="s">
        <v>215</v>
      </c>
      <c r="E178" s="13">
        <v>2962793</v>
      </c>
      <c r="F178" s="18">
        <v>4082330</v>
      </c>
      <c r="G178" s="13"/>
      <c r="H178" s="18"/>
      <c r="I178" s="13"/>
      <c r="J178" s="18"/>
      <c r="K178" s="13"/>
      <c r="L178" s="13"/>
      <c r="M178" s="13"/>
      <c r="N178" s="13"/>
      <c r="O178" s="13"/>
      <c r="P178" s="2"/>
      <c r="Q178" s="2"/>
    </row>
    <row r="179" spans="1:17" ht="12.75">
      <c r="A179" s="1" t="s">
        <v>382</v>
      </c>
      <c r="B179" s="12" t="s">
        <v>479</v>
      </c>
      <c r="C179" s="165" t="s">
        <v>480</v>
      </c>
      <c r="D179" s="170" t="s">
        <v>215</v>
      </c>
      <c r="E179" s="13">
        <v>3569195</v>
      </c>
      <c r="F179" s="18">
        <v>3779299</v>
      </c>
      <c r="G179" s="13"/>
      <c r="H179" s="18"/>
      <c r="I179" s="13"/>
      <c r="J179" s="18"/>
      <c r="K179" s="13"/>
      <c r="L179" s="13"/>
      <c r="M179" s="13"/>
      <c r="N179" s="13"/>
      <c r="O179" s="13"/>
      <c r="P179" s="2"/>
      <c r="Q179" s="2"/>
    </row>
    <row r="180" spans="1:17" ht="12.75">
      <c r="A180" s="1" t="s">
        <v>382</v>
      </c>
      <c r="B180" s="12" t="s">
        <v>481</v>
      </c>
      <c r="C180" s="165" t="s">
        <v>482</v>
      </c>
      <c r="D180" s="170" t="s">
        <v>215</v>
      </c>
      <c r="E180" s="13">
        <v>5836110</v>
      </c>
      <c r="F180" s="18">
        <v>6327881</v>
      </c>
      <c r="G180" s="13"/>
      <c r="H180" s="18"/>
      <c r="I180" s="13"/>
      <c r="J180" s="18"/>
      <c r="K180" s="13"/>
      <c r="L180" s="13"/>
      <c r="M180" s="13"/>
      <c r="N180" s="13"/>
      <c r="O180" s="13"/>
      <c r="P180" s="2"/>
      <c r="Q180" s="2"/>
    </row>
    <row r="181" spans="1:17" ht="12.75">
      <c r="A181" s="1" t="s">
        <v>382</v>
      </c>
      <c r="B181" s="12" t="s">
        <v>483</v>
      </c>
      <c r="C181" s="165" t="s">
        <v>484</v>
      </c>
      <c r="D181" s="170" t="s">
        <v>215</v>
      </c>
      <c r="E181" s="13">
        <v>2636083</v>
      </c>
      <c r="F181" s="18">
        <v>2988641</v>
      </c>
      <c r="G181" s="13"/>
      <c r="H181" s="18"/>
      <c r="I181" s="13"/>
      <c r="J181" s="18"/>
      <c r="K181" s="13"/>
      <c r="L181" s="13"/>
      <c r="M181" s="13"/>
      <c r="N181" s="13"/>
      <c r="O181" s="13"/>
      <c r="P181" s="2"/>
      <c r="Q181" s="2"/>
    </row>
    <row r="182" spans="1:17" ht="12.75">
      <c r="A182" s="1" t="s">
        <v>382</v>
      </c>
      <c r="B182" s="12" t="s">
        <v>485</v>
      </c>
      <c r="C182" s="165" t="s">
        <v>486</v>
      </c>
      <c r="D182" s="170" t="s">
        <v>215</v>
      </c>
      <c r="E182" s="13">
        <v>2542727</v>
      </c>
      <c r="F182" s="18">
        <v>2667628</v>
      </c>
      <c r="G182" s="13"/>
      <c r="H182" s="18"/>
      <c r="I182" s="13"/>
      <c r="J182" s="18"/>
      <c r="K182" s="13"/>
      <c r="L182" s="13"/>
      <c r="M182" s="13"/>
      <c r="N182" s="13"/>
      <c r="O182" s="13"/>
      <c r="P182" s="2"/>
      <c r="Q182" s="2"/>
    </row>
    <row r="183" spans="1:17" ht="12.75">
      <c r="A183" s="1" t="s">
        <v>382</v>
      </c>
      <c r="B183" s="12" t="s">
        <v>487</v>
      </c>
      <c r="C183" s="165" t="s">
        <v>488</v>
      </c>
      <c r="D183" s="170" t="s">
        <v>215</v>
      </c>
      <c r="E183" s="13">
        <v>4752176</v>
      </c>
      <c r="F183" s="18">
        <v>5063711</v>
      </c>
      <c r="G183" s="13"/>
      <c r="H183" s="18"/>
      <c r="I183" s="13"/>
      <c r="J183" s="18"/>
      <c r="K183" s="13"/>
      <c r="L183" s="13"/>
      <c r="M183" s="13"/>
      <c r="N183" s="13"/>
      <c r="O183" s="13"/>
      <c r="P183" s="2"/>
      <c r="Q183" s="2"/>
    </row>
    <row r="184" spans="1:17" ht="12.75">
      <c r="A184" s="1" t="s">
        <v>382</v>
      </c>
      <c r="B184" s="12" t="s">
        <v>489</v>
      </c>
      <c r="C184" s="165" t="s">
        <v>490</v>
      </c>
      <c r="D184" s="170" t="s">
        <v>215</v>
      </c>
      <c r="E184" s="13">
        <v>2741648</v>
      </c>
      <c r="F184" s="18">
        <v>2869498</v>
      </c>
      <c r="G184" s="13"/>
      <c r="H184" s="18"/>
      <c r="I184" s="13"/>
      <c r="J184" s="18"/>
      <c r="K184" s="13"/>
      <c r="L184" s="13"/>
      <c r="M184" s="13"/>
      <c r="N184" s="13"/>
      <c r="O184" s="13"/>
      <c r="P184" s="2"/>
      <c r="Q184" s="2"/>
    </row>
    <row r="185" spans="1:17" ht="12.75">
      <c r="A185" s="1" t="s">
        <v>382</v>
      </c>
      <c r="B185" s="12" t="s">
        <v>491</v>
      </c>
      <c r="C185" s="165" t="s">
        <v>492</v>
      </c>
      <c r="D185" s="170" t="s">
        <v>215</v>
      </c>
      <c r="E185" s="13">
        <v>2186853</v>
      </c>
      <c r="F185" s="18">
        <v>2178620</v>
      </c>
      <c r="G185" s="13"/>
      <c r="H185" s="18"/>
      <c r="I185" s="13"/>
      <c r="J185" s="18"/>
      <c r="K185" s="13"/>
      <c r="L185" s="13"/>
      <c r="M185" s="13"/>
      <c r="N185" s="13"/>
      <c r="O185" s="13"/>
      <c r="P185" s="2"/>
      <c r="Q185" s="2"/>
    </row>
    <row r="186" spans="1:17" ht="12.75">
      <c r="A186" s="1" t="s">
        <v>382</v>
      </c>
      <c r="B186" s="12" t="s">
        <v>493</v>
      </c>
      <c r="C186" s="165" t="s">
        <v>494</v>
      </c>
      <c r="D186" s="170" t="s">
        <v>215</v>
      </c>
      <c r="E186" s="13">
        <v>2502312</v>
      </c>
      <c r="F186" s="18">
        <v>2799339</v>
      </c>
      <c r="G186" s="13"/>
      <c r="H186" s="18"/>
      <c r="I186" s="13"/>
      <c r="J186" s="18"/>
      <c r="K186" s="13"/>
      <c r="L186" s="13"/>
      <c r="M186" s="13"/>
      <c r="N186" s="13"/>
      <c r="O186" s="13"/>
      <c r="P186" s="2"/>
      <c r="Q186" s="2"/>
    </row>
    <row r="187" spans="1:17" ht="12.75">
      <c r="A187" s="1" t="s">
        <v>382</v>
      </c>
      <c r="B187" s="12" t="s">
        <v>495</v>
      </c>
      <c r="C187" s="165" t="s">
        <v>496</v>
      </c>
      <c r="D187" s="170" t="s">
        <v>215</v>
      </c>
      <c r="E187" s="13">
        <v>2426761</v>
      </c>
      <c r="F187" s="18">
        <v>2572773</v>
      </c>
      <c r="G187" s="13"/>
      <c r="H187" s="18"/>
      <c r="I187" s="13"/>
      <c r="J187" s="18"/>
      <c r="K187" s="13"/>
      <c r="L187" s="13"/>
      <c r="M187" s="13"/>
      <c r="N187" s="13"/>
      <c r="O187" s="13"/>
      <c r="P187" s="2"/>
      <c r="Q187" s="2"/>
    </row>
    <row r="188" spans="1:17" ht="12.75">
      <c r="A188" s="1" t="s">
        <v>382</v>
      </c>
      <c r="B188" s="12" t="s">
        <v>1478</v>
      </c>
      <c r="C188" s="165" t="s">
        <v>1479</v>
      </c>
      <c r="D188" s="170" t="s">
        <v>215</v>
      </c>
      <c r="E188" s="13">
        <v>138591</v>
      </c>
      <c r="F188" s="18">
        <v>1833659</v>
      </c>
      <c r="G188" s="13"/>
      <c r="H188" s="67"/>
      <c r="I188" s="13"/>
      <c r="J188" s="18"/>
      <c r="K188" s="13"/>
      <c r="L188" s="13"/>
      <c r="M188" s="13"/>
      <c r="N188" s="13"/>
      <c r="O188" s="13"/>
      <c r="P188" s="2"/>
      <c r="Q188" s="2"/>
    </row>
    <row r="189" spans="1:17" ht="12.75">
      <c r="A189" s="1" t="s">
        <v>382</v>
      </c>
      <c r="B189" s="12" t="s">
        <v>497</v>
      </c>
      <c r="C189" s="165" t="s">
        <v>498</v>
      </c>
      <c r="D189" s="170" t="s">
        <v>215</v>
      </c>
      <c r="E189" s="13">
        <v>4523479</v>
      </c>
      <c r="F189" s="18">
        <v>4696264</v>
      </c>
      <c r="G189" s="13"/>
      <c r="H189" s="18"/>
      <c r="I189" s="13"/>
      <c r="J189" s="18"/>
      <c r="K189" s="13"/>
      <c r="L189" s="13"/>
      <c r="M189" s="13"/>
      <c r="N189" s="13"/>
      <c r="O189" s="13"/>
      <c r="P189" s="2"/>
      <c r="Q189" s="2"/>
    </row>
    <row r="190" spans="1:17" ht="12.75">
      <c r="A190" s="1" t="s">
        <v>382</v>
      </c>
      <c r="B190" s="12" t="s">
        <v>499</v>
      </c>
      <c r="C190" s="165" t="s">
        <v>500</v>
      </c>
      <c r="D190" s="170" t="s">
        <v>215</v>
      </c>
      <c r="E190" s="13">
        <v>4244550</v>
      </c>
      <c r="F190" s="18">
        <v>4532041</v>
      </c>
      <c r="G190" s="13"/>
      <c r="H190" s="18"/>
      <c r="I190" s="13"/>
      <c r="J190" s="18"/>
      <c r="K190" s="13"/>
      <c r="L190" s="13"/>
      <c r="M190" s="13"/>
      <c r="N190" s="13"/>
      <c r="O190" s="13"/>
      <c r="P190" s="2"/>
      <c r="Q190" s="2"/>
    </row>
    <row r="191" spans="1:17" ht="12.75">
      <c r="A191" s="1" t="s">
        <v>382</v>
      </c>
      <c r="B191" s="12" t="s">
        <v>501</v>
      </c>
      <c r="C191" s="165" t="s">
        <v>502</v>
      </c>
      <c r="D191" s="170" t="s">
        <v>215</v>
      </c>
      <c r="E191" s="13">
        <v>2035343</v>
      </c>
      <c r="F191" s="18">
        <v>2307849</v>
      </c>
      <c r="G191" s="13"/>
      <c r="H191" s="18"/>
      <c r="I191" s="13"/>
      <c r="J191" s="18"/>
      <c r="K191" s="13"/>
      <c r="L191" s="13"/>
      <c r="M191" s="13"/>
      <c r="N191" s="13"/>
      <c r="O191" s="13"/>
      <c r="P191" s="2"/>
      <c r="Q191" s="2"/>
    </row>
    <row r="192" spans="1:17" ht="12.75">
      <c r="A192" s="1" t="s">
        <v>382</v>
      </c>
      <c r="B192" s="12" t="s">
        <v>503</v>
      </c>
      <c r="C192" s="165" t="s">
        <v>504</v>
      </c>
      <c r="D192" s="170" t="s">
        <v>215</v>
      </c>
      <c r="E192" s="13">
        <v>2347714</v>
      </c>
      <c r="F192" s="18">
        <v>2829637</v>
      </c>
      <c r="G192" s="13"/>
      <c r="H192" s="18"/>
      <c r="I192" s="13"/>
      <c r="J192" s="18"/>
      <c r="K192" s="13"/>
      <c r="L192" s="13"/>
      <c r="M192" s="13"/>
      <c r="N192" s="13"/>
      <c r="O192" s="13"/>
      <c r="P192" s="2"/>
      <c r="Q192" s="2"/>
    </row>
    <row r="193" spans="1:17" ht="12.75">
      <c r="A193" s="1" t="s">
        <v>382</v>
      </c>
      <c r="B193" s="12" t="s">
        <v>505</v>
      </c>
      <c r="C193" s="165" t="s">
        <v>506</v>
      </c>
      <c r="D193" s="170" t="s">
        <v>215</v>
      </c>
      <c r="E193" s="13">
        <v>3104452</v>
      </c>
      <c r="F193" s="18">
        <v>3210113</v>
      </c>
      <c r="G193" s="13"/>
      <c r="H193" s="18"/>
      <c r="I193" s="13"/>
      <c r="J193" s="18"/>
      <c r="K193" s="13"/>
      <c r="L193" s="13"/>
      <c r="M193" s="13"/>
      <c r="N193" s="13"/>
      <c r="O193" s="13"/>
      <c r="P193" s="2"/>
      <c r="Q193" s="2"/>
    </row>
    <row r="194" spans="1:17" ht="12.75">
      <c r="A194" s="1" t="s">
        <v>382</v>
      </c>
      <c r="B194" s="12" t="s">
        <v>507</v>
      </c>
      <c r="C194" s="165" t="s">
        <v>508</v>
      </c>
      <c r="D194" s="170" t="s">
        <v>215</v>
      </c>
      <c r="E194" s="13">
        <v>3413412</v>
      </c>
      <c r="F194" s="18">
        <v>4002154</v>
      </c>
      <c r="G194" s="13"/>
      <c r="H194" s="18"/>
      <c r="I194" s="13"/>
      <c r="J194" s="18"/>
      <c r="K194" s="13"/>
      <c r="L194" s="13"/>
      <c r="M194" s="13"/>
      <c r="N194" s="13"/>
      <c r="O194" s="13"/>
      <c r="P194" s="2"/>
      <c r="Q194" s="2"/>
    </row>
    <row r="195" spans="1:17" ht="12.75">
      <c r="A195" s="1" t="s">
        <v>382</v>
      </c>
      <c r="B195" s="12" t="s">
        <v>509</v>
      </c>
      <c r="C195" s="165" t="s">
        <v>510</v>
      </c>
      <c r="D195" s="170" t="s">
        <v>215</v>
      </c>
      <c r="E195" s="13">
        <v>2411004</v>
      </c>
      <c r="F195" s="18">
        <v>2704695</v>
      </c>
      <c r="G195" s="13"/>
      <c r="H195" s="67"/>
      <c r="I195" s="13"/>
      <c r="J195" s="18"/>
      <c r="K195" s="13"/>
      <c r="L195" s="13"/>
      <c r="M195" s="13"/>
      <c r="N195" s="13"/>
      <c r="O195" s="13"/>
      <c r="P195" s="2"/>
      <c r="Q195" s="2"/>
    </row>
    <row r="196" spans="1:17" ht="12.75">
      <c r="A196" s="1" t="s">
        <v>382</v>
      </c>
      <c r="B196" s="12" t="s">
        <v>511</v>
      </c>
      <c r="C196" s="165" t="s">
        <v>512</v>
      </c>
      <c r="D196" s="170" t="s">
        <v>215</v>
      </c>
      <c r="E196" s="13">
        <v>2468591</v>
      </c>
      <c r="F196" s="18">
        <v>4001720</v>
      </c>
      <c r="G196" s="13"/>
      <c r="H196" s="67"/>
      <c r="I196" s="13"/>
      <c r="J196" s="18"/>
      <c r="K196" s="13"/>
      <c r="L196" s="13"/>
      <c r="M196" s="13"/>
      <c r="N196" s="13"/>
      <c r="O196" s="13"/>
      <c r="P196" s="2"/>
      <c r="Q196" s="2"/>
    </row>
    <row r="197" spans="1:17" ht="12.75">
      <c r="A197" s="1" t="s">
        <v>382</v>
      </c>
      <c r="B197" s="12" t="s">
        <v>513</v>
      </c>
      <c r="C197" s="165" t="s">
        <v>514</v>
      </c>
      <c r="D197" s="170" t="s">
        <v>305</v>
      </c>
      <c r="E197" s="13">
        <v>76306430</v>
      </c>
      <c r="F197" s="18"/>
      <c r="G197" s="13"/>
      <c r="H197" s="18"/>
      <c r="I197" s="13"/>
      <c r="J197" s="18">
        <v>85340402</v>
      </c>
      <c r="K197" s="13"/>
      <c r="L197" s="13"/>
      <c r="M197" s="13"/>
      <c r="N197" s="13"/>
      <c r="O197" s="13"/>
      <c r="P197" s="2"/>
      <c r="Q197" s="21"/>
    </row>
    <row r="198" spans="1:17" ht="12.75">
      <c r="A198" s="1" t="s">
        <v>382</v>
      </c>
      <c r="B198" s="12" t="s">
        <v>515</v>
      </c>
      <c r="C198" s="165" t="s">
        <v>516</v>
      </c>
      <c r="D198" s="170" t="s">
        <v>305</v>
      </c>
      <c r="E198" s="13">
        <v>15837020</v>
      </c>
      <c r="F198" s="18">
        <v>16456813</v>
      </c>
      <c r="G198" s="13"/>
      <c r="H198" s="18"/>
      <c r="I198" s="13"/>
      <c r="J198" s="18"/>
      <c r="K198" s="13"/>
      <c r="L198" s="13"/>
      <c r="M198" s="13"/>
      <c r="N198" s="13"/>
      <c r="O198" s="13"/>
      <c r="P198" s="2"/>
      <c r="Q198" s="21"/>
    </row>
    <row r="199" spans="1:17" ht="12.75">
      <c r="A199" s="1" t="s">
        <v>517</v>
      </c>
      <c r="B199" s="12" t="s">
        <v>518</v>
      </c>
      <c r="C199" s="165" t="s">
        <v>519</v>
      </c>
      <c r="D199" s="170" t="s">
        <v>131</v>
      </c>
      <c r="E199" s="13">
        <v>80824400</v>
      </c>
      <c r="F199" s="18">
        <v>83324600</v>
      </c>
      <c r="G199" s="13"/>
      <c r="H199" s="67"/>
      <c r="I199" s="13"/>
      <c r="J199" s="18">
        <v>72745300</v>
      </c>
      <c r="K199" s="13">
        <v>13714600</v>
      </c>
      <c r="L199" s="13">
        <v>0</v>
      </c>
      <c r="M199" s="13">
        <v>30420800</v>
      </c>
      <c r="N199" s="13">
        <v>25367600</v>
      </c>
      <c r="O199" s="13">
        <v>0</v>
      </c>
      <c r="P199" s="13">
        <v>13444700</v>
      </c>
      <c r="Q199" s="13">
        <v>300000</v>
      </c>
    </row>
    <row r="200" spans="1:17" ht="12.75">
      <c r="A200" s="1" t="s">
        <v>517</v>
      </c>
      <c r="B200" s="12" t="s">
        <v>520</v>
      </c>
      <c r="C200" s="165" t="s">
        <v>521</v>
      </c>
      <c r="D200" s="170" t="s">
        <v>136</v>
      </c>
      <c r="E200" s="13">
        <v>71264500</v>
      </c>
      <c r="F200" s="18">
        <v>73201700</v>
      </c>
      <c r="G200" s="13"/>
      <c r="H200" s="67"/>
      <c r="I200" s="13"/>
      <c r="J200" s="18">
        <v>55979300</v>
      </c>
      <c r="K200" s="13">
        <v>1168300</v>
      </c>
      <c r="L200" s="13">
        <v>0</v>
      </c>
      <c r="M200" s="13">
        <v>0</v>
      </c>
      <c r="N200" s="13">
        <v>0</v>
      </c>
      <c r="O200" s="13">
        <v>0</v>
      </c>
      <c r="P200" s="13">
        <v>551300</v>
      </c>
      <c r="Q200" s="13">
        <v>300000</v>
      </c>
    </row>
    <row r="201" spans="1:17" ht="12.75">
      <c r="A201" s="1" t="s">
        <v>517</v>
      </c>
      <c r="B201" s="12" t="s">
        <v>522</v>
      </c>
      <c r="C201" s="165" t="s">
        <v>523</v>
      </c>
      <c r="D201" s="170" t="s">
        <v>139</v>
      </c>
      <c r="E201" s="13">
        <v>48680785</v>
      </c>
      <c r="F201" s="18">
        <v>49894685</v>
      </c>
      <c r="G201" s="13"/>
      <c r="H201" s="67"/>
      <c r="I201" s="13"/>
      <c r="J201" s="18"/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</row>
    <row r="202" spans="1:17" ht="12.75">
      <c r="A202" s="1" t="s">
        <v>517</v>
      </c>
      <c r="B202" s="12" t="s">
        <v>524</v>
      </c>
      <c r="C202" s="165" t="s">
        <v>525</v>
      </c>
      <c r="D202" s="170" t="s">
        <v>139</v>
      </c>
      <c r="E202" s="13">
        <v>33353105</v>
      </c>
      <c r="F202" s="18">
        <v>34023805</v>
      </c>
      <c r="G202" s="13"/>
      <c r="H202" s="67"/>
      <c r="I202" s="13"/>
      <c r="J202" s="18"/>
      <c r="K202" s="13">
        <v>2392100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</row>
    <row r="203" spans="1:17" ht="12.75">
      <c r="A203" s="1" t="s">
        <v>517</v>
      </c>
      <c r="B203" s="12" t="s">
        <v>526</v>
      </c>
      <c r="C203" s="165" t="s">
        <v>527</v>
      </c>
      <c r="D203" s="170" t="s">
        <v>139</v>
      </c>
      <c r="E203" s="13">
        <v>47357105</v>
      </c>
      <c r="F203" s="18">
        <v>48761205</v>
      </c>
      <c r="G203" s="13"/>
      <c r="H203" s="67"/>
      <c r="I203" s="13"/>
      <c r="J203" s="18"/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</row>
    <row r="204" spans="1:17" ht="12.75">
      <c r="A204" s="1" t="s">
        <v>517</v>
      </c>
      <c r="B204" s="12" t="s">
        <v>528</v>
      </c>
      <c r="C204" s="165" t="s">
        <v>529</v>
      </c>
      <c r="D204" s="170" t="s">
        <v>148</v>
      </c>
      <c r="E204" s="13">
        <v>27879005</v>
      </c>
      <c r="F204" s="18">
        <v>28699805</v>
      </c>
      <c r="G204" s="13"/>
      <c r="H204" s="67"/>
      <c r="I204" s="13"/>
      <c r="J204" s="18"/>
      <c r="K204" s="13">
        <v>988500</v>
      </c>
      <c r="L204" s="13">
        <v>0</v>
      </c>
      <c r="M204" s="13">
        <v>0</v>
      </c>
      <c r="N204" s="13">
        <v>0</v>
      </c>
      <c r="O204" s="13">
        <v>0</v>
      </c>
      <c r="P204" s="13">
        <v>141800</v>
      </c>
      <c r="Q204" s="13">
        <v>0</v>
      </c>
    </row>
    <row r="205" spans="1:17" ht="12.75">
      <c r="A205" s="1" t="s">
        <v>517</v>
      </c>
      <c r="B205" s="12" t="s">
        <v>530</v>
      </c>
      <c r="C205" s="165" t="s">
        <v>531</v>
      </c>
      <c r="D205" s="170" t="s">
        <v>157</v>
      </c>
      <c r="E205" s="13">
        <v>24657600</v>
      </c>
      <c r="F205" s="18">
        <v>25390000</v>
      </c>
      <c r="G205" s="13"/>
      <c r="H205" s="67"/>
      <c r="I205" s="13"/>
      <c r="J205" s="18"/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</row>
    <row r="206" spans="1:17" ht="12.75">
      <c r="A206" s="1" t="s">
        <v>517</v>
      </c>
      <c r="B206" s="12" t="s">
        <v>532</v>
      </c>
      <c r="C206" s="165" t="s">
        <v>533</v>
      </c>
      <c r="D206" s="170" t="s">
        <v>166</v>
      </c>
      <c r="E206" s="13">
        <v>15788700</v>
      </c>
      <c r="F206" s="18">
        <v>16251700</v>
      </c>
      <c r="G206" s="13"/>
      <c r="H206" s="67"/>
      <c r="I206" s="13"/>
      <c r="J206" s="18"/>
      <c r="K206" s="13">
        <v>0</v>
      </c>
      <c r="L206" s="13">
        <v>0</v>
      </c>
      <c r="M206" s="13">
        <v>311300</v>
      </c>
      <c r="N206" s="13">
        <v>0</v>
      </c>
      <c r="O206" s="13">
        <v>0</v>
      </c>
      <c r="P206" s="13">
        <v>0</v>
      </c>
      <c r="Q206" s="13">
        <v>0</v>
      </c>
    </row>
    <row r="207" spans="1:17" ht="12.75">
      <c r="A207" s="1" t="s">
        <v>517</v>
      </c>
      <c r="B207" s="12" t="s">
        <v>534</v>
      </c>
      <c r="C207" s="165" t="s">
        <v>535</v>
      </c>
      <c r="D207" s="170" t="s">
        <v>170</v>
      </c>
      <c r="E207" s="13">
        <v>63013200</v>
      </c>
      <c r="F207" s="18">
        <v>64884900</v>
      </c>
      <c r="G207" s="13"/>
      <c r="H207" s="18"/>
      <c r="I207" s="13"/>
      <c r="J207" s="18"/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</row>
    <row r="208" spans="1:10" ht="12.75">
      <c r="A208" s="1" t="s">
        <v>536</v>
      </c>
      <c r="B208" s="12" t="s">
        <v>537</v>
      </c>
      <c r="C208" s="165" t="s">
        <v>538</v>
      </c>
      <c r="D208" s="171" t="s">
        <v>131</v>
      </c>
      <c r="E208" s="13">
        <f>108610779-1197400</f>
        <v>107413379</v>
      </c>
      <c r="F208" s="18">
        <v>107393932</v>
      </c>
      <c r="G208" s="12">
        <v>0</v>
      </c>
      <c r="H208" s="18">
        <v>0</v>
      </c>
      <c r="I208" s="13">
        <v>12700319</v>
      </c>
      <c r="J208" s="18"/>
    </row>
    <row r="209" spans="1:10" ht="12.75">
      <c r="A209" s="1" t="s">
        <v>536</v>
      </c>
      <c r="B209" s="12" t="s">
        <v>539</v>
      </c>
      <c r="C209" s="165" t="s">
        <v>540</v>
      </c>
      <c r="D209" s="171" t="s">
        <v>136</v>
      </c>
      <c r="E209" s="13">
        <v>34355980</v>
      </c>
      <c r="F209" s="18">
        <v>34193995</v>
      </c>
      <c r="G209" s="13">
        <v>0</v>
      </c>
      <c r="H209" s="18">
        <v>0</v>
      </c>
      <c r="I209" s="12"/>
      <c r="J209" s="18"/>
    </row>
    <row r="210" spans="1:10" ht="12.75">
      <c r="A210" s="1" t="s">
        <v>536</v>
      </c>
      <c r="B210" s="12" t="s">
        <v>541</v>
      </c>
      <c r="C210" s="165" t="s">
        <v>542</v>
      </c>
      <c r="D210" s="171" t="s">
        <v>136</v>
      </c>
      <c r="E210" s="13">
        <v>39966316</v>
      </c>
      <c r="F210" s="18">
        <v>41214698</v>
      </c>
      <c r="G210" s="13">
        <v>0</v>
      </c>
      <c r="H210" s="18">
        <v>0</v>
      </c>
      <c r="I210" s="12"/>
      <c r="J210" s="18"/>
    </row>
    <row r="211" spans="1:10" ht="12.75">
      <c r="A211" s="1" t="s">
        <v>536</v>
      </c>
      <c r="B211" s="12" t="s">
        <v>543</v>
      </c>
      <c r="C211" s="165" t="s">
        <v>544</v>
      </c>
      <c r="D211" s="171" t="s">
        <v>139</v>
      </c>
      <c r="E211" s="13">
        <v>29145014</v>
      </c>
      <c r="F211" s="18">
        <v>30279752</v>
      </c>
      <c r="G211" s="13">
        <v>0</v>
      </c>
      <c r="H211" s="18">
        <v>0</v>
      </c>
      <c r="I211" s="12"/>
      <c r="J211" s="18"/>
    </row>
    <row r="212" spans="1:20" ht="12.75">
      <c r="A212" s="1" t="s">
        <v>536</v>
      </c>
      <c r="B212" s="12" t="s">
        <v>545</v>
      </c>
      <c r="C212" s="165" t="s">
        <v>1480</v>
      </c>
      <c r="D212" s="171" t="s">
        <v>139</v>
      </c>
      <c r="E212" s="13">
        <v>17923867</v>
      </c>
      <c r="F212" s="18">
        <v>18270307</v>
      </c>
      <c r="G212" s="13">
        <v>0</v>
      </c>
      <c r="H212" s="18">
        <v>0</v>
      </c>
      <c r="I212" s="12"/>
      <c r="J212" s="18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 t="s">
        <v>536</v>
      </c>
      <c r="B213" s="12" t="s">
        <v>546</v>
      </c>
      <c r="C213" s="165" t="s">
        <v>547</v>
      </c>
      <c r="D213" s="171" t="s">
        <v>139</v>
      </c>
      <c r="E213" s="13">
        <v>29151257</v>
      </c>
      <c r="F213" s="18">
        <v>29564273</v>
      </c>
      <c r="G213" s="13">
        <v>0</v>
      </c>
      <c r="H213" s="18">
        <v>0</v>
      </c>
      <c r="I213" s="12"/>
      <c r="J213" s="18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 t="s">
        <v>536</v>
      </c>
      <c r="B214" s="12" t="s">
        <v>548</v>
      </c>
      <c r="C214" s="165" t="s">
        <v>549</v>
      </c>
      <c r="D214" s="171" t="s">
        <v>139</v>
      </c>
      <c r="E214" s="13">
        <f>33239427-747180</f>
        <v>32492247</v>
      </c>
      <c r="F214" s="18">
        <v>32365963</v>
      </c>
      <c r="G214" s="13">
        <v>0</v>
      </c>
      <c r="H214" s="18">
        <v>0</v>
      </c>
      <c r="I214" s="12"/>
      <c r="J214" s="18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 t="s">
        <v>536</v>
      </c>
      <c r="B215" s="12" t="s">
        <v>550</v>
      </c>
      <c r="C215" s="165" t="s">
        <v>551</v>
      </c>
      <c r="D215" s="171" t="s">
        <v>148</v>
      </c>
      <c r="E215" s="13">
        <v>18088373</v>
      </c>
      <c r="F215" s="18">
        <v>18566726</v>
      </c>
      <c r="G215" s="13">
        <v>0</v>
      </c>
      <c r="H215" s="18">
        <v>0</v>
      </c>
      <c r="I215" s="12"/>
      <c r="J215" s="18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 t="s">
        <v>536</v>
      </c>
      <c r="B216" s="12" t="s">
        <v>552</v>
      </c>
      <c r="C216" s="165" t="s">
        <v>553</v>
      </c>
      <c r="D216" s="171" t="s">
        <v>148</v>
      </c>
      <c r="E216" s="13">
        <v>19800718</v>
      </c>
      <c r="F216" s="18">
        <v>19863553</v>
      </c>
      <c r="G216" s="13">
        <v>0</v>
      </c>
      <c r="H216" s="18">
        <v>0</v>
      </c>
      <c r="I216" s="12"/>
      <c r="J216" s="18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 t="s">
        <v>536</v>
      </c>
      <c r="B217" s="12" t="s">
        <v>554</v>
      </c>
      <c r="C217" s="165" t="s">
        <v>555</v>
      </c>
      <c r="D217" s="171" t="s">
        <v>148</v>
      </c>
      <c r="E217" s="13">
        <v>27529035</v>
      </c>
      <c r="F217" s="18">
        <v>27389374</v>
      </c>
      <c r="G217" s="13">
        <v>0</v>
      </c>
      <c r="H217" s="18">
        <v>0</v>
      </c>
      <c r="I217" s="12"/>
      <c r="J217" s="18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 t="s">
        <v>536</v>
      </c>
      <c r="B218" s="12" t="s">
        <v>556</v>
      </c>
      <c r="C218" s="165" t="s">
        <v>557</v>
      </c>
      <c r="D218" s="171" t="s">
        <v>157</v>
      </c>
      <c r="E218" s="13">
        <v>8935508</v>
      </c>
      <c r="F218" s="18">
        <v>8951751</v>
      </c>
      <c r="G218" s="13">
        <v>0</v>
      </c>
      <c r="H218" s="18">
        <v>0</v>
      </c>
      <c r="I218" s="12"/>
      <c r="J218" s="18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 t="s">
        <v>536</v>
      </c>
      <c r="B219" s="12" t="s">
        <v>558</v>
      </c>
      <c r="C219" s="165" t="s">
        <v>559</v>
      </c>
      <c r="D219" s="171" t="s">
        <v>157</v>
      </c>
      <c r="E219" s="13">
        <v>17500850</v>
      </c>
      <c r="F219" s="18">
        <v>17368092</v>
      </c>
      <c r="G219" s="13">
        <v>0</v>
      </c>
      <c r="H219" s="18">
        <v>0</v>
      </c>
      <c r="I219" s="12"/>
      <c r="J219" s="18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 t="s">
        <v>536</v>
      </c>
      <c r="B220" s="12" t="s">
        <v>560</v>
      </c>
      <c r="C220" s="165" t="s">
        <v>561</v>
      </c>
      <c r="D220" s="171" t="s">
        <v>157</v>
      </c>
      <c r="E220" s="13">
        <v>9354459</v>
      </c>
      <c r="F220" s="18">
        <v>9166971</v>
      </c>
      <c r="G220" s="13">
        <v>0</v>
      </c>
      <c r="H220" s="18">
        <v>0</v>
      </c>
      <c r="I220" s="12"/>
      <c r="J220" s="18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 t="s">
        <v>536</v>
      </c>
      <c r="B221" s="12" t="s">
        <v>562</v>
      </c>
      <c r="C221" s="165" t="s">
        <v>563</v>
      </c>
      <c r="D221" s="171" t="s">
        <v>170</v>
      </c>
      <c r="E221" s="12"/>
      <c r="F221" s="18"/>
      <c r="G221" s="13">
        <v>0</v>
      </c>
      <c r="H221" s="18">
        <v>0</v>
      </c>
      <c r="I221" s="12"/>
      <c r="J221" s="18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 t="s">
        <v>536</v>
      </c>
      <c r="B222" s="12" t="s">
        <v>564</v>
      </c>
      <c r="C222" s="165" t="s">
        <v>565</v>
      </c>
      <c r="D222" s="171" t="s">
        <v>170</v>
      </c>
      <c r="E222" s="13">
        <v>18734036</v>
      </c>
      <c r="F222" s="18">
        <v>18765898</v>
      </c>
      <c r="G222" s="13">
        <v>0</v>
      </c>
      <c r="H222" s="18">
        <v>0</v>
      </c>
      <c r="I222" s="12"/>
      <c r="J222" s="18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 t="s">
        <v>536</v>
      </c>
      <c r="B223" s="12" t="s">
        <v>566</v>
      </c>
      <c r="C223" s="165" t="s">
        <v>567</v>
      </c>
      <c r="D223" s="171" t="s">
        <v>170</v>
      </c>
      <c r="E223" s="13">
        <v>4898666</v>
      </c>
      <c r="F223" s="18">
        <v>4829419</v>
      </c>
      <c r="G223" s="13">
        <v>0</v>
      </c>
      <c r="H223" s="18">
        <v>0</v>
      </c>
      <c r="I223" s="12"/>
      <c r="J223" s="18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 t="s">
        <v>536</v>
      </c>
      <c r="B224" s="12" t="s">
        <v>568</v>
      </c>
      <c r="C224" s="165" t="s">
        <v>569</v>
      </c>
      <c r="D224" s="171" t="s">
        <v>170</v>
      </c>
      <c r="E224" s="13">
        <v>4116772</v>
      </c>
      <c r="F224" s="18">
        <v>4113722</v>
      </c>
      <c r="G224" s="13">
        <v>0</v>
      </c>
      <c r="H224" s="18">
        <v>0</v>
      </c>
      <c r="I224" s="12"/>
      <c r="J224" s="18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 t="s">
        <v>536</v>
      </c>
      <c r="B225" s="12" t="s">
        <v>570</v>
      </c>
      <c r="C225" s="165" t="s">
        <v>571</v>
      </c>
      <c r="D225" s="171" t="s">
        <v>170</v>
      </c>
      <c r="E225" s="13">
        <v>3286754</v>
      </c>
      <c r="F225" s="18">
        <v>3244417</v>
      </c>
      <c r="G225" s="13">
        <v>0</v>
      </c>
      <c r="H225" s="18">
        <v>0</v>
      </c>
      <c r="I225" s="12"/>
      <c r="J225" s="18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 t="s">
        <v>536</v>
      </c>
      <c r="B226" s="12" t="s">
        <v>572</v>
      </c>
      <c r="C226" s="165" t="s">
        <v>573</v>
      </c>
      <c r="D226" s="171" t="s">
        <v>170</v>
      </c>
      <c r="E226" s="13">
        <v>4173647</v>
      </c>
      <c r="F226" s="18">
        <v>4234697</v>
      </c>
      <c r="G226" s="13">
        <v>0</v>
      </c>
      <c r="H226" s="18">
        <v>0</v>
      </c>
      <c r="I226" s="12"/>
      <c r="J226" s="18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 t="s">
        <v>536</v>
      </c>
      <c r="B227" s="1" t="s">
        <v>574</v>
      </c>
      <c r="C227" s="12"/>
      <c r="D227" s="170" t="s">
        <v>215</v>
      </c>
      <c r="E227" s="13">
        <v>620036</v>
      </c>
      <c r="F227" s="18">
        <v>341280</v>
      </c>
      <c r="G227" s="13"/>
      <c r="H227" s="18"/>
      <c r="I227" s="12"/>
      <c r="J227" s="18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 t="s">
        <v>536</v>
      </c>
      <c r="B228" s="1" t="s">
        <v>575</v>
      </c>
      <c r="C228" s="40" t="s">
        <v>576</v>
      </c>
      <c r="D228" s="170" t="s">
        <v>215</v>
      </c>
      <c r="E228" s="13">
        <v>1635970</v>
      </c>
      <c r="F228" s="18">
        <v>1625515</v>
      </c>
      <c r="G228" s="13"/>
      <c r="H228" s="18"/>
      <c r="I228" s="12"/>
      <c r="J228" s="18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 t="s">
        <v>536</v>
      </c>
      <c r="B229" s="1" t="s">
        <v>577</v>
      </c>
      <c r="C229" s="40" t="s">
        <v>578</v>
      </c>
      <c r="D229" s="170" t="s">
        <v>215</v>
      </c>
      <c r="E229" s="13">
        <v>832229</v>
      </c>
      <c r="F229" s="18">
        <v>789383</v>
      </c>
      <c r="G229" s="13"/>
      <c r="H229" s="18"/>
      <c r="I229" s="12"/>
      <c r="J229" s="18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>
      <c r="A230" s="1" t="s">
        <v>536</v>
      </c>
      <c r="B230" s="1" t="s">
        <v>579</v>
      </c>
      <c r="C230" s="40" t="s">
        <v>580</v>
      </c>
      <c r="D230" s="170" t="s">
        <v>215</v>
      </c>
      <c r="E230" s="13">
        <v>1362033</v>
      </c>
      <c r="F230" s="18">
        <v>1355689</v>
      </c>
      <c r="G230" s="13"/>
      <c r="H230" s="18"/>
      <c r="I230" s="12"/>
      <c r="J230" s="18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>
      <c r="A231" s="1" t="s">
        <v>536</v>
      </c>
      <c r="B231" s="1" t="s">
        <v>581</v>
      </c>
      <c r="C231" s="40" t="s">
        <v>582</v>
      </c>
      <c r="D231" s="170" t="s">
        <v>215</v>
      </c>
      <c r="E231" s="13">
        <v>815926</v>
      </c>
      <c r="F231" s="18">
        <v>970280</v>
      </c>
      <c r="G231" s="13"/>
      <c r="H231" s="18"/>
      <c r="I231" s="12"/>
      <c r="J231" s="18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>
      <c r="A232" s="1" t="s">
        <v>536</v>
      </c>
      <c r="B232" s="1" t="s">
        <v>583</v>
      </c>
      <c r="C232" s="40" t="s">
        <v>584</v>
      </c>
      <c r="D232" s="170" t="s">
        <v>215</v>
      </c>
      <c r="E232" s="13">
        <v>2672074</v>
      </c>
      <c r="F232" s="18">
        <v>2788303</v>
      </c>
      <c r="G232" s="13"/>
      <c r="H232" s="18"/>
      <c r="I232" s="12"/>
      <c r="J232" s="18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1" t="s">
        <v>536</v>
      </c>
      <c r="B233" s="1" t="s">
        <v>585</v>
      </c>
      <c r="C233" s="40" t="s">
        <v>586</v>
      </c>
      <c r="D233" s="170" t="s">
        <v>215</v>
      </c>
      <c r="E233" s="13">
        <v>678222</v>
      </c>
      <c r="F233" s="18">
        <v>736124</v>
      </c>
      <c r="G233" s="13"/>
      <c r="H233" s="18"/>
      <c r="I233" s="12"/>
      <c r="J233" s="18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1" t="s">
        <v>536</v>
      </c>
      <c r="B234" s="1" t="s">
        <v>587</v>
      </c>
      <c r="C234" s="40" t="s">
        <v>588</v>
      </c>
      <c r="D234" s="170" t="s">
        <v>215</v>
      </c>
      <c r="E234" s="13">
        <v>580437</v>
      </c>
      <c r="F234" s="18">
        <v>579494</v>
      </c>
      <c r="G234" s="13"/>
      <c r="H234" s="18"/>
      <c r="I234" s="12"/>
      <c r="J234" s="18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1" t="s">
        <v>536</v>
      </c>
      <c r="B235" s="1" t="s">
        <v>589</v>
      </c>
      <c r="C235" s="12"/>
      <c r="D235" s="170" t="s">
        <v>215</v>
      </c>
      <c r="E235" s="13">
        <v>690328</v>
      </c>
      <c r="F235" s="18">
        <v>693558</v>
      </c>
      <c r="G235" s="13"/>
      <c r="H235" s="18"/>
      <c r="I235" s="12"/>
      <c r="J235" s="18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1" t="s">
        <v>536</v>
      </c>
      <c r="B236" s="1" t="s">
        <v>590</v>
      </c>
      <c r="C236" s="40" t="s">
        <v>591</v>
      </c>
      <c r="D236" s="170" t="s">
        <v>215</v>
      </c>
      <c r="E236" s="13">
        <v>2067116</v>
      </c>
      <c r="F236" s="18">
        <v>2145340</v>
      </c>
      <c r="G236" s="13"/>
      <c r="H236" s="18"/>
      <c r="I236" s="12"/>
      <c r="J236" s="18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1" t="s">
        <v>536</v>
      </c>
      <c r="B237" s="1" t="s">
        <v>592</v>
      </c>
      <c r="C237" s="40" t="s">
        <v>593</v>
      </c>
      <c r="D237" s="170" t="s">
        <v>215</v>
      </c>
      <c r="E237" s="13">
        <v>805464</v>
      </c>
      <c r="F237" s="18">
        <v>834758</v>
      </c>
      <c r="G237" s="13"/>
      <c r="H237" s="18"/>
      <c r="I237" s="12"/>
      <c r="J237" s="18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1" t="s">
        <v>536</v>
      </c>
      <c r="B238" s="1" t="s">
        <v>594</v>
      </c>
      <c r="C238" s="40" t="s">
        <v>595</v>
      </c>
      <c r="D238" s="170" t="s">
        <v>215</v>
      </c>
      <c r="E238" s="13">
        <v>637149</v>
      </c>
      <c r="F238" s="18">
        <v>739914</v>
      </c>
      <c r="G238" s="13"/>
      <c r="H238" s="18"/>
      <c r="I238" s="12"/>
      <c r="J238" s="18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1" t="s">
        <v>536</v>
      </c>
      <c r="B239" s="1" t="s">
        <v>596</v>
      </c>
      <c r="C239" s="40" t="s">
        <v>597</v>
      </c>
      <c r="D239" s="170" t="s">
        <v>215</v>
      </c>
      <c r="E239" s="13">
        <v>810150</v>
      </c>
      <c r="F239" s="18">
        <v>885232</v>
      </c>
      <c r="G239" s="13"/>
      <c r="H239" s="18"/>
      <c r="I239" s="12"/>
      <c r="J239" s="18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1" t="s">
        <v>536</v>
      </c>
      <c r="B240" s="1" t="s">
        <v>598</v>
      </c>
      <c r="C240" s="40" t="s">
        <v>599</v>
      </c>
      <c r="D240" s="170" t="s">
        <v>215</v>
      </c>
      <c r="E240" s="13">
        <v>1085198</v>
      </c>
      <c r="F240" s="18">
        <v>1125727</v>
      </c>
      <c r="G240" s="13"/>
      <c r="H240" s="18"/>
      <c r="I240" s="12"/>
      <c r="J240" s="18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1" t="s">
        <v>536</v>
      </c>
      <c r="B241" s="1" t="s">
        <v>600</v>
      </c>
      <c r="C241" s="40" t="s">
        <v>601</v>
      </c>
      <c r="D241" s="170" t="s">
        <v>215</v>
      </c>
      <c r="E241" s="13">
        <v>892489</v>
      </c>
      <c r="F241" s="18">
        <v>866711</v>
      </c>
      <c r="G241" s="13"/>
      <c r="H241" s="18"/>
      <c r="I241" s="12"/>
      <c r="J241" s="18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1" t="s">
        <v>536</v>
      </c>
      <c r="B242" s="1" t="s">
        <v>602</v>
      </c>
      <c r="C242" s="40" t="s">
        <v>603</v>
      </c>
      <c r="D242" s="170" t="s">
        <v>215</v>
      </c>
      <c r="E242" s="13">
        <v>255263</v>
      </c>
      <c r="F242" s="18">
        <v>2188112</v>
      </c>
      <c r="G242" s="13"/>
      <c r="H242" s="18"/>
      <c r="I242" s="12"/>
      <c r="J242" s="18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1" t="s">
        <v>536</v>
      </c>
      <c r="B243" s="1" t="s">
        <v>604</v>
      </c>
      <c r="C243" s="40" t="s">
        <v>605</v>
      </c>
      <c r="D243" s="170" t="s">
        <v>215</v>
      </c>
      <c r="E243" s="13">
        <v>2234738</v>
      </c>
      <c r="F243" s="18">
        <v>1975789</v>
      </c>
      <c r="G243" s="13"/>
      <c r="H243" s="18"/>
      <c r="I243" s="12"/>
      <c r="J243" s="18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1" t="s">
        <v>536</v>
      </c>
      <c r="B244" s="1" t="s">
        <v>606</v>
      </c>
      <c r="C244" s="40" t="s">
        <v>607</v>
      </c>
      <c r="D244" s="170" t="s">
        <v>215</v>
      </c>
      <c r="E244" s="13">
        <v>2678414</v>
      </c>
      <c r="F244" s="18">
        <v>2713626</v>
      </c>
      <c r="G244" s="13"/>
      <c r="H244" s="18"/>
      <c r="I244" s="12"/>
      <c r="J244" s="18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1" t="s">
        <v>536</v>
      </c>
      <c r="B245" s="1" t="s">
        <v>608</v>
      </c>
      <c r="C245" s="40" t="s">
        <v>609</v>
      </c>
      <c r="D245" s="170" t="s">
        <v>215</v>
      </c>
      <c r="E245" s="13">
        <v>914461</v>
      </c>
      <c r="F245" s="18">
        <v>946900</v>
      </c>
      <c r="G245" s="13"/>
      <c r="H245" s="18"/>
      <c r="I245" s="12"/>
      <c r="J245" s="18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1" t="s">
        <v>536</v>
      </c>
      <c r="B246" s="1" t="s">
        <v>610</v>
      </c>
      <c r="C246" s="40" t="s">
        <v>611</v>
      </c>
      <c r="D246" s="170" t="s">
        <v>215</v>
      </c>
      <c r="E246" s="13">
        <v>675279</v>
      </c>
      <c r="F246" s="18">
        <v>618499</v>
      </c>
      <c r="G246" s="13"/>
      <c r="H246" s="18"/>
      <c r="I246" s="12"/>
      <c r="J246" s="18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1" t="s">
        <v>536</v>
      </c>
      <c r="B247" s="1" t="s">
        <v>612</v>
      </c>
      <c r="C247" s="40" t="s">
        <v>613</v>
      </c>
      <c r="D247" s="170" t="s">
        <v>215</v>
      </c>
      <c r="E247" s="13">
        <v>1216148</v>
      </c>
      <c r="F247" s="18">
        <v>1219450</v>
      </c>
      <c r="G247" s="13"/>
      <c r="H247" s="18"/>
      <c r="I247" s="12"/>
      <c r="J247" s="18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1" t="s">
        <v>536</v>
      </c>
      <c r="B248" s="1" t="s">
        <v>614</v>
      </c>
      <c r="C248" s="40" t="s">
        <v>615</v>
      </c>
      <c r="D248" s="170" t="s">
        <v>215</v>
      </c>
      <c r="E248" s="13">
        <v>1968457</v>
      </c>
      <c r="F248" s="18">
        <v>2220449</v>
      </c>
      <c r="G248" s="13"/>
      <c r="H248" s="18"/>
      <c r="I248" s="12"/>
      <c r="J248" s="18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1" t="s">
        <v>536</v>
      </c>
      <c r="B249" s="1" t="s">
        <v>616</v>
      </c>
      <c r="C249" s="40" t="s">
        <v>617</v>
      </c>
      <c r="D249" s="170" t="s">
        <v>215</v>
      </c>
      <c r="E249" s="13">
        <v>535333</v>
      </c>
      <c r="F249" s="18">
        <v>606206</v>
      </c>
      <c r="G249" s="13"/>
      <c r="H249" s="18"/>
      <c r="I249" s="12"/>
      <c r="J249" s="18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1" t="s">
        <v>536</v>
      </c>
      <c r="B250" s="1" t="s">
        <v>618</v>
      </c>
      <c r="C250" s="40" t="s">
        <v>619</v>
      </c>
      <c r="D250" s="170" t="s">
        <v>215</v>
      </c>
      <c r="E250" s="13">
        <v>900112</v>
      </c>
      <c r="F250" s="18">
        <v>882135</v>
      </c>
      <c r="G250" s="13"/>
      <c r="H250" s="18"/>
      <c r="I250" s="12"/>
      <c r="J250" s="18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1" t="s">
        <v>536</v>
      </c>
      <c r="B251" s="1" t="s">
        <v>620</v>
      </c>
      <c r="C251" s="40" t="s">
        <v>621</v>
      </c>
      <c r="D251" s="170" t="s">
        <v>215</v>
      </c>
      <c r="E251" s="13">
        <v>1329627</v>
      </c>
      <c r="F251" s="18">
        <v>1214940</v>
      </c>
      <c r="G251" s="13"/>
      <c r="H251" s="18"/>
      <c r="I251" s="12"/>
      <c r="J251" s="18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1" t="s">
        <v>536</v>
      </c>
      <c r="B252" s="1" t="s">
        <v>622</v>
      </c>
      <c r="C252" s="40" t="s">
        <v>623</v>
      </c>
      <c r="D252" s="170" t="s">
        <v>215</v>
      </c>
      <c r="E252" s="13">
        <v>259050</v>
      </c>
      <c r="F252" s="18">
        <v>138220</v>
      </c>
      <c r="G252" s="13"/>
      <c r="H252" s="18"/>
      <c r="I252" s="12"/>
      <c r="J252" s="18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1" t="s">
        <v>536</v>
      </c>
      <c r="B253" s="1" t="s">
        <v>624</v>
      </c>
      <c r="C253" s="40" t="s">
        <v>625</v>
      </c>
      <c r="D253" s="170" t="s">
        <v>215</v>
      </c>
      <c r="E253" s="13">
        <v>0</v>
      </c>
      <c r="F253" s="18">
        <v>0</v>
      </c>
      <c r="G253" s="13"/>
      <c r="H253" s="18"/>
      <c r="I253" s="12"/>
      <c r="J253" s="18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1" t="s">
        <v>536</v>
      </c>
      <c r="B254" s="1" t="s">
        <v>626</v>
      </c>
      <c r="C254" s="40" t="s">
        <v>627</v>
      </c>
      <c r="D254" s="170" t="s">
        <v>215</v>
      </c>
      <c r="E254" s="13">
        <v>373508</v>
      </c>
      <c r="F254" s="18">
        <v>382556</v>
      </c>
      <c r="G254" s="13"/>
      <c r="H254" s="18"/>
      <c r="I254" s="12"/>
      <c r="J254" s="18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1" t="s">
        <v>536</v>
      </c>
      <c r="B255" s="1" t="s">
        <v>628</v>
      </c>
      <c r="C255" s="40" t="s">
        <v>629</v>
      </c>
      <c r="D255" s="170" t="s">
        <v>215</v>
      </c>
      <c r="E255" s="13">
        <v>696456</v>
      </c>
      <c r="F255" s="18">
        <v>703972</v>
      </c>
      <c r="G255" s="13"/>
      <c r="H255" s="18"/>
      <c r="I255" s="12"/>
      <c r="J255" s="18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1" t="s">
        <v>536</v>
      </c>
      <c r="B256" s="1" t="s">
        <v>630</v>
      </c>
      <c r="C256" s="40" t="s">
        <v>631</v>
      </c>
      <c r="D256" s="170" t="s">
        <v>215</v>
      </c>
      <c r="E256" s="13">
        <v>615973</v>
      </c>
      <c r="F256" s="18">
        <v>578356</v>
      </c>
      <c r="G256" s="13"/>
      <c r="H256" s="18"/>
      <c r="I256" s="12"/>
      <c r="J256" s="18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1" t="s">
        <v>536</v>
      </c>
      <c r="B257" s="1" t="s">
        <v>632</v>
      </c>
      <c r="C257" s="40" t="s">
        <v>633</v>
      </c>
      <c r="D257" s="170" t="s">
        <v>215</v>
      </c>
      <c r="E257" s="13">
        <v>2480616</v>
      </c>
      <c r="F257" s="18">
        <v>2368535</v>
      </c>
      <c r="G257" s="13"/>
      <c r="H257" s="18"/>
      <c r="I257" s="12"/>
      <c r="J257" s="18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1" t="s">
        <v>536</v>
      </c>
      <c r="B258" s="1" t="s">
        <v>634</v>
      </c>
      <c r="C258" s="40" t="s">
        <v>635</v>
      </c>
      <c r="D258" s="170" t="s">
        <v>215</v>
      </c>
      <c r="E258" s="13">
        <v>1546987</v>
      </c>
      <c r="F258" s="18">
        <v>1701064</v>
      </c>
      <c r="G258" s="13"/>
      <c r="H258" s="18"/>
      <c r="I258" s="12"/>
      <c r="J258" s="18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1" t="s">
        <v>536</v>
      </c>
      <c r="B259" s="1" t="s">
        <v>636</v>
      </c>
      <c r="C259" s="40" t="s">
        <v>637</v>
      </c>
      <c r="D259" s="170" t="s">
        <v>215</v>
      </c>
      <c r="E259" s="13">
        <v>1111225</v>
      </c>
      <c r="F259" s="18">
        <v>774168</v>
      </c>
      <c r="G259" s="13"/>
      <c r="H259" s="18"/>
      <c r="I259" s="12"/>
      <c r="J259" s="18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1" t="s">
        <v>536</v>
      </c>
      <c r="B260" s="1" t="s">
        <v>638</v>
      </c>
      <c r="C260" s="40" t="s">
        <v>639</v>
      </c>
      <c r="D260" s="170" t="s">
        <v>215</v>
      </c>
      <c r="E260" s="13">
        <v>637370</v>
      </c>
      <c r="F260" s="18">
        <v>593249</v>
      </c>
      <c r="G260" s="13"/>
      <c r="H260" s="18"/>
      <c r="I260" s="12"/>
      <c r="J260" s="18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1" t="s">
        <v>536</v>
      </c>
      <c r="B261" s="1" t="s">
        <v>640</v>
      </c>
      <c r="C261" s="40" t="s">
        <v>641</v>
      </c>
      <c r="D261" s="170" t="s">
        <v>215</v>
      </c>
      <c r="E261" s="13">
        <v>1340718</v>
      </c>
      <c r="F261" s="18">
        <v>828005</v>
      </c>
      <c r="G261" s="13"/>
      <c r="H261" s="18"/>
      <c r="I261" s="12"/>
      <c r="J261" s="18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1" t="s">
        <v>536</v>
      </c>
      <c r="B262" s="1" t="s">
        <v>642</v>
      </c>
      <c r="C262" s="40" t="s">
        <v>643</v>
      </c>
      <c r="D262" s="170" t="s">
        <v>215</v>
      </c>
      <c r="E262" s="13">
        <v>2033741</v>
      </c>
      <c r="F262" s="18">
        <v>1991074</v>
      </c>
      <c r="G262" s="13"/>
      <c r="H262" s="18"/>
      <c r="I262" s="12"/>
      <c r="J262" s="18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1" t="s">
        <v>536</v>
      </c>
      <c r="B263" s="1" t="s">
        <v>644</v>
      </c>
      <c r="C263" s="40" t="s">
        <v>645</v>
      </c>
      <c r="D263" s="170" t="s">
        <v>215</v>
      </c>
      <c r="E263" s="13">
        <v>1259986</v>
      </c>
      <c r="F263" s="18">
        <v>1283768</v>
      </c>
      <c r="G263" s="13"/>
      <c r="H263" s="18"/>
      <c r="I263" s="12"/>
      <c r="J263" s="18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1" t="s">
        <v>536</v>
      </c>
      <c r="B264" s="1" t="s">
        <v>646</v>
      </c>
      <c r="C264" s="40" t="s">
        <v>647</v>
      </c>
      <c r="D264" s="170" t="s">
        <v>215</v>
      </c>
      <c r="E264" s="13">
        <v>1241252</v>
      </c>
      <c r="F264" s="18">
        <v>1272647</v>
      </c>
      <c r="G264" s="13"/>
      <c r="H264" s="18"/>
      <c r="I264" s="12"/>
      <c r="J264" s="18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1" t="s">
        <v>536</v>
      </c>
      <c r="B265" s="1" t="s">
        <v>648</v>
      </c>
      <c r="C265" s="40" t="s">
        <v>649</v>
      </c>
      <c r="D265" s="170" t="s">
        <v>215</v>
      </c>
      <c r="E265" s="13">
        <v>361524</v>
      </c>
      <c r="F265" s="18">
        <v>371695</v>
      </c>
      <c r="G265" s="13"/>
      <c r="H265" s="18"/>
      <c r="I265" s="12"/>
      <c r="J265" s="18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1" t="s">
        <v>536</v>
      </c>
      <c r="B266" s="1" t="s">
        <v>650</v>
      </c>
      <c r="C266" s="40" t="s">
        <v>651</v>
      </c>
      <c r="D266" s="170" t="s">
        <v>215</v>
      </c>
      <c r="E266" s="13">
        <v>2245649</v>
      </c>
      <c r="F266" s="18">
        <v>2332313</v>
      </c>
      <c r="G266" s="13"/>
      <c r="H266" s="18"/>
      <c r="I266" s="12"/>
      <c r="J266" s="18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1" t="s">
        <v>536</v>
      </c>
      <c r="B267" s="1" t="s">
        <v>652</v>
      </c>
      <c r="C267" s="40" t="s">
        <v>653</v>
      </c>
      <c r="D267" s="170" t="s">
        <v>215</v>
      </c>
      <c r="E267" s="13">
        <v>1469928</v>
      </c>
      <c r="F267" s="18">
        <v>1758459</v>
      </c>
      <c r="G267" s="13"/>
      <c r="H267" s="18"/>
      <c r="I267" s="12"/>
      <c r="J267" s="18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1" t="s">
        <v>536</v>
      </c>
      <c r="B268" s="1" t="s">
        <v>654</v>
      </c>
      <c r="C268" s="40" t="s">
        <v>655</v>
      </c>
      <c r="D268" s="170" t="s">
        <v>215</v>
      </c>
      <c r="E268" s="13">
        <v>1050239</v>
      </c>
      <c r="F268" s="18">
        <v>1430503</v>
      </c>
      <c r="G268" s="13"/>
      <c r="H268" s="18"/>
      <c r="I268" s="12"/>
      <c r="J268" s="18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1" t="s">
        <v>536</v>
      </c>
      <c r="B269" s="1" t="s">
        <v>656</v>
      </c>
      <c r="C269" s="40" t="s">
        <v>657</v>
      </c>
      <c r="D269" s="170" t="s">
        <v>215</v>
      </c>
      <c r="E269" s="13">
        <v>827555</v>
      </c>
      <c r="F269" s="18">
        <v>813798</v>
      </c>
      <c r="G269" s="13"/>
      <c r="H269" s="18"/>
      <c r="I269" s="12"/>
      <c r="J269" s="18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10" ht="12.75">
      <c r="A270" s="1" t="s">
        <v>536</v>
      </c>
      <c r="B270" s="12" t="s">
        <v>658</v>
      </c>
      <c r="C270" s="165" t="s">
        <v>538</v>
      </c>
      <c r="D270" s="171" t="s">
        <v>305</v>
      </c>
      <c r="E270" s="13">
        <v>4624728</v>
      </c>
      <c r="F270" s="18">
        <v>4625286</v>
      </c>
      <c r="G270" s="13">
        <v>0</v>
      </c>
      <c r="H270" s="18">
        <v>0</v>
      </c>
      <c r="I270" s="1"/>
      <c r="J270" s="18"/>
    </row>
    <row r="271" spans="1:10" ht="12.75">
      <c r="A271" s="1" t="s">
        <v>536</v>
      </c>
      <c r="B271" s="12" t="s">
        <v>659</v>
      </c>
      <c r="C271" s="165" t="s">
        <v>660</v>
      </c>
      <c r="D271" s="171" t="s">
        <v>305</v>
      </c>
      <c r="E271" s="13">
        <v>84569427</v>
      </c>
      <c r="F271" s="18">
        <v>61466068</v>
      </c>
      <c r="G271" s="13">
        <v>0</v>
      </c>
      <c r="H271" s="18">
        <v>0</v>
      </c>
      <c r="I271" s="1"/>
      <c r="J271" s="18"/>
    </row>
    <row r="272" spans="1:11" ht="12.75">
      <c r="A272" s="1" t="s">
        <v>661</v>
      </c>
      <c r="B272" s="12" t="s">
        <v>662</v>
      </c>
      <c r="C272" s="165" t="s">
        <v>663</v>
      </c>
      <c r="D272" s="171" t="s">
        <v>131</v>
      </c>
      <c r="E272" s="13">
        <v>237274712</v>
      </c>
      <c r="F272" s="18">
        <v>240698186</v>
      </c>
      <c r="G272" s="2"/>
      <c r="H272" s="18"/>
      <c r="I272" s="2"/>
      <c r="J272" s="18"/>
      <c r="K272" s="13" t="s">
        <v>1481</v>
      </c>
    </row>
    <row r="273" spans="1:10" ht="12.75">
      <c r="A273" s="1" t="s">
        <v>661</v>
      </c>
      <c r="B273" s="12" t="s">
        <v>664</v>
      </c>
      <c r="C273" s="165" t="s">
        <v>665</v>
      </c>
      <c r="D273" s="171" t="s">
        <v>136</v>
      </c>
      <c r="E273" s="13">
        <v>44145298</v>
      </c>
      <c r="F273" s="18">
        <v>44648391</v>
      </c>
      <c r="G273" s="2"/>
      <c r="H273" s="18"/>
      <c r="I273" s="2"/>
      <c r="J273" s="18"/>
    </row>
    <row r="274" spans="1:10" ht="12.75">
      <c r="A274" s="1" t="s">
        <v>661</v>
      </c>
      <c r="B274" s="12" t="s">
        <v>666</v>
      </c>
      <c r="C274" s="165" t="s">
        <v>667</v>
      </c>
      <c r="D274" s="171" t="s">
        <v>148</v>
      </c>
      <c r="E274" s="13">
        <v>13199032</v>
      </c>
      <c r="F274" s="18">
        <v>13351264</v>
      </c>
      <c r="G274" s="2"/>
      <c r="H274" s="18"/>
      <c r="I274" s="2"/>
      <c r="J274" s="18"/>
    </row>
    <row r="275" spans="1:10" ht="12.75">
      <c r="A275" s="1" t="s">
        <v>661</v>
      </c>
      <c r="B275" s="12" t="s">
        <v>668</v>
      </c>
      <c r="C275" s="165" t="s">
        <v>669</v>
      </c>
      <c r="D275" s="171" t="s">
        <v>148</v>
      </c>
      <c r="E275" s="13">
        <v>19173829</v>
      </c>
      <c r="F275" s="18">
        <v>19330054</v>
      </c>
      <c r="G275" s="2"/>
      <c r="H275" s="18"/>
      <c r="I275" s="2"/>
      <c r="J275" s="18"/>
    </row>
    <row r="276" spans="1:10" ht="12.75">
      <c r="A276" s="1" t="s">
        <v>661</v>
      </c>
      <c r="B276" s="12" t="s">
        <v>670</v>
      </c>
      <c r="C276" s="165" t="s">
        <v>671</v>
      </c>
      <c r="D276" s="171" t="s">
        <v>148</v>
      </c>
      <c r="E276" s="13">
        <v>32464404</v>
      </c>
      <c r="F276" s="18">
        <v>32704408</v>
      </c>
      <c r="G276" s="2"/>
      <c r="H276" s="18"/>
      <c r="I276" s="2"/>
      <c r="J276" s="18"/>
    </row>
    <row r="277" spans="1:10" ht="12.75">
      <c r="A277" s="1" t="s">
        <v>661</v>
      </c>
      <c r="B277" s="12" t="s">
        <v>672</v>
      </c>
      <c r="C277" s="165" t="s">
        <v>673</v>
      </c>
      <c r="D277" s="171" t="s">
        <v>148</v>
      </c>
      <c r="E277" s="13">
        <v>19550493</v>
      </c>
      <c r="F277" s="18">
        <v>19827901</v>
      </c>
      <c r="G277" s="2"/>
      <c r="H277" s="18"/>
      <c r="I277" s="2"/>
      <c r="J277" s="18"/>
    </row>
    <row r="278" spans="1:10" ht="12.75">
      <c r="A278" s="1" t="s">
        <v>661</v>
      </c>
      <c r="B278" s="12" t="s">
        <v>1482</v>
      </c>
      <c r="C278" s="165" t="s">
        <v>675</v>
      </c>
      <c r="D278" s="170" t="s">
        <v>148</v>
      </c>
      <c r="E278" s="13">
        <v>45005198</v>
      </c>
      <c r="F278" s="18">
        <v>45470977</v>
      </c>
      <c r="G278" s="1"/>
      <c r="H278" s="15"/>
      <c r="I278" s="1"/>
      <c r="J278" s="15"/>
    </row>
    <row r="279" spans="1:10" ht="12.75">
      <c r="A279" s="1" t="s">
        <v>661</v>
      </c>
      <c r="B279" s="12" t="s">
        <v>676</v>
      </c>
      <c r="C279" s="165" t="s">
        <v>677</v>
      </c>
      <c r="D279" s="170" t="s">
        <v>148</v>
      </c>
      <c r="E279" s="13">
        <v>18525902</v>
      </c>
      <c r="F279" s="18">
        <v>18837841</v>
      </c>
      <c r="G279" s="1"/>
      <c r="H279" s="15"/>
      <c r="I279" s="1"/>
      <c r="J279" s="15"/>
    </row>
    <row r="280" spans="1:10" ht="12.75">
      <c r="A280" s="1" t="s">
        <v>661</v>
      </c>
      <c r="B280" s="12" t="s">
        <v>678</v>
      </c>
      <c r="C280" s="165" t="s">
        <v>679</v>
      </c>
      <c r="D280" s="170" t="s">
        <v>157</v>
      </c>
      <c r="E280" s="13">
        <v>13016461</v>
      </c>
      <c r="F280" s="18">
        <v>13013587</v>
      </c>
      <c r="G280" s="1"/>
      <c r="H280" s="15"/>
      <c r="I280" s="1"/>
      <c r="J280" s="15"/>
    </row>
    <row r="281" spans="1:10" ht="12.75">
      <c r="A281" s="1" t="s">
        <v>661</v>
      </c>
      <c r="B281" s="12" t="s">
        <v>680</v>
      </c>
      <c r="C281" s="165" t="s">
        <v>681</v>
      </c>
      <c r="D281" s="170" t="s">
        <v>157</v>
      </c>
      <c r="E281" s="13">
        <v>15560864</v>
      </c>
      <c r="F281" s="18">
        <v>15591226</v>
      </c>
      <c r="G281" s="1"/>
      <c r="H281" s="15"/>
      <c r="I281" s="1"/>
      <c r="J281" s="15"/>
    </row>
    <row r="282" spans="1:10" ht="12.75">
      <c r="A282" s="1" t="s">
        <v>661</v>
      </c>
      <c r="B282" s="12" t="s">
        <v>682</v>
      </c>
      <c r="C282" s="165" t="s">
        <v>683</v>
      </c>
      <c r="D282" s="170" t="s">
        <v>166</v>
      </c>
      <c r="E282" s="13">
        <v>10998356</v>
      </c>
      <c r="F282" s="18">
        <v>11300811</v>
      </c>
      <c r="G282" s="1"/>
      <c r="H282" s="15"/>
      <c r="I282" s="1"/>
      <c r="J282" s="15"/>
    </row>
    <row r="283" spans="1:10" ht="12.75">
      <c r="A283" s="1" t="s">
        <v>661</v>
      </c>
      <c r="B283" s="12" t="s">
        <v>684</v>
      </c>
      <c r="C283" s="165" t="s">
        <v>1483</v>
      </c>
      <c r="D283" s="170" t="s">
        <v>170</v>
      </c>
      <c r="E283" s="13">
        <v>3079064</v>
      </c>
      <c r="F283" s="18">
        <v>3077319</v>
      </c>
      <c r="G283" s="13">
        <v>3550000</v>
      </c>
      <c r="H283" s="18">
        <v>3750000</v>
      </c>
      <c r="I283" s="1"/>
      <c r="J283" s="15"/>
    </row>
    <row r="284" spans="1:10" ht="12.75">
      <c r="A284" s="1" t="s">
        <v>661</v>
      </c>
      <c r="B284" s="12" t="s">
        <v>686</v>
      </c>
      <c r="C284" s="165" t="s">
        <v>687</v>
      </c>
      <c r="D284" s="170" t="s">
        <v>170</v>
      </c>
      <c r="E284" s="13">
        <v>9187520</v>
      </c>
      <c r="F284" s="18">
        <v>9161279</v>
      </c>
      <c r="G284" s="13">
        <v>10730550</v>
      </c>
      <c r="H284" s="18">
        <v>11509000</v>
      </c>
      <c r="I284" s="1"/>
      <c r="J284" s="15"/>
    </row>
    <row r="285" spans="1:10" ht="12.75">
      <c r="A285" s="1" t="s">
        <v>661</v>
      </c>
      <c r="B285" s="12" t="s">
        <v>688</v>
      </c>
      <c r="C285" s="165" t="s">
        <v>689</v>
      </c>
      <c r="D285" s="170" t="s">
        <v>170</v>
      </c>
      <c r="E285" s="13">
        <v>16553481</v>
      </c>
      <c r="F285" s="18">
        <v>16591279</v>
      </c>
      <c r="G285" s="13">
        <v>300000</v>
      </c>
      <c r="H285" s="18">
        <v>300000</v>
      </c>
      <c r="I285" s="1"/>
      <c r="J285" s="15"/>
    </row>
    <row r="286" spans="1:10" ht="12.75">
      <c r="A286" s="1" t="s">
        <v>661</v>
      </c>
      <c r="B286" s="12" t="s">
        <v>690</v>
      </c>
      <c r="C286" s="165" t="s">
        <v>691</v>
      </c>
      <c r="D286" s="170" t="s">
        <v>170</v>
      </c>
      <c r="E286" s="13">
        <v>2938875</v>
      </c>
      <c r="F286" s="18">
        <v>2845245</v>
      </c>
      <c r="G286" s="13">
        <v>2943020</v>
      </c>
      <c r="H286" s="18">
        <v>3035555</v>
      </c>
      <c r="I286" s="1"/>
      <c r="J286" s="15"/>
    </row>
    <row r="287" spans="1:10" ht="12.75">
      <c r="A287" s="1" t="s">
        <v>661</v>
      </c>
      <c r="B287" s="12" t="s">
        <v>692</v>
      </c>
      <c r="C287" s="165" t="s">
        <v>693</v>
      </c>
      <c r="D287" s="170" t="s">
        <v>170</v>
      </c>
      <c r="E287" s="13">
        <v>9146079</v>
      </c>
      <c r="F287" s="18">
        <v>9014496</v>
      </c>
      <c r="G287" s="13">
        <v>11377278</v>
      </c>
      <c r="H287" s="18">
        <v>11210529</v>
      </c>
      <c r="I287" s="1"/>
      <c r="J287" s="15"/>
    </row>
    <row r="288" spans="1:10" ht="12.75">
      <c r="A288" s="1" t="s">
        <v>661</v>
      </c>
      <c r="B288" s="12" t="s">
        <v>694</v>
      </c>
      <c r="C288" s="165" t="s">
        <v>695</v>
      </c>
      <c r="D288" s="170" t="s">
        <v>170</v>
      </c>
      <c r="E288" s="13">
        <v>2376986</v>
      </c>
      <c r="F288" s="18">
        <v>2250541</v>
      </c>
      <c r="G288" s="13">
        <v>4060060</v>
      </c>
      <c r="H288" s="18">
        <v>4035357</v>
      </c>
      <c r="I288" s="1"/>
      <c r="J288" s="15"/>
    </row>
    <row r="289" spans="1:10" ht="12.75">
      <c r="A289" s="1" t="s">
        <v>661</v>
      </c>
      <c r="B289" s="12" t="s">
        <v>696</v>
      </c>
      <c r="C289" s="165" t="s">
        <v>697</v>
      </c>
      <c r="D289" s="170" t="s">
        <v>170</v>
      </c>
      <c r="E289" s="13">
        <v>3752225</v>
      </c>
      <c r="F289" s="18">
        <v>3811818</v>
      </c>
      <c r="G289" s="13">
        <v>6300760</v>
      </c>
      <c r="H289" s="18">
        <v>6661307</v>
      </c>
      <c r="I289" s="1"/>
      <c r="J289" s="15"/>
    </row>
    <row r="290" spans="1:10" ht="12.75">
      <c r="A290" s="1" t="s">
        <v>661</v>
      </c>
      <c r="B290" s="12" t="s">
        <v>698</v>
      </c>
      <c r="C290" s="165" t="s">
        <v>699</v>
      </c>
      <c r="D290" s="170" t="s">
        <v>170</v>
      </c>
      <c r="E290" s="13">
        <v>2521313</v>
      </c>
      <c r="F290" s="18">
        <v>2440795</v>
      </c>
      <c r="G290" s="13">
        <v>2582400</v>
      </c>
      <c r="H290" s="18">
        <v>2882400</v>
      </c>
      <c r="I290" s="1"/>
      <c r="J290" s="15"/>
    </row>
    <row r="291" spans="1:10" ht="12.75">
      <c r="A291" s="1" t="s">
        <v>661</v>
      </c>
      <c r="B291" s="12" t="s">
        <v>700</v>
      </c>
      <c r="C291" s="165" t="s">
        <v>701</v>
      </c>
      <c r="D291" s="170" t="s">
        <v>170</v>
      </c>
      <c r="E291" s="13">
        <v>3480941</v>
      </c>
      <c r="F291" s="18">
        <v>3286694</v>
      </c>
      <c r="G291" s="13">
        <v>7139069</v>
      </c>
      <c r="H291" s="18">
        <v>7230478</v>
      </c>
      <c r="I291" s="1"/>
      <c r="J291" s="15"/>
    </row>
    <row r="292" spans="1:10" ht="12.75">
      <c r="A292" s="1" t="s">
        <v>661</v>
      </c>
      <c r="B292" s="12" t="s">
        <v>702</v>
      </c>
      <c r="C292" s="165" t="s">
        <v>703</v>
      </c>
      <c r="D292" s="170" t="s">
        <v>170</v>
      </c>
      <c r="E292" s="13">
        <v>8132610</v>
      </c>
      <c r="F292" s="18">
        <v>7971969</v>
      </c>
      <c r="G292" s="13">
        <v>10175264</v>
      </c>
      <c r="H292" s="18">
        <v>10588758</v>
      </c>
      <c r="I292" s="1"/>
      <c r="J292" s="15"/>
    </row>
    <row r="293" spans="1:10" ht="12.75">
      <c r="A293" s="1" t="s">
        <v>661</v>
      </c>
      <c r="B293" s="12" t="s">
        <v>704</v>
      </c>
      <c r="C293" s="165" t="s">
        <v>705</v>
      </c>
      <c r="D293" s="170" t="s">
        <v>170</v>
      </c>
      <c r="E293" s="13">
        <v>2989217</v>
      </c>
      <c r="F293" s="18">
        <v>2979462</v>
      </c>
      <c r="G293" s="13">
        <v>6457809</v>
      </c>
      <c r="H293" s="18">
        <v>5710550</v>
      </c>
      <c r="I293" s="1"/>
      <c r="J293" s="15"/>
    </row>
    <row r="294" spans="1:10" ht="12.75">
      <c r="A294" s="1" t="s">
        <v>661</v>
      </c>
      <c r="B294" s="12" t="s">
        <v>706</v>
      </c>
      <c r="C294" s="165" t="s">
        <v>707</v>
      </c>
      <c r="D294" s="170" t="s">
        <v>170</v>
      </c>
      <c r="E294" s="13">
        <v>1657478</v>
      </c>
      <c r="F294" s="18">
        <v>1701768</v>
      </c>
      <c r="G294" s="13">
        <v>1121000</v>
      </c>
      <c r="H294" s="18">
        <v>1210000</v>
      </c>
      <c r="I294" s="1"/>
      <c r="J294" s="15"/>
    </row>
    <row r="295" spans="1:10" ht="12.75">
      <c r="A295" s="1" t="s">
        <v>661</v>
      </c>
      <c r="B295" s="12" t="s">
        <v>708</v>
      </c>
      <c r="C295" s="165" t="s">
        <v>709</v>
      </c>
      <c r="D295" s="171" t="s">
        <v>170</v>
      </c>
      <c r="E295" s="13">
        <v>2942785</v>
      </c>
      <c r="F295" s="18">
        <v>3079747</v>
      </c>
      <c r="G295" s="13">
        <v>3527760</v>
      </c>
      <c r="H295" s="18">
        <v>3527760</v>
      </c>
      <c r="I295" s="1"/>
      <c r="J295" s="18"/>
    </row>
    <row r="296" spans="1:10" ht="12.75">
      <c r="A296" s="1" t="s">
        <v>661</v>
      </c>
      <c r="B296" s="12" t="s">
        <v>710</v>
      </c>
      <c r="C296" s="165" t="s">
        <v>711</v>
      </c>
      <c r="D296" s="171" t="s">
        <v>170</v>
      </c>
      <c r="E296" s="13">
        <v>4406205</v>
      </c>
      <c r="F296" s="18">
        <v>4334435</v>
      </c>
      <c r="G296" s="13">
        <v>7095509</v>
      </c>
      <c r="H296" s="18">
        <v>7339703</v>
      </c>
      <c r="I296" s="1"/>
      <c r="J296" s="18"/>
    </row>
    <row r="297" spans="1:10" ht="12.75">
      <c r="A297" s="1" t="s">
        <v>661</v>
      </c>
      <c r="B297" s="12" t="s">
        <v>712</v>
      </c>
      <c r="C297" s="165" t="s">
        <v>713</v>
      </c>
      <c r="D297" s="171" t="s">
        <v>170</v>
      </c>
      <c r="E297" s="13">
        <v>4267023</v>
      </c>
      <c r="F297" s="18">
        <v>4223116</v>
      </c>
      <c r="G297" s="13">
        <v>8896000</v>
      </c>
      <c r="H297" s="18">
        <v>9484250</v>
      </c>
      <c r="I297" s="1"/>
      <c r="J297" s="18"/>
    </row>
    <row r="298" spans="1:10" ht="12.75">
      <c r="A298" s="1" t="s">
        <v>661</v>
      </c>
      <c r="B298" s="12" t="s">
        <v>714</v>
      </c>
      <c r="C298" s="165" t="s">
        <v>715</v>
      </c>
      <c r="D298" s="171" t="s">
        <v>170</v>
      </c>
      <c r="E298" s="1"/>
      <c r="F298" s="18"/>
      <c r="G298" s="1"/>
      <c r="H298" s="18"/>
      <c r="I298" s="1"/>
      <c r="J298" s="18"/>
    </row>
    <row r="299" spans="1:10" ht="12.75">
      <c r="A299" s="1" t="s">
        <v>661</v>
      </c>
      <c r="B299" s="12" t="s">
        <v>717</v>
      </c>
      <c r="C299" s="165" t="s">
        <v>718</v>
      </c>
      <c r="D299" s="171" t="s">
        <v>170</v>
      </c>
      <c r="E299" s="1"/>
      <c r="F299" s="18"/>
      <c r="G299" s="1"/>
      <c r="H299" s="18"/>
      <c r="I299" s="1"/>
      <c r="J299" s="16"/>
    </row>
    <row r="300" spans="1:10" ht="12.75">
      <c r="A300" s="1" t="s">
        <v>661</v>
      </c>
      <c r="B300" s="12" t="s">
        <v>1484</v>
      </c>
      <c r="C300" s="165" t="s">
        <v>721</v>
      </c>
      <c r="D300" s="171" t="s">
        <v>170</v>
      </c>
      <c r="E300" s="13">
        <v>14716390</v>
      </c>
      <c r="F300" s="18">
        <v>14525305</v>
      </c>
      <c r="G300" s="13">
        <v>34094025</v>
      </c>
      <c r="H300" s="18">
        <v>35183712</v>
      </c>
      <c r="I300" s="1"/>
      <c r="J300" s="16"/>
    </row>
    <row r="301" spans="1:10" ht="12.75">
      <c r="A301" s="1" t="s">
        <v>661</v>
      </c>
      <c r="B301" s="12" t="s">
        <v>722</v>
      </c>
      <c r="C301" s="165" t="s">
        <v>723</v>
      </c>
      <c r="D301" s="171" t="s">
        <v>170</v>
      </c>
      <c r="E301" s="13">
        <v>10805335</v>
      </c>
      <c r="F301" s="18">
        <v>10578382</v>
      </c>
      <c r="G301" s="13">
        <v>11382466</v>
      </c>
      <c r="H301" s="18">
        <v>11382466</v>
      </c>
      <c r="I301" s="1"/>
      <c r="J301" s="18"/>
    </row>
    <row r="302" spans="1:10" ht="12.75">
      <c r="A302" s="1" t="s">
        <v>661</v>
      </c>
      <c r="B302" s="12" t="s">
        <v>724</v>
      </c>
      <c r="C302" s="165" t="s">
        <v>725</v>
      </c>
      <c r="D302" s="171" t="s">
        <v>170</v>
      </c>
      <c r="E302" s="13">
        <v>2415337</v>
      </c>
      <c r="F302" s="18">
        <v>2398663</v>
      </c>
      <c r="G302" s="13">
        <v>1755876</v>
      </c>
      <c r="H302" s="18">
        <v>1771261</v>
      </c>
      <c r="I302" s="1"/>
      <c r="J302" s="18"/>
    </row>
    <row r="303" spans="1:10" ht="12.75">
      <c r="A303" s="1" t="s">
        <v>661</v>
      </c>
      <c r="B303" s="12" t="s">
        <v>726</v>
      </c>
      <c r="C303" s="165" t="s">
        <v>727</v>
      </c>
      <c r="D303" s="171" t="s">
        <v>305</v>
      </c>
      <c r="E303" s="1"/>
      <c r="F303" s="18"/>
      <c r="G303" s="1"/>
      <c r="H303" s="18"/>
      <c r="I303" s="1"/>
      <c r="J303" s="18">
        <v>102899701</v>
      </c>
    </row>
    <row r="304" spans="1:10" ht="12.75">
      <c r="A304" s="1" t="s">
        <v>661</v>
      </c>
      <c r="B304" s="12" t="s">
        <v>729</v>
      </c>
      <c r="C304" s="165" t="s">
        <v>730</v>
      </c>
      <c r="D304" s="171" t="s">
        <v>305</v>
      </c>
      <c r="E304" s="13">
        <v>1206</v>
      </c>
      <c r="F304" s="18">
        <v>0</v>
      </c>
      <c r="G304" s="1"/>
      <c r="H304" s="18"/>
      <c r="I304" s="1"/>
      <c r="J304" s="18"/>
    </row>
    <row r="305" spans="1:17" ht="12.75">
      <c r="A305" s="1" t="s">
        <v>731</v>
      </c>
      <c r="B305" s="12" t="s">
        <v>732</v>
      </c>
      <c r="C305" s="165" t="s">
        <v>733</v>
      </c>
      <c r="D305" s="170" t="s">
        <v>131</v>
      </c>
      <c r="E305" s="13">
        <v>58515597</v>
      </c>
      <c r="F305" s="18">
        <v>63611886</v>
      </c>
      <c r="G305" s="13">
        <v>0</v>
      </c>
      <c r="H305" s="67">
        <v>0</v>
      </c>
      <c r="I305" s="13">
        <v>9194915</v>
      </c>
      <c r="J305" s="18">
        <v>0</v>
      </c>
      <c r="K305" s="13">
        <v>0</v>
      </c>
      <c r="L305" s="13">
        <v>0</v>
      </c>
      <c r="M305" s="13">
        <v>17907257</v>
      </c>
      <c r="N305" s="13">
        <v>18745965</v>
      </c>
      <c r="O305" s="13">
        <v>0</v>
      </c>
      <c r="P305" s="13">
        <v>6388633</v>
      </c>
      <c r="Q305" s="13">
        <v>0</v>
      </c>
    </row>
    <row r="306" spans="1:17" ht="12.75">
      <c r="A306" s="1" t="s">
        <v>731</v>
      </c>
      <c r="B306" s="12" t="s">
        <v>735</v>
      </c>
      <c r="C306" s="165" t="s">
        <v>736</v>
      </c>
      <c r="D306" s="170" t="s">
        <v>136</v>
      </c>
      <c r="E306" s="13">
        <v>47292138</v>
      </c>
      <c r="F306" s="18">
        <v>52416104</v>
      </c>
      <c r="G306" s="13">
        <v>0</v>
      </c>
      <c r="H306" s="67">
        <v>0</v>
      </c>
      <c r="I306" s="13">
        <v>0</v>
      </c>
      <c r="J306" s="18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6040565</v>
      </c>
      <c r="Q306" s="13">
        <v>0</v>
      </c>
    </row>
    <row r="307" spans="1:17" ht="12.75">
      <c r="A307" s="1" t="s">
        <v>731</v>
      </c>
      <c r="B307" s="12" t="s">
        <v>737</v>
      </c>
      <c r="C307" s="165" t="s">
        <v>738</v>
      </c>
      <c r="D307" s="170" t="s">
        <v>136</v>
      </c>
      <c r="E307" s="13">
        <v>54774672</v>
      </c>
      <c r="F307" s="18">
        <v>59359592</v>
      </c>
      <c r="G307" s="13">
        <v>0</v>
      </c>
      <c r="H307" s="67">
        <v>0</v>
      </c>
      <c r="I307" s="13">
        <v>0</v>
      </c>
      <c r="J307" s="18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4464359</v>
      </c>
      <c r="Q307" s="13">
        <v>0</v>
      </c>
    </row>
    <row r="308" spans="1:17" ht="12.75">
      <c r="A308" s="1" t="s">
        <v>731</v>
      </c>
      <c r="B308" s="12" t="s">
        <v>739</v>
      </c>
      <c r="C308" s="165" t="s">
        <v>740</v>
      </c>
      <c r="D308" s="170" t="s">
        <v>139</v>
      </c>
      <c r="E308" s="13">
        <v>23928362</v>
      </c>
      <c r="F308" s="18">
        <v>26297853</v>
      </c>
      <c r="G308" s="13">
        <v>0</v>
      </c>
      <c r="H308" s="67">
        <v>0</v>
      </c>
      <c r="I308" s="13">
        <v>0</v>
      </c>
      <c r="J308" s="18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356807</v>
      </c>
      <c r="Q308" s="13">
        <v>0</v>
      </c>
    </row>
    <row r="309" spans="1:17" ht="12.75">
      <c r="A309" s="1" t="s">
        <v>731</v>
      </c>
      <c r="B309" s="12" t="s">
        <v>741</v>
      </c>
      <c r="C309" s="165" t="s">
        <v>742</v>
      </c>
      <c r="D309" s="170" t="s">
        <v>157</v>
      </c>
      <c r="E309" s="13">
        <v>12522727</v>
      </c>
      <c r="F309" s="18">
        <v>14121026</v>
      </c>
      <c r="G309" s="13">
        <v>0</v>
      </c>
      <c r="H309" s="67">
        <v>0</v>
      </c>
      <c r="I309" s="13">
        <v>0</v>
      </c>
      <c r="J309" s="18">
        <v>0</v>
      </c>
      <c r="K309" s="13">
        <v>0</v>
      </c>
      <c r="L309" s="13">
        <v>0</v>
      </c>
      <c r="M309" s="13">
        <v>0</v>
      </c>
      <c r="N309" s="13">
        <v>3870684</v>
      </c>
      <c r="O309" s="13">
        <v>0</v>
      </c>
      <c r="P309" s="13">
        <v>0</v>
      </c>
      <c r="Q309" s="13">
        <v>0</v>
      </c>
    </row>
    <row r="310" spans="1:17" ht="12.75">
      <c r="A310" s="1" t="s">
        <v>731</v>
      </c>
      <c r="B310" s="12" t="s">
        <v>743</v>
      </c>
      <c r="C310" s="165" t="s">
        <v>744</v>
      </c>
      <c r="D310" s="170" t="s">
        <v>157</v>
      </c>
      <c r="E310" s="13">
        <v>14799874</v>
      </c>
      <c r="F310" s="18">
        <v>16559344</v>
      </c>
      <c r="G310" s="13">
        <v>0</v>
      </c>
      <c r="H310" s="67">
        <v>0</v>
      </c>
      <c r="I310" s="13">
        <v>0</v>
      </c>
      <c r="J310" s="18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</row>
    <row r="311" spans="1:17" ht="12.75">
      <c r="A311" s="1" t="s">
        <v>731</v>
      </c>
      <c r="B311" s="12" t="s">
        <v>745</v>
      </c>
      <c r="C311" s="165" t="s">
        <v>746</v>
      </c>
      <c r="D311" s="170" t="s">
        <v>166</v>
      </c>
      <c r="E311" s="13">
        <v>10545319</v>
      </c>
      <c r="F311" s="18">
        <v>12137198</v>
      </c>
      <c r="G311" s="13">
        <v>0</v>
      </c>
      <c r="H311" s="67">
        <v>0</v>
      </c>
      <c r="I311" s="13">
        <v>0</v>
      </c>
      <c r="J311" s="18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</row>
    <row r="312" spans="1:17" ht="12.75">
      <c r="A312" s="1" t="s">
        <v>731</v>
      </c>
      <c r="B312" s="12" t="s">
        <v>747</v>
      </c>
      <c r="C312" s="165" t="s">
        <v>748</v>
      </c>
      <c r="D312" s="170" t="s">
        <v>166</v>
      </c>
      <c r="E312" s="13">
        <v>8744970</v>
      </c>
      <c r="F312" s="18">
        <v>10290029</v>
      </c>
      <c r="G312" s="13">
        <v>0</v>
      </c>
      <c r="H312" s="67">
        <v>0</v>
      </c>
      <c r="I312" s="13">
        <v>0</v>
      </c>
      <c r="J312" s="18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</row>
    <row r="313" spans="1:17" ht="12.75">
      <c r="A313" s="1" t="s">
        <v>731</v>
      </c>
      <c r="B313" s="12" t="s">
        <v>749</v>
      </c>
      <c r="C313" s="165" t="s">
        <v>750</v>
      </c>
      <c r="D313" s="172" t="s">
        <v>170</v>
      </c>
      <c r="E313" s="13">
        <f>1701347+741146</f>
        <v>2442493</v>
      </c>
      <c r="F313" s="18">
        <v>3332941</v>
      </c>
      <c r="G313" s="13">
        <v>708431</v>
      </c>
      <c r="H313" s="18">
        <v>983434</v>
      </c>
      <c r="I313" s="13"/>
      <c r="J313" s="18"/>
      <c r="K313" s="13"/>
      <c r="L313" s="13"/>
      <c r="M313" s="13"/>
      <c r="N313" s="13"/>
      <c r="O313" s="13"/>
      <c r="P313" s="13"/>
      <c r="Q313" s="13"/>
    </row>
    <row r="314" spans="1:17" ht="12.75">
      <c r="A314" s="1" t="s">
        <v>731</v>
      </c>
      <c r="B314" s="12" t="s">
        <v>751</v>
      </c>
      <c r="C314" s="165" t="s">
        <v>752</v>
      </c>
      <c r="D314" s="172" t="s">
        <v>170</v>
      </c>
      <c r="E314" s="13">
        <f>3879055+2172634</f>
        <v>6051689</v>
      </c>
      <c r="F314" s="18">
        <f>4407946+2049962</f>
        <v>6457908</v>
      </c>
      <c r="G314" s="13">
        <v>1491202</v>
      </c>
      <c r="H314" s="18">
        <v>1545000</v>
      </c>
      <c r="I314" s="13"/>
      <c r="J314" s="18"/>
      <c r="K314" s="13"/>
      <c r="L314" s="13"/>
      <c r="M314" s="13"/>
      <c r="N314" s="13"/>
      <c r="O314" s="13"/>
      <c r="P314" s="13"/>
      <c r="Q314" s="13"/>
    </row>
    <row r="315" spans="1:17" ht="12.75">
      <c r="A315" s="1" t="s">
        <v>731</v>
      </c>
      <c r="B315" s="12" t="s">
        <v>753</v>
      </c>
      <c r="C315" s="165" t="s">
        <v>754</v>
      </c>
      <c r="D315" s="172" t="s">
        <v>170</v>
      </c>
      <c r="E315" s="13">
        <f>2462899+1666671</f>
        <v>4129570</v>
      </c>
      <c r="F315" s="18">
        <f>2912568+1349049</f>
        <v>4261617</v>
      </c>
      <c r="G315" s="13">
        <v>650679</v>
      </c>
      <c r="H315" s="18">
        <v>578100</v>
      </c>
      <c r="I315" s="13"/>
      <c r="J315" s="18"/>
      <c r="K315" s="13"/>
      <c r="L315" s="13"/>
      <c r="M315" s="13"/>
      <c r="N315" s="13"/>
      <c r="O315" s="13"/>
      <c r="P315" s="13"/>
      <c r="Q315" s="13"/>
    </row>
    <row r="316" spans="1:17" ht="12.75">
      <c r="A316" s="1" t="s">
        <v>731</v>
      </c>
      <c r="B316" s="12" t="s">
        <v>755</v>
      </c>
      <c r="C316" s="165" t="s">
        <v>756</v>
      </c>
      <c r="D316" s="172" t="s">
        <v>170</v>
      </c>
      <c r="E316" s="13">
        <f>2099847+1483981</f>
        <v>3583828</v>
      </c>
      <c r="F316" s="18">
        <f>2406540+1129797</f>
        <v>3536337</v>
      </c>
      <c r="G316" s="13">
        <v>953149</v>
      </c>
      <c r="H316" s="18">
        <v>957117</v>
      </c>
      <c r="I316" s="13"/>
      <c r="J316" s="18"/>
      <c r="K316" s="13"/>
      <c r="L316" s="13"/>
      <c r="M316" s="13"/>
      <c r="N316" s="13"/>
      <c r="O316" s="13"/>
      <c r="P316" s="13"/>
      <c r="Q316" s="13"/>
    </row>
    <row r="317" spans="1:17" ht="12.75">
      <c r="A317" s="1" t="s">
        <v>731</v>
      </c>
      <c r="B317" s="12" t="s">
        <v>757</v>
      </c>
      <c r="C317" s="165" t="s">
        <v>758</v>
      </c>
      <c r="D317" s="172" t="s">
        <v>170</v>
      </c>
      <c r="E317" s="13">
        <f>15037571+5792114</f>
        <v>20829685</v>
      </c>
      <c r="F317" s="18">
        <f>15798167+7322890</f>
        <v>23121057</v>
      </c>
      <c r="G317" s="13">
        <v>6210208</v>
      </c>
      <c r="H317" s="18">
        <v>6300000</v>
      </c>
      <c r="I317" s="13"/>
      <c r="J317" s="18"/>
      <c r="K317" s="13"/>
      <c r="L317" s="13"/>
      <c r="M317" s="13"/>
      <c r="N317" s="13"/>
      <c r="O317" s="13"/>
      <c r="P317" s="13"/>
      <c r="Q317" s="13"/>
    </row>
    <row r="318" spans="1:17" ht="12.75">
      <c r="A318" s="1" t="s">
        <v>731</v>
      </c>
      <c r="B318" s="12" t="s">
        <v>759</v>
      </c>
      <c r="C318" s="165" t="s">
        <v>760</v>
      </c>
      <c r="D318" s="172" t="s">
        <v>170</v>
      </c>
      <c r="E318" s="13">
        <f>3753650+2140685</f>
        <v>5894335</v>
      </c>
      <c r="F318" s="18">
        <f>4101935+1785296</f>
        <v>5887231</v>
      </c>
      <c r="G318" s="13">
        <v>1194384</v>
      </c>
      <c r="H318" s="18">
        <v>1230215</v>
      </c>
      <c r="I318" s="13"/>
      <c r="J318" s="18"/>
      <c r="K318" s="13"/>
      <c r="L318" s="13"/>
      <c r="M318" s="13"/>
      <c r="N318" s="13"/>
      <c r="O318" s="13"/>
      <c r="P318" s="13"/>
      <c r="Q318" s="13"/>
    </row>
    <row r="319" spans="1:17" ht="12.75">
      <c r="A319" s="1" t="s">
        <v>731</v>
      </c>
      <c r="B319" s="12" t="s">
        <v>761</v>
      </c>
      <c r="C319" s="165" t="s">
        <v>762</v>
      </c>
      <c r="D319" s="172" t="s">
        <v>170</v>
      </c>
      <c r="E319" s="13">
        <f>5632666+2386992</f>
        <v>8019658</v>
      </c>
      <c r="F319" s="18">
        <f>5978693+2949068</f>
        <v>8927761</v>
      </c>
      <c r="G319" s="13">
        <v>1877788</v>
      </c>
      <c r="H319" s="18">
        <v>1891887</v>
      </c>
      <c r="I319" s="13"/>
      <c r="J319" s="18"/>
      <c r="K319" s="13"/>
      <c r="L319" s="13"/>
      <c r="M319" s="13"/>
      <c r="N319" s="13"/>
      <c r="O319" s="13"/>
      <c r="P319" s="13"/>
      <c r="Q319" s="13"/>
    </row>
    <row r="320" spans="1:17" ht="12.75">
      <c r="A320" s="1" t="s">
        <v>731</v>
      </c>
      <c r="B320" s="12" t="s">
        <v>763</v>
      </c>
      <c r="C320" s="165" t="s">
        <v>764</v>
      </c>
      <c r="D320" s="172" t="s">
        <v>170</v>
      </c>
      <c r="E320" s="13">
        <f>7904345+4004168</f>
        <v>11908513</v>
      </c>
      <c r="F320" s="18">
        <f>8573603+3388819</f>
        <v>11962422</v>
      </c>
      <c r="G320" s="13">
        <v>1204834</v>
      </c>
      <c r="H320" s="18">
        <v>1190000</v>
      </c>
      <c r="I320" s="13"/>
      <c r="J320" s="18"/>
      <c r="K320" s="13"/>
      <c r="L320" s="13"/>
      <c r="M320" s="13"/>
      <c r="N320" s="13"/>
      <c r="O320" s="13"/>
      <c r="P320" s="13"/>
      <c r="Q320" s="13"/>
    </row>
    <row r="321" spans="1:17" ht="12.75">
      <c r="A321" s="1" t="s">
        <v>731</v>
      </c>
      <c r="B321" s="12" t="s">
        <v>765</v>
      </c>
      <c r="C321" s="165" t="s">
        <v>766</v>
      </c>
      <c r="D321" s="172" t="s">
        <v>170</v>
      </c>
      <c r="E321" s="13">
        <f>4792083+2263615</f>
        <v>7055698</v>
      </c>
      <c r="F321" s="18">
        <f>5095796+2477129</f>
        <v>7572925</v>
      </c>
      <c r="G321" s="13">
        <v>1020919</v>
      </c>
      <c r="H321" s="18">
        <v>1069881</v>
      </c>
      <c r="I321" s="13"/>
      <c r="J321" s="18"/>
      <c r="K321" s="13"/>
      <c r="L321" s="13"/>
      <c r="M321" s="13"/>
      <c r="N321" s="13"/>
      <c r="O321" s="13"/>
      <c r="P321" s="13"/>
      <c r="Q321" s="13"/>
    </row>
    <row r="322" spans="1:17" ht="12.75">
      <c r="A322" s="1" t="s">
        <v>731</v>
      </c>
      <c r="B322" s="12" t="s">
        <v>767</v>
      </c>
      <c r="C322" s="165" t="s">
        <v>768</v>
      </c>
      <c r="D322" s="172" t="s">
        <v>170</v>
      </c>
      <c r="E322" s="13">
        <f>4324212+1872057</f>
        <v>6196269</v>
      </c>
      <c r="F322" s="18">
        <f>4981349+2640963</f>
        <v>7622312</v>
      </c>
      <c r="G322" s="13">
        <v>1398512</v>
      </c>
      <c r="H322" s="18">
        <v>1399000</v>
      </c>
      <c r="I322" s="13"/>
      <c r="J322" s="18"/>
      <c r="K322" s="13"/>
      <c r="L322" s="13"/>
      <c r="M322" s="13"/>
      <c r="N322" s="13"/>
      <c r="O322" s="13"/>
      <c r="P322" s="13"/>
      <c r="Q322" s="13"/>
    </row>
    <row r="323" spans="1:17" ht="12.75">
      <c r="A323" s="1" t="s">
        <v>731</v>
      </c>
      <c r="B323" s="12" t="s">
        <v>769</v>
      </c>
      <c r="C323" s="165" t="s">
        <v>770</v>
      </c>
      <c r="D323" s="172" t="s">
        <v>170</v>
      </c>
      <c r="E323" s="13">
        <f>13461390+6037027</f>
        <v>19498417</v>
      </c>
      <c r="F323" s="18">
        <f>14196338+5674615</f>
        <v>19870953</v>
      </c>
      <c r="G323" s="13">
        <v>4867515</v>
      </c>
      <c r="H323" s="18">
        <v>5255788</v>
      </c>
      <c r="I323" s="13"/>
      <c r="J323" s="18"/>
      <c r="K323" s="13"/>
      <c r="L323" s="13"/>
      <c r="M323" s="13"/>
      <c r="N323" s="13"/>
      <c r="O323" s="13"/>
      <c r="P323" s="13"/>
      <c r="Q323" s="13"/>
    </row>
    <row r="324" spans="1:17" ht="12.75">
      <c r="A324" s="1" t="s">
        <v>731</v>
      </c>
      <c r="B324" s="12" t="s">
        <v>771</v>
      </c>
      <c r="C324" s="165" t="s">
        <v>772</v>
      </c>
      <c r="D324" s="172" t="s">
        <v>170</v>
      </c>
      <c r="E324" s="13">
        <f>6513113+2804879</f>
        <v>9317992</v>
      </c>
      <c r="F324" s="18">
        <f>6721605+3193564</f>
        <v>9915169</v>
      </c>
      <c r="G324" s="13">
        <v>804550</v>
      </c>
      <c r="H324" s="18">
        <v>695000</v>
      </c>
      <c r="I324" s="13"/>
      <c r="J324" s="18"/>
      <c r="K324" s="13"/>
      <c r="L324" s="13"/>
      <c r="M324" s="13"/>
      <c r="N324" s="13"/>
      <c r="O324" s="13"/>
      <c r="P324" s="13"/>
      <c r="Q324" s="13"/>
    </row>
    <row r="325" spans="1:17" ht="12.75">
      <c r="A325" s="1" t="s">
        <v>731</v>
      </c>
      <c r="B325" s="12" t="s">
        <v>773</v>
      </c>
      <c r="C325" s="165" t="s">
        <v>774</v>
      </c>
      <c r="D325" s="172" t="s">
        <v>170</v>
      </c>
      <c r="E325" s="13">
        <f>6743434+3279908</f>
        <v>10023342</v>
      </c>
      <c r="F325" s="18">
        <f>7112500+3167187</f>
        <v>10279687</v>
      </c>
      <c r="G325" s="13">
        <v>2189168</v>
      </c>
      <c r="H325" s="18">
        <v>2300000</v>
      </c>
      <c r="I325" s="13"/>
      <c r="J325" s="18"/>
      <c r="K325" s="13"/>
      <c r="L325" s="13"/>
      <c r="M325" s="13"/>
      <c r="N325" s="13"/>
      <c r="O325" s="13"/>
      <c r="P325" s="13"/>
      <c r="Q325" s="13"/>
    </row>
    <row r="326" spans="1:17" ht="12.75">
      <c r="A326" s="1" t="s">
        <v>731</v>
      </c>
      <c r="B326" s="12" t="s">
        <v>775</v>
      </c>
      <c r="C326" s="165" t="s">
        <v>776</v>
      </c>
      <c r="D326" s="172" t="s">
        <v>170</v>
      </c>
      <c r="E326" s="13">
        <f>4916536+1728613</f>
        <v>6645149</v>
      </c>
      <c r="F326" s="18">
        <f>5219475+3168120</f>
        <v>8387595</v>
      </c>
      <c r="G326" s="13">
        <v>1354932</v>
      </c>
      <c r="H326" s="18">
        <v>1224000</v>
      </c>
      <c r="I326" s="13"/>
      <c r="J326" s="18"/>
      <c r="K326" s="13"/>
      <c r="L326" s="13"/>
      <c r="M326" s="13"/>
      <c r="N326" s="13"/>
      <c r="O326" s="13"/>
      <c r="P326" s="13"/>
      <c r="Q326" s="13"/>
    </row>
    <row r="327" spans="1:17" ht="12.75">
      <c r="A327" s="1" t="s">
        <v>731</v>
      </c>
      <c r="B327" s="12" t="s">
        <v>777</v>
      </c>
      <c r="C327" s="165" t="s">
        <v>778</v>
      </c>
      <c r="D327" s="172" t="s">
        <v>170</v>
      </c>
      <c r="E327" s="13">
        <f>2926851+1824693</f>
        <v>4751544</v>
      </c>
      <c r="F327" s="18">
        <f>2878215+1319019</f>
        <v>4197234</v>
      </c>
      <c r="G327" s="13">
        <v>625904</v>
      </c>
      <c r="H327" s="18">
        <v>587000</v>
      </c>
      <c r="I327" s="13"/>
      <c r="J327" s="18"/>
      <c r="K327" s="13"/>
      <c r="L327" s="13"/>
      <c r="M327" s="13"/>
      <c r="N327" s="13"/>
      <c r="O327" s="13"/>
      <c r="P327" s="13"/>
      <c r="Q327" s="13"/>
    </row>
    <row r="328" spans="1:17" ht="12.75">
      <c r="A328" s="1" t="s">
        <v>731</v>
      </c>
      <c r="B328" s="12" t="s">
        <v>779</v>
      </c>
      <c r="C328" s="165" t="s">
        <v>780</v>
      </c>
      <c r="D328" s="170" t="s">
        <v>305</v>
      </c>
      <c r="E328" s="13">
        <v>98140633</v>
      </c>
      <c r="F328" s="18">
        <v>104398932</v>
      </c>
      <c r="G328" s="13">
        <v>0</v>
      </c>
      <c r="H328" s="67">
        <v>0</v>
      </c>
      <c r="I328" s="13">
        <v>0</v>
      </c>
      <c r="J328" s="18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</row>
    <row r="329" spans="1:8" ht="12.75">
      <c r="A329" s="1" t="s">
        <v>781</v>
      </c>
      <c r="B329" s="12" t="s">
        <v>1485</v>
      </c>
      <c r="C329" s="1"/>
      <c r="D329" s="171" t="s">
        <v>170</v>
      </c>
      <c r="E329" s="13">
        <v>378914353</v>
      </c>
      <c r="F329" s="18">
        <v>389566345</v>
      </c>
      <c r="G329" s="13">
        <v>82615890</v>
      </c>
      <c r="H329" s="18">
        <v>81518302</v>
      </c>
    </row>
    <row r="330" spans="1:17" ht="12.75">
      <c r="A330" s="1" t="s">
        <v>781</v>
      </c>
      <c r="B330" s="12" t="s">
        <v>782</v>
      </c>
      <c r="C330" s="165" t="s">
        <v>783</v>
      </c>
      <c r="D330" s="170" t="s">
        <v>131</v>
      </c>
      <c r="E330" s="13">
        <v>167131933</v>
      </c>
      <c r="F330" s="18">
        <v>170052947</v>
      </c>
      <c r="G330" s="13"/>
      <c r="H330" s="18"/>
      <c r="I330" s="13">
        <v>19940804</v>
      </c>
      <c r="J330" s="18"/>
      <c r="K330" s="13"/>
      <c r="L330" s="13"/>
      <c r="M330" s="13"/>
      <c r="N330" s="13"/>
      <c r="O330" s="13"/>
      <c r="P330" s="2"/>
      <c r="Q330" s="2"/>
    </row>
    <row r="331" spans="1:17" ht="12.75">
      <c r="A331" s="1" t="s">
        <v>781</v>
      </c>
      <c r="B331" s="12" t="s">
        <v>784</v>
      </c>
      <c r="C331" s="165" t="s">
        <v>785</v>
      </c>
      <c r="D331" s="170" t="s">
        <v>131</v>
      </c>
      <c r="E331" s="13">
        <v>140620371</v>
      </c>
      <c r="F331" s="18">
        <v>146054082</v>
      </c>
      <c r="G331" s="13"/>
      <c r="H331" s="18"/>
      <c r="I331" s="13"/>
      <c r="J331" s="18">
        <v>126145880</v>
      </c>
      <c r="K331" s="13"/>
      <c r="L331" s="13"/>
      <c r="M331" s="13"/>
      <c r="N331" s="13"/>
      <c r="O331" s="13"/>
      <c r="P331" s="2"/>
      <c r="Q331" s="2"/>
    </row>
    <row r="332" spans="1:17" ht="12.75">
      <c r="A332" s="1" t="s">
        <v>781</v>
      </c>
      <c r="B332" s="12" t="s">
        <v>786</v>
      </c>
      <c r="C332" s="165" t="s">
        <v>787</v>
      </c>
      <c r="D332" s="170" t="s">
        <v>136</v>
      </c>
      <c r="E332" s="13">
        <v>58164402</v>
      </c>
      <c r="F332" s="18">
        <v>59517713</v>
      </c>
      <c r="G332" s="13"/>
      <c r="H332" s="18"/>
      <c r="I332" s="13"/>
      <c r="J332" s="18"/>
      <c r="K332" s="13"/>
      <c r="L332" s="13"/>
      <c r="M332" s="13"/>
      <c r="N332" s="13"/>
      <c r="O332" s="13"/>
      <c r="P332" s="2"/>
      <c r="Q332" s="2"/>
    </row>
    <row r="333" spans="1:17" ht="12.75">
      <c r="A333" s="1" t="s">
        <v>781</v>
      </c>
      <c r="B333" s="12" t="s">
        <v>788</v>
      </c>
      <c r="C333" s="165" t="s">
        <v>789</v>
      </c>
      <c r="D333" s="170" t="s">
        <v>139</v>
      </c>
      <c r="E333" s="13">
        <v>56479602</v>
      </c>
      <c r="F333" s="18">
        <v>57744908</v>
      </c>
      <c r="G333" s="13"/>
      <c r="H333" s="18"/>
      <c r="I333" s="13"/>
      <c r="J333" s="18"/>
      <c r="K333" s="13"/>
      <c r="L333" s="13"/>
      <c r="M333" s="13"/>
      <c r="N333" s="13"/>
      <c r="O333" s="13"/>
      <c r="P333" s="2"/>
      <c r="Q333" s="2"/>
    </row>
    <row r="334" spans="1:17" ht="12.75">
      <c r="A334" s="1" t="s">
        <v>781</v>
      </c>
      <c r="B334" s="12" t="s">
        <v>790</v>
      </c>
      <c r="C334" s="165" t="s">
        <v>791</v>
      </c>
      <c r="D334" s="170" t="s">
        <v>139</v>
      </c>
      <c r="E334" s="13">
        <v>82846384</v>
      </c>
      <c r="F334" s="18">
        <v>82787974</v>
      </c>
      <c r="G334" s="13"/>
      <c r="H334" s="18"/>
      <c r="I334" s="13"/>
      <c r="J334" s="18">
        <v>40340081</v>
      </c>
      <c r="K334" s="13"/>
      <c r="L334" s="13"/>
      <c r="M334" s="13"/>
      <c r="N334" s="13"/>
      <c r="O334" s="13"/>
      <c r="P334" s="2"/>
      <c r="Q334" s="2"/>
    </row>
    <row r="335" spans="1:17" ht="12.75">
      <c r="A335" s="1" t="s">
        <v>781</v>
      </c>
      <c r="B335" s="12" t="s">
        <v>792</v>
      </c>
      <c r="C335" s="165" t="s">
        <v>793</v>
      </c>
      <c r="D335" s="170" t="s">
        <v>139</v>
      </c>
      <c r="E335" s="13">
        <v>46788683</v>
      </c>
      <c r="F335" s="18">
        <v>48894643</v>
      </c>
      <c r="G335" s="13"/>
      <c r="H335" s="18"/>
      <c r="I335" s="13"/>
      <c r="J335" s="18"/>
      <c r="K335" s="13"/>
      <c r="L335" s="13"/>
      <c r="M335" s="13"/>
      <c r="N335" s="13"/>
      <c r="O335" s="13"/>
      <c r="P335" s="2"/>
      <c r="Q335" s="2"/>
    </row>
    <row r="336" spans="1:17" ht="12.75">
      <c r="A336" s="1" t="s">
        <v>781</v>
      </c>
      <c r="B336" s="12" t="s">
        <v>794</v>
      </c>
      <c r="C336" s="165" t="s">
        <v>795</v>
      </c>
      <c r="D336" s="170" t="s">
        <v>139</v>
      </c>
      <c r="E336" s="13">
        <v>32053525</v>
      </c>
      <c r="F336" s="18">
        <v>34476325</v>
      </c>
      <c r="G336" s="13"/>
      <c r="H336" s="18"/>
      <c r="I336" s="13"/>
      <c r="J336" s="18"/>
      <c r="K336" s="13"/>
      <c r="L336" s="13"/>
      <c r="M336" s="13"/>
      <c r="N336" s="13"/>
      <c r="O336" s="13"/>
      <c r="P336" s="2"/>
      <c r="Q336" s="2"/>
    </row>
    <row r="337" spans="1:17" ht="12.75">
      <c r="A337" s="1" t="s">
        <v>781</v>
      </c>
      <c r="B337" s="12" t="s">
        <v>796</v>
      </c>
      <c r="C337" s="165" t="s">
        <v>797</v>
      </c>
      <c r="D337" s="170" t="s">
        <v>139</v>
      </c>
      <c r="E337" s="13">
        <v>65349334</v>
      </c>
      <c r="F337" s="18">
        <v>65100232</v>
      </c>
      <c r="G337" s="13"/>
      <c r="H337" s="18"/>
      <c r="I337" s="13"/>
      <c r="J337" s="18"/>
      <c r="K337" s="13"/>
      <c r="L337" s="13"/>
      <c r="M337" s="13"/>
      <c r="N337" s="13"/>
      <c r="O337" s="13"/>
      <c r="P337" s="2"/>
      <c r="Q337" s="2"/>
    </row>
    <row r="338" spans="1:17" ht="12.75">
      <c r="A338" s="1" t="s">
        <v>781</v>
      </c>
      <c r="B338" s="12" t="s">
        <v>798</v>
      </c>
      <c r="C338" s="165" t="s">
        <v>799</v>
      </c>
      <c r="D338" s="170" t="s">
        <v>139</v>
      </c>
      <c r="E338" s="13">
        <v>36507066</v>
      </c>
      <c r="F338" s="18">
        <v>38102764</v>
      </c>
      <c r="G338" s="13"/>
      <c r="H338" s="18"/>
      <c r="I338" s="13"/>
      <c r="J338" s="18"/>
      <c r="K338" s="13"/>
      <c r="L338" s="13"/>
      <c r="M338" s="13"/>
      <c r="N338" s="13"/>
      <c r="O338" s="13"/>
      <c r="P338" s="2"/>
      <c r="Q338" s="2"/>
    </row>
    <row r="339" spans="1:17" ht="12.75">
      <c r="A339" s="1" t="s">
        <v>781</v>
      </c>
      <c r="B339" s="12" t="s">
        <v>800</v>
      </c>
      <c r="C339" s="165" t="s">
        <v>801</v>
      </c>
      <c r="D339" s="170" t="s">
        <v>148</v>
      </c>
      <c r="E339" s="13">
        <v>36449298</v>
      </c>
      <c r="F339" s="18">
        <v>36931051</v>
      </c>
      <c r="G339" s="13"/>
      <c r="H339" s="18"/>
      <c r="I339" s="13"/>
      <c r="J339" s="18"/>
      <c r="K339" s="13"/>
      <c r="L339" s="13"/>
      <c r="M339" s="13"/>
      <c r="N339" s="13"/>
      <c r="O339" s="13"/>
      <c r="P339" s="2"/>
      <c r="Q339" s="2"/>
    </row>
    <row r="340" spans="1:17" ht="12.75">
      <c r="A340" s="1" t="s">
        <v>781</v>
      </c>
      <c r="B340" s="12" t="s">
        <v>802</v>
      </c>
      <c r="C340" s="165" t="s">
        <v>803</v>
      </c>
      <c r="D340" s="170" t="s">
        <v>157</v>
      </c>
      <c r="E340" s="13">
        <v>22359503</v>
      </c>
      <c r="F340" s="18">
        <v>22627949</v>
      </c>
      <c r="G340" s="13"/>
      <c r="H340" s="18"/>
      <c r="I340" s="13"/>
      <c r="J340" s="18"/>
      <c r="K340" s="13"/>
      <c r="L340" s="13"/>
      <c r="M340" s="13"/>
      <c r="N340" s="13"/>
      <c r="O340" s="13"/>
      <c r="P340" s="2"/>
      <c r="Q340" s="2"/>
    </row>
    <row r="341" spans="1:17" ht="12.75">
      <c r="A341" s="1" t="s">
        <v>781</v>
      </c>
      <c r="B341" s="12" t="s">
        <v>804</v>
      </c>
      <c r="C341" s="165" t="s">
        <v>805</v>
      </c>
      <c r="D341" s="170" t="s">
        <v>157</v>
      </c>
      <c r="E341" s="13">
        <v>17638808</v>
      </c>
      <c r="F341" s="18">
        <v>18273112</v>
      </c>
      <c r="G341" s="13"/>
      <c r="H341" s="18"/>
      <c r="I341" s="13"/>
      <c r="J341" s="18"/>
      <c r="K341" s="13"/>
      <c r="L341" s="13"/>
      <c r="M341" s="13"/>
      <c r="N341" s="13"/>
      <c r="O341" s="13"/>
      <c r="P341" s="2"/>
      <c r="Q341" s="2"/>
    </row>
    <row r="342" spans="1:17" ht="12.75">
      <c r="A342" s="1" t="s">
        <v>781</v>
      </c>
      <c r="B342" s="12" t="s">
        <v>806</v>
      </c>
      <c r="C342" s="165" t="s">
        <v>807</v>
      </c>
      <c r="D342" s="170" t="s">
        <v>166</v>
      </c>
      <c r="E342" s="13">
        <v>17441019</v>
      </c>
      <c r="F342" s="18">
        <v>18082490</v>
      </c>
      <c r="G342" s="13"/>
      <c r="H342" s="18"/>
      <c r="I342" s="13"/>
      <c r="J342" s="18"/>
      <c r="K342" s="13"/>
      <c r="L342" s="13"/>
      <c r="M342" s="13"/>
      <c r="N342" s="13"/>
      <c r="O342" s="13"/>
      <c r="P342" s="2"/>
      <c r="Q342" s="2"/>
    </row>
    <row r="343" spans="1:17" ht="12.75">
      <c r="A343" s="1" t="s">
        <v>781</v>
      </c>
      <c r="B343" s="12" t="s">
        <v>808</v>
      </c>
      <c r="C343" s="165" t="s">
        <v>809</v>
      </c>
      <c r="D343" s="170" t="s">
        <v>166</v>
      </c>
      <c r="E343" s="13">
        <v>17016081</v>
      </c>
      <c r="F343" s="18">
        <v>17950931</v>
      </c>
      <c r="G343" s="13"/>
      <c r="H343" s="18"/>
      <c r="I343" s="13"/>
      <c r="J343" s="18"/>
      <c r="K343" s="13"/>
      <c r="L343" s="13"/>
      <c r="M343" s="13"/>
      <c r="N343" s="13"/>
      <c r="O343" s="13"/>
      <c r="P343" s="2"/>
      <c r="Q343" s="2"/>
    </row>
    <row r="344" spans="1:17" ht="12.75">
      <c r="A344" s="1" t="s">
        <v>781</v>
      </c>
      <c r="B344" s="12" t="s">
        <v>810</v>
      </c>
      <c r="C344" s="165" t="s">
        <v>811</v>
      </c>
      <c r="D344" s="170" t="s">
        <v>166</v>
      </c>
      <c r="E344" s="13">
        <v>19140073</v>
      </c>
      <c r="F344" s="18">
        <v>19793647</v>
      </c>
      <c r="G344" s="13"/>
      <c r="H344" s="18"/>
      <c r="I344" s="13"/>
      <c r="J344" s="18"/>
      <c r="K344" s="13"/>
      <c r="L344" s="13"/>
      <c r="M344" s="13"/>
      <c r="N344" s="13"/>
      <c r="O344" s="13"/>
      <c r="P344" s="2"/>
      <c r="Q344" s="2"/>
    </row>
    <row r="345" spans="1:17" ht="12.75">
      <c r="A345" s="1" t="s">
        <v>781</v>
      </c>
      <c r="B345" s="12" t="s">
        <v>928</v>
      </c>
      <c r="C345" s="165" t="s">
        <v>929</v>
      </c>
      <c r="D345" s="170" t="s">
        <v>305</v>
      </c>
      <c r="E345" s="13">
        <v>12449126</v>
      </c>
      <c r="F345" s="18">
        <v>10346476</v>
      </c>
      <c r="G345" s="13"/>
      <c r="H345" s="18"/>
      <c r="I345" s="13"/>
      <c r="J345" s="18"/>
      <c r="K345" s="13"/>
      <c r="L345" s="13"/>
      <c r="M345" s="13"/>
      <c r="N345" s="13"/>
      <c r="O345" s="13"/>
      <c r="P345" s="2"/>
      <c r="Q345" s="2"/>
    </row>
    <row r="346" spans="1:17" ht="12.75">
      <c r="A346" s="1" t="s">
        <v>930</v>
      </c>
      <c r="B346" s="12" t="s">
        <v>931</v>
      </c>
      <c r="C346" s="165" t="s">
        <v>932</v>
      </c>
      <c r="D346" s="165" t="s">
        <v>131</v>
      </c>
      <c r="E346" s="68">
        <v>84928126</v>
      </c>
      <c r="F346" s="13">
        <v>85451172</v>
      </c>
      <c r="G346" s="68"/>
      <c r="H346" s="18"/>
      <c r="I346" s="13"/>
      <c r="J346" s="18"/>
      <c r="K346" s="13"/>
      <c r="L346" s="13"/>
      <c r="M346" s="12" t="s">
        <v>306</v>
      </c>
      <c r="N346" s="12" t="s">
        <v>306</v>
      </c>
      <c r="O346" s="13"/>
      <c r="P346" s="2"/>
      <c r="Q346" s="2"/>
    </row>
    <row r="347" spans="1:17" ht="12.75">
      <c r="A347" s="1" t="s">
        <v>930</v>
      </c>
      <c r="B347" s="12" t="s">
        <v>933</v>
      </c>
      <c r="C347" s="165" t="s">
        <v>934</v>
      </c>
      <c r="D347" s="165" t="s">
        <v>131</v>
      </c>
      <c r="E347" s="68">
        <v>84127064</v>
      </c>
      <c r="F347" s="13">
        <v>84634066</v>
      </c>
      <c r="G347" s="68"/>
      <c r="H347" s="18"/>
      <c r="I347" s="13"/>
      <c r="J347" s="18"/>
      <c r="K347" s="13"/>
      <c r="L347" s="13"/>
      <c r="M347" s="13"/>
      <c r="N347" s="13"/>
      <c r="O347" s="13"/>
      <c r="P347" s="12" t="s">
        <v>306</v>
      </c>
      <c r="Q347" s="2"/>
    </row>
    <row r="348" spans="1:17" ht="12.75">
      <c r="A348" s="1" t="s">
        <v>930</v>
      </c>
      <c r="B348" s="12" t="s">
        <v>935</v>
      </c>
      <c r="C348" s="165" t="s">
        <v>936</v>
      </c>
      <c r="D348" s="165" t="s">
        <v>139</v>
      </c>
      <c r="E348" s="68">
        <v>28271155</v>
      </c>
      <c r="F348" s="13">
        <v>28488062</v>
      </c>
      <c r="G348" s="68"/>
      <c r="H348" s="18"/>
      <c r="I348" s="13"/>
      <c r="J348" s="18"/>
      <c r="K348" s="13"/>
      <c r="L348" s="13"/>
      <c r="M348" s="13"/>
      <c r="N348" s="13"/>
      <c r="O348" s="13"/>
      <c r="P348" s="2"/>
      <c r="Q348" s="2"/>
    </row>
    <row r="349" spans="1:17" ht="12.75">
      <c r="A349" s="1" t="s">
        <v>930</v>
      </c>
      <c r="B349" s="12" t="s">
        <v>937</v>
      </c>
      <c r="C349" s="165" t="s">
        <v>938</v>
      </c>
      <c r="D349" s="165" t="s">
        <v>148</v>
      </c>
      <c r="E349" s="68">
        <v>19242204</v>
      </c>
      <c r="F349" s="13">
        <v>19396827</v>
      </c>
      <c r="G349" s="68"/>
      <c r="H349" s="18"/>
      <c r="I349" s="13"/>
      <c r="J349" s="18"/>
      <c r="K349" s="13"/>
      <c r="L349" s="13"/>
      <c r="M349" s="13"/>
      <c r="N349" s="13"/>
      <c r="O349" s="13"/>
      <c r="P349" s="2"/>
      <c r="Q349" s="2"/>
    </row>
    <row r="350" spans="1:17" ht="12.75">
      <c r="A350" s="1" t="s">
        <v>930</v>
      </c>
      <c r="B350" s="12" t="s">
        <v>939</v>
      </c>
      <c r="C350" s="165" t="s">
        <v>940</v>
      </c>
      <c r="D350" s="165" t="s">
        <v>148</v>
      </c>
      <c r="E350" s="68">
        <v>15459613</v>
      </c>
      <c r="F350" s="13">
        <v>15652791</v>
      </c>
      <c r="G350" s="68"/>
      <c r="H350" s="18"/>
      <c r="I350" s="13"/>
      <c r="J350" s="18"/>
      <c r="K350" s="13"/>
      <c r="L350" s="13"/>
      <c r="M350" s="13"/>
      <c r="N350" s="13"/>
      <c r="O350" s="13"/>
      <c r="P350" s="2"/>
      <c r="Q350" s="2"/>
    </row>
    <row r="351" spans="1:17" ht="12.75">
      <c r="A351" s="1" t="s">
        <v>930</v>
      </c>
      <c r="B351" s="12" t="s">
        <v>941</v>
      </c>
      <c r="C351" s="165" t="s">
        <v>942</v>
      </c>
      <c r="D351" s="165" t="s">
        <v>157</v>
      </c>
      <c r="E351" s="68">
        <v>12881352</v>
      </c>
      <c r="F351" s="13">
        <v>12979583</v>
      </c>
      <c r="G351" s="68"/>
      <c r="H351" s="18"/>
      <c r="I351" s="68"/>
      <c r="J351" s="18"/>
      <c r="K351" s="68"/>
      <c r="L351" s="13"/>
      <c r="M351" s="13"/>
      <c r="N351" s="13"/>
      <c r="O351" s="13"/>
      <c r="P351" s="2"/>
      <c r="Q351" s="2"/>
    </row>
    <row r="352" spans="1:17" ht="12.75">
      <c r="A352" s="1" t="s">
        <v>930</v>
      </c>
      <c r="B352" s="12" t="s">
        <v>943</v>
      </c>
      <c r="C352" s="165" t="s">
        <v>944</v>
      </c>
      <c r="D352" s="165" t="s">
        <v>157</v>
      </c>
      <c r="E352" s="68">
        <v>11506542</v>
      </c>
      <c r="F352" s="13">
        <v>11562012</v>
      </c>
      <c r="G352" s="68"/>
      <c r="H352" s="18"/>
      <c r="I352" s="13"/>
      <c r="J352" s="18"/>
      <c r="K352" s="13"/>
      <c r="L352" s="13"/>
      <c r="M352" s="13"/>
      <c r="N352" s="13"/>
      <c r="O352" s="13"/>
      <c r="P352" s="2"/>
      <c r="Q352" s="2"/>
    </row>
    <row r="353" spans="1:17" ht="12.75">
      <c r="A353" s="1" t="s">
        <v>930</v>
      </c>
      <c r="B353" s="12" t="s">
        <v>945</v>
      </c>
      <c r="C353" s="165" t="s">
        <v>946</v>
      </c>
      <c r="D353" s="165" t="s">
        <v>157</v>
      </c>
      <c r="E353" s="68">
        <v>5189250</v>
      </c>
      <c r="F353" s="13">
        <v>5315979</v>
      </c>
      <c r="G353" s="68"/>
      <c r="H353" s="18"/>
      <c r="I353" s="13"/>
      <c r="J353" s="18"/>
      <c r="K353" s="13"/>
      <c r="L353" s="13"/>
      <c r="M353" s="13"/>
      <c r="N353" s="13"/>
      <c r="O353" s="13"/>
      <c r="P353" s="2"/>
      <c r="Q353" s="2"/>
    </row>
    <row r="354" spans="1:17" ht="12.75">
      <c r="A354" s="1" t="s">
        <v>930</v>
      </c>
      <c r="B354" s="12" t="s">
        <v>947</v>
      </c>
      <c r="C354" s="165" t="s">
        <v>948</v>
      </c>
      <c r="D354" s="165" t="s">
        <v>157</v>
      </c>
      <c r="E354" s="68">
        <v>11212903</v>
      </c>
      <c r="F354" s="13">
        <v>11423608</v>
      </c>
      <c r="G354" s="68"/>
      <c r="H354" s="18"/>
      <c r="I354" s="68"/>
      <c r="J354" s="18"/>
      <c r="K354" s="68"/>
      <c r="L354" s="13"/>
      <c r="M354" s="13"/>
      <c r="N354" s="13"/>
      <c r="O354" s="13"/>
      <c r="P354" s="2"/>
      <c r="Q354" s="2"/>
    </row>
    <row r="355" spans="1:17" ht="12.75">
      <c r="A355" s="1" t="s">
        <v>930</v>
      </c>
      <c r="B355" s="12" t="s">
        <v>949</v>
      </c>
      <c r="C355" s="165" t="s">
        <v>950</v>
      </c>
      <c r="D355" s="165" t="s">
        <v>166</v>
      </c>
      <c r="E355" s="68">
        <v>5594622</v>
      </c>
      <c r="F355" s="13">
        <v>5678594</v>
      </c>
      <c r="G355" s="68"/>
      <c r="H355" s="18"/>
      <c r="I355" s="68"/>
      <c r="J355" s="18"/>
      <c r="K355" s="68"/>
      <c r="L355" s="13"/>
      <c r="M355" s="13"/>
      <c r="N355" s="13"/>
      <c r="O355" s="13"/>
      <c r="P355" s="2"/>
      <c r="Q355" s="2"/>
    </row>
    <row r="356" spans="1:17" ht="12.75">
      <c r="A356" s="1" t="s">
        <v>930</v>
      </c>
      <c r="B356" s="12" t="s">
        <v>951</v>
      </c>
      <c r="C356" s="165" t="s">
        <v>952</v>
      </c>
      <c r="D356" s="165" t="s">
        <v>166</v>
      </c>
      <c r="E356" s="68">
        <v>4491689</v>
      </c>
      <c r="F356" s="13">
        <v>4509897</v>
      </c>
      <c r="G356" s="68"/>
      <c r="H356" s="18"/>
      <c r="I356" s="68"/>
      <c r="J356" s="18"/>
      <c r="K356" s="68"/>
      <c r="L356" s="13"/>
      <c r="M356" s="13"/>
      <c r="N356" s="13"/>
      <c r="O356" s="13"/>
      <c r="P356" s="2"/>
      <c r="Q356" s="2"/>
    </row>
    <row r="357" spans="1:17" ht="12.75">
      <c r="A357" s="1" t="s">
        <v>930</v>
      </c>
      <c r="B357" s="12" t="s">
        <v>953</v>
      </c>
      <c r="C357" s="165" t="s">
        <v>954</v>
      </c>
      <c r="D357" s="165" t="s">
        <v>166</v>
      </c>
      <c r="E357" s="68">
        <v>4539940</v>
      </c>
      <c r="F357" s="13">
        <v>4571806</v>
      </c>
      <c r="G357" s="68"/>
      <c r="H357" s="18"/>
      <c r="I357" s="68"/>
      <c r="J357" s="18"/>
      <c r="K357" s="68"/>
      <c r="L357" s="13"/>
      <c r="M357" s="13"/>
      <c r="N357" s="13"/>
      <c r="O357" s="13"/>
      <c r="P357" s="2"/>
      <c r="Q357" s="2"/>
    </row>
    <row r="358" spans="1:17" ht="12.75">
      <c r="A358" s="1" t="s">
        <v>930</v>
      </c>
      <c r="B358" s="12" t="s">
        <v>955</v>
      </c>
      <c r="C358" s="165" t="s">
        <v>956</v>
      </c>
      <c r="D358" s="165" t="s">
        <v>170</v>
      </c>
      <c r="E358" s="68">
        <v>3262240</v>
      </c>
      <c r="F358" s="13">
        <v>3387737</v>
      </c>
      <c r="G358" s="68"/>
      <c r="H358" s="18"/>
      <c r="I358" s="68"/>
      <c r="J358" s="18"/>
      <c r="K358" s="68"/>
      <c r="L358" s="13"/>
      <c r="M358" s="13"/>
      <c r="N358" s="13"/>
      <c r="O358" s="13"/>
      <c r="P358" s="2"/>
      <c r="Q358" s="2"/>
    </row>
    <row r="359" spans="1:17" ht="12.75">
      <c r="A359" s="1" t="s">
        <v>930</v>
      </c>
      <c r="B359" s="12" t="s">
        <v>957</v>
      </c>
      <c r="C359" s="165" t="s">
        <v>958</v>
      </c>
      <c r="D359" s="165" t="s">
        <v>170</v>
      </c>
      <c r="E359" s="68">
        <v>4119515</v>
      </c>
      <c r="F359" s="13">
        <v>4207786</v>
      </c>
      <c r="G359" s="68"/>
      <c r="H359" s="18"/>
      <c r="I359" s="68"/>
      <c r="J359" s="18"/>
      <c r="K359" s="68"/>
      <c r="L359" s="13"/>
      <c r="M359" s="13"/>
      <c r="N359" s="13"/>
      <c r="O359" s="13"/>
      <c r="P359" s="2"/>
      <c r="Q359" s="2"/>
    </row>
    <row r="360" spans="1:17" ht="12.75">
      <c r="A360" s="1" t="s">
        <v>930</v>
      </c>
      <c r="B360" s="12" t="s">
        <v>959</v>
      </c>
      <c r="C360" s="165" t="s">
        <v>960</v>
      </c>
      <c r="D360" s="165" t="s">
        <v>170</v>
      </c>
      <c r="E360" s="68">
        <v>4388219</v>
      </c>
      <c r="F360" s="13">
        <v>4409127</v>
      </c>
      <c r="G360" s="68"/>
      <c r="H360" s="18"/>
      <c r="I360" s="68"/>
      <c r="J360" s="18"/>
      <c r="K360" s="68"/>
      <c r="L360" s="13"/>
      <c r="M360" s="13"/>
      <c r="N360" s="13"/>
      <c r="O360" s="13"/>
      <c r="P360" s="2"/>
      <c r="Q360" s="2"/>
    </row>
    <row r="361" spans="1:17" ht="12.75">
      <c r="A361" s="1" t="s">
        <v>930</v>
      </c>
      <c r="B361" s="12" t="s">
        <v>961</v>
      </c>
      <c r="C361" s="165" t="s">
        <v>962</v>
      </c>
      <c r="D361" s="165" t="s">
        <v>170</v>
      </c>
      <c r="E361" s="68">
        <v>3148033</v>
      </c>
      <c r="F361" s="13">
        <v>3195482</v>
      </c>
      <c r="G361" s="68"/>
      <c r="H361" s="18"/>
      <c r="I361" s="68"/>
      <c r="J361" s="18"/>
      <c r="K361" s="68"/>
      <c r="L361" s="13"/>
      <c r="M361" s="13"/>
      <c r="N361" s="13"/>
      <c r="O361" s="13"/>
      <c r="P361" s="2"/>
      <c r="Q361" s="2"/>
    </row>
    <row r="362" spans="1:17" ht="12.75">
      <c r="A362" s="1" t="s">
        <v>930</v>
      </c>
      <c r="B362" s="12" t="s">
        <v>963</v>
      </c>
      <c r="C362" s="165" t="s">
        <v>964</v>
      </c>
      <c r="D362" s="165" t="s">
        <v>170</v>
      </c>
      <c r="E362" s="68">
        <v>6850926</v>
      </c>
      <c r="F362" s="13">
        <v>6878096</v>
      </c>
      <c r="G362" s="68"/>
      <c r="H362" s="18"/>
      <c r="I362" s="68"/>
      <c r="J362" s="18"/>
      <c r="K362" s="68"/>
      <c r="L362" s="13"/>
      <c r="M362" s="13"/>
      <c r="N362" s="13"/>
      <c r="O362" s="13"/>
      <c r="P362" s="2"/>
      <c r="Q362" s="2"/>
    </row>
    <row r="363" spans="1:17" ht="12.75">
      <c r="A363" s="1" t="s">
        <v>930</v>
      </c>
      <c r="B363" s="12" t="s">
        <v>965</v>
      </c>
      <c r="C363" s="165" t="s">
        <v>966</v>
      </c>
      <c r="D363" s="165" t="s">
        <v>170</v>
      </c>
      <c r="E363" s="68">
        <v>3755258</v>
      </c>
      <c r="F363" s="13">
        <v>3803832</v>
      </c>
      <c r="G363" s="68"/>
      <c r="H363" s="18"/>
      <c r="I363" s="68"/>
      <c r="J363" s="18"/>
      <c r="K363" s="68"/>
      <c r="L363" s="13"/>
      <c r="M363" s="13"/>
      <c r="N363" s="13"/>
      <c r="O363" s="13"/>
      <c r="P363" s="2"/>
      <c r="Q363" s="2"/>
    </row>
    <row r="364" spans="1:17" ht="12.75">
      <c r="A364" s="1" t="s">
        <v>930</v>
      </c>
      <c r="B364" s="12" t="s">
        <v>967</v>
      </c>
      <c r="C364" s="165" t="s">
        <v>968</v>
      </c>
      <c r="D364" s="165" t="s">
        <v>170</v>
      </c>
      <c r="E364" s="68">
        <v>11271064</v>
      </c>
      <c r="F364" s="13">
        <v>11540263</v>
      </c>
      <c r="G364" s="68">
        <v>1400000</v>
      </c>
      <c r="H364" s="13">
        <v>1400000</v>
      </c>
      <c r="I364" s="68"/>
      <c r="J364" s="18"/>
      <c r="K364" s="68"/>
      <c r="L364" s="13"/>
      <c r="M364" s="13"/>
      <c r="N364" s="13"/>
      <c r="O364" s="13"/>
      <c r="P364" s="2"/>
      <c r="Q364" s="2"/>
    </row>
    <row r="365" spans="1:17" ht="12.75">
      <c r="A365" s="1" t="s">
        <v>930</v>
      </c>
      <c r="B365" s="12" t="s">
        <v>969</v>
      </c>
      <c r="C365" s="165" t="s">
        <v>970</v>
      </c>
      <c r="D365" s="165" t="s">
        <v>170</v>
      </c>
      <c r="E365" s="68">
        <v>5508838</v>
      </c>
      <c r="F365" s="13">
        <v>5660967</v>
      </c>
      <c r="G365" s="68"/>
      <c r="H365" s="18"/>
      <c r="I365" s="68"/>
      <c r="J365" s="18"/>
      <c r="K365" s="68"/>
      <c r="L365" s="13"/>
      <c r="M365" s="13"/>
      <c r="N365" s="13"/>
      <c r="O365" s="13"/>
      <c r="P365" s="2"/>
      <c r="Q365" s="2"/>
    </row>
    <row r="366" spans="1:17" ht="12.75">
      <c r="A366" s="1" t="s">
        <v>930</v>
      </c>
      <c r="B366" s="12" t="s">
        <v>971</v>
      </c>
      <c r="C366" s="165" t="s">
        <v>972</v>
      </c>
      <c r="D366" s="165" t="s">
        <v>170</v>
      </c>
      <c r="E366" s="68">
        <v>10997455</v>
      </c>
      <c r="F366" s="13">
        <v>11122408</v>
      </c>
      <c r="G366" s="68"/>
      <c r="H366" s="18"/>
      <c r="I366" s="68"/>
      <c r="J366" s="18"/>
      <c r="K366" s="68"/>
      <c r="L366" s="13"/>
      <c r="M366" s="13"/>
      <c r="N366" s="13"/>
      <c r="O366" s="13"/>
      <c r="P366" s="2"/>
      <c r="Q366" s="2"/>
    </row>
    <row r="367" spans="1:17" ht="12.75">
      <c r="A367" s="1" t="s">
        <v>930</v>
      </c>
      <c r="B367" s="12" t="s">
        <v>973</v>
      </c>
      <c r="C367" s="165" t="s">
        <v>974</v>
      </c>
      <c r="D367" s="165" t="s">
        <v>170</v>
      </c>
      <c r="E367" s="68">
        <v>2599974</v>
      </c>
      <c r="F367" s="13">
        <v>2696973</v>
      </c>
      <c r="G367" s="68"/>
      <c r="H367" s="18"/>
      <c r="I367" s="68"/>
      <c r="J367" s="18"/>
      <c r="K367" s="68"/>
      <c r="L367" s="13"/>
      <c r="M367" s="13"/>
      <c r="N367" s="13"/>
      <c r="O367" s="13"/>
      <c r="P367" s="2"/>
      <c r="Q367" s="2"/>
    </row>
    <row r="368" spans="1:17" ht="12.75">
      <c r="A368" s="1" t="s">
        <v>930</v>
      </c>
      <c r="B368" s="12" t="s">
        <v>975</v>
      </c>
      <c r="C368" s="165" t="s">
        <v>976</v>
      </c>
      <c r="D368" s="165" t="s">
        <v>170</v>
      </c>
      <c r="E368" s="68">
        <v>6017950</v>
      </c>
      <c r="F368" s="13">
        <v>6387751</v>
      </c>
      <c r="G368" s="68"/>
      <c r="H368" s="18"/>
      <c r="I368" s="68"/>
      <c r="J368" s="18"/>
      <c r="K368" s="68"/>
      <c r="L368" s="13"/>
      <c r="M368" s="13"/>
      <c r="N368" s="13"/>
      <c r="O368" s="13"/>
      <c r="P368" s="2"/>
      <c r="Q368" s="2"/>
    </row>
    <row r="369" spans="1:17" ht="12.75">
      <c r="A369" s="1" t="s">
        <v>930</v>
      </c>
      <c r="B369" s="12" t="s">
        <v>977</v>
      </c>
      <c r="C369" s="165" t="s">
        <v>978</v>
      </c>
      <c r="D369" s="165" t="s">
        <v>170</v>
      </c>
      <c r="E369" s="68">
        <v>15126548</v>
      </c>
      <c r="F369" s="13">
        <v>15191947</v>
      </c>
      <c r="G369" s="68">
        <v>2148000</v>
      </c>
      <c r="H369" s="13">
        <v>1650000</v>
      </c>
      <c r="I369" s="68"/>
      <c r="J369" s="18"/>
      <c r="K369" s="68"/>
      <c r="L369" s="13"/>
      <c r="M369" s="13"/>
      <c r="N369" s="13"/>
      <c r="O369" s="13"/>
      <c r="P369" s="2"/>
      <c r="Q369" s="2"/>
    </row>
    <row r="370" spans="1:17" ht="12.75">
      <c r="A370" s="1" t="s">
        <v>930</v>
      </c>
      <c r="B370" s="12" t="s">
        <v>979</v>
      </c>
      <c r="C370" s="165" t="s">
        <v>980</v>
      </c>
      <c r="D370" s="165" t="s">
        <v>170</v>
      </c>
      <c r="E370" s="68">
        <v>3128008</v>
      </c>
      <c r="F370" s="13">
        <v>3185041</v>
      </c>
      <c r="G370" s="68"/>
      <c r="H370" s="18"/>
      <c r="I370" s="68"/>
      <c r="J370" s="18"/>
      <c r="K370" s="68"/>
      <c r="L370" s="13"/>
      <c r="M370" s="13"/>
      <c r="N370" s="13"/>
      <c r="O370" s="13"/>
      <c r="P370" s="2"/>
      <c r="Q370" s="2"/>
    </row>
    <row r="371" spans="1:17" ht="12.75">
      <c r="A371" s="1" t="s">
        <v>930</v>
      </c>
      <c r="B371" s="12" t="s">
        <v>981</v>
      </c>
      <c r="C371" s="165" t="s">
        <v>982</v>
      </c>
      <c r="D371" s="165" t="s">
        <v>170</v>
      </c>
      <c r="E371" s="68">
        <v>20052059</v>
      </c>
      <c r="F371" s="13">
        <v>22004958</v>
      </c>
      <c r="G371" s="68">
        <v>14274082</v>
      </c>
      <c r="H371" s="13">
        <v>14340527</v>
      </c>
      <c r="I371" s="68"/>
      <c r="J371" s="18"/>
      <c r="K371" s="68"/>
      <c r="L371" s="13"/>
      <c r="M371" s="13"/>
      <c r="N371" s="13"/>
      <c r="O371" s="13"/>
      <c r="P371" s="2"/>
      <c r="Q371" s="2"/>
    </row>
    <row r="372" spans="1:17" ht="12.75">
      <c r="A372" s="1" t="s">
        <v>930</v>
      </c>
      <c r="B372" s="12" t="s">
        <v>983</v>
      </c>
      <c r="C372" s="165" t="s">
        <v>984</v>
      </c>
      <c r="D372" s="165" t="s">
        <v>170</v>
      </c>
      <c r="E372" s="68">
        <v>3396063</v>
      </c>
      <c r="F372" s="13">
        <v>3409388</v>
      </c>
      <c r="G372" s="68"/>
      <c r="H372" s="18"/>
      <c r="I372" s="68"/>
      <c r="J372" s="18"/>
      <c r="K372" s="68"/>
      <c r="L372" s="13"/>
      <c r="M372" s="13"/>
      <c r="N372" s="13"/>
      <c r="O372" s="13"/>
      <c r="P372" s="2"/>
      <c r="Q372" s="2"/>
    </row>
    <row r="373" spans="1:17" ht="12.75">
      <c r="A373" s="1" t="s">
        <v>930</v>
      </c>
      <c r="B373" s="12" t="s">
        <v>1486</v>
      </c>
      <c r="C373" s="165" t="s">
        <v>298</v>
      </c>
      <c r="D373" s="165" t="s">
        <v>305</v>
      </c>
      <c r="E373" s="68">
        <v>8178288</v>
      </c>
      <c r="F373" s="18">
        <v>8155404</v>
      </c>
      <c r="G373" s="68"/>
      <c r="H373" s="18"/>
      <c r="I373" s="68">
        <v>8290684</v>
      </c>
      <c r="J373" s="18"/>
      <c r="K373" s="68"/>
      <c r="L373" s="13"/>
      <c r="M373" s="13"/>
      <c r="N373" s="13"/>
      <c r="O373" s="13"/>
      <c r="P373" s="2"/>
      <c r="Q373" s="2"/>
    </row>
    <row r="374" spans="1:17" ht="12.75">
      <c r="A374" s="1" t="s">
        <v>930</v>
      </c>
      <c r="B374" s="12" t="s">
        <v>985</v>
      </c>
      <c r="C374" s="165" t="s">
        <v>986</v>
      </c>
      <c r="D374" s="165" t="s">
        <v>305</v>
      </c>
      <c r="E374" s="68">
        <v>8034470</v>
      </c>
      <c r="F374" s="18">
        <v>8290984</v>
      </c>
      <c r="G374" s="68"/>
      <c r="H374" s="18"/>
      <c r="I374" s="68"/>
      <c r="J374" s="13">
        <v>8155405</v>
      </c>
      <c r="K374" s="68"/>
      <c r="L374" s="13"/>
      <c r="M374" s="13"/>
      <c r="N374" s="13"/>
      <c r="O374" s="13"/>
      <c r="P374" s="2"/>
      <c r="Q374" s="2"/>
    </row>
    <row r="375" spans="1:17" ht="12.75">
      <c r="A375" s="1" t="s">
        <v>930</v>
      </c>
      <c r="B375" s="12" t="s">
        <v>1487</v>
      </c>
      <c r="C375" s="165" t="s">
        <v>989</v>
      </c>
      <c r="D375" s="165" t="s">
        <v>305</v>
      </c>
      <c r="E375" s="68">
        <v>57166562</v>
      </c>
      <c r="F375" s="18">
        <v>57716005</v>
      </c>
      <c r="G375" s="68"/>
      <c r="H375" s="18"/>
      <c r="I375" s="68"/>
      <c r="J375" s="13">
        <v>57716005</v>
      </c>
      <c r="K375" s="68"/>
      <c r="L375" s="13"/>
      <c r="M375" s="13"/>
      <c r="N375" s="13"/>
      <c r="O375" s="13"/>
      <c r="P375" s="2"/>
      <c r="Q375" s="2"/>
    </row>
    <row r="376" spans="1:17" ht="12.75">
      <c r="A376" s="1" t="s">
        <v>930</v>
      </c>
      <c r="B376" s="12" t="s">
        <v>1488</v>
      </c>
      <c r="C376" s="12"/>
      <c r="D376" s="165" t="s">
        <v>305</v>
      </c>
      <c r="E376" s="68">
        <v>3732041</v>
      </c>
      <c r="F376" s="13">
        <v>3754399</v>
      </c>
      <c r="G376" s="68"/>
      <c r="H376" s="18"/>
      <c r="I376" s="68"/>
      <c r="J376" s="18"/>
      <c r="K376" s="68"/>
      <c r="L376" s="13"/>
      <c r="M376" s="13"/>
      <c r="N376" s="13"/>
      <c r="O376" s="13"/>
      <c r="P376" s="2"/>
      <c r="Q376" s="2"/>
    </row>
    <row r="377" spans="1:17" ht="12.75">
      <c r="A377" s="1" t="s">
        <v>991</v>
      </c>
      <c r="B377" s="12" t="s">
        <v>992</v>
      </c>
      <c r="C377" s="165" t="s">
        <v>993</v>
      </c>
      <c r="D377" s="170" t="s">
        <v>131</v>
      </c>
      <c r="E377" s="13">
        <v>111285000</v>
      </c>
      <c r="F377" s="18">
        <v>116022864</v>
      </c>
      <c r="G377" s="13"/>
      <c r="H377" s="67"/>
      <c r="I377" s="13"/>
      <c r="J377" s="18">
        <v>12891429</v>
      </c>
      <c r="K377" s="13"/>
      <c r="L377" s="13"/>
      <c r="M377" s="13"/>
      <c r="N377" s="13">
        <f>41339+9946</f>
        <v>51285</v>
      </c>
      <c r="O377" s="13">
        <f>27437+4144</f>
        <v>31581</v>
      </c>
      <c r="P377" s="13">
        <f>39689+10457</f>
        <v>50146</v>
      </c>
      <c r="Q377" s="2"/>
    </row>
    <row r="378" spans="1:17" ht="12.75">
      <c r="A378" s="1" t="s">
        <v>991</v>
      </c>
      <c r="B378" s="12" t="s">
        <v>994</v>
      </c>
      <c r="C378" s="165" t="s">
        <v>995</v>
      </c>
      <c r="D378" s="170" t="s">
        <v>136</v>
      </c>
      <c r="E378" s="13">
        <v>83219539</v>
      </c>
      <c r="F378" s="18">
        <v>86790546</v>
      </c>
      <c r="G378" s="13"/>
      <c r="H378" s="67"/>
      <c r="I378" s="13"/>
      <c r="J378" s="18"/>
      <c r="K378" s="13"/>
      <c r="L378" s="13"/>
      <c r="M378" s="13"/>
      <c r="N378" s="13">
        <f>22320+6402</f>
        <v>28722</v>
      </c>
      <c r="O378" s="13">
        <f>12710+3283</f>
        <v>15993</v>
      </c>
      <c r="P378" s="13">
        <f>20833+6590</f>
        <v>27423</v>
      </c>
      <c r="Q378" s="2"/>
    </row>
    <row r="379" spans="1:17" ht="12.75">
      <c r="A379" s="1" t="s">
        <v>991</v>
      </c>
      <c r="B379" s="12" t="s">
        <v>996</v>
      </c>
      <c r="C379" s="165" t="s">
        <v>997</v>
      </c>
      <c r="D379" s="170" t="s">
        <v>139</v>
      </c>
      <c r="E379" s="13">
        <v>18444268</v>
      </c>
      <c r="F379" s="18">
        <v>19142559</v>
      </c>
      <c r="G379" s="13"/>
      <c r="H379" s="18"/>
      <c r="I379" s="13"/>
      <c r="J379" s="18"/>
      <c r="K379" s="13"/>
      <c r="L379" s="13"/>
      <c r="M379" s="13"/>
      <c r="N379" s="13">
        <v>7694</v>
      </c>
      <c r="O379" s="13">
        <v>5312</v>
      </c>
      <c r="P379" s="13">
        <v>5872</v>
      </c>
      <c r="Q379" s="2"/>
    </row>
    <row r="380" spans="1:17" ht="12.75">
      <c r="A380" s="1" t="s">
        <v>991</v>
      </c>
      <c r="B380" s="12" t="s">
        <v>998</v>
      </c>
      <c r="C380" s="165" t="s">
        <v>999</v>
      </c>
      <c r="D380" s="170" t="s">
        <v>148</v>
      </c>
      <c r="E380" s="13">
        <v>22324898</v>
      </c>
      <c r="F380" s="18">
        <v>23731508</v>
      </c>
      <c r="G380" s="13"/>
      <c r="H380" s="18"/>
      <c r="I380" s="13"/>
      <c r="J380" s="18"/>
      <c r="K380" s="13"/>
      <c r="L380" s="13"/>
      <c r="M380" s="13"/>
      <c r="N380" s="13">
        <v>4529</v>
      </c>
      <c r="O380" s="13">
        <v>2987</v>
      </c>
      <c r="P380" s="13">
        <v>6877</v>
      </c>
      <c r="Q380" s="2"/>
    </row>
    <row r="381" spans="1:17" ht="12.75">
      <c r="A381" s="1" t="s">
        <v>991</v>
      </c>
      <c r="B381" s="12" t="s">
        <v>1000</v>
      </c>
      <c r="C381" s="165" t="s">
        <v>1001</v>
      </c>
      <c r="D381" s="170" t="s">
        <v>157</v>
      </c>
      <c r="E381" s="13">
        <v>12278537</v>
      </c>
      <c r="F381" s="18">
        <v>12856642</v>
      </c>
      <c r="G381" s="13"/>
      <c r="H381" s="18"/>
      <c r="I381" s="13"/>
      <c r="J381" s="18"/>
      <c r="K381" s="13"/>
      <c r="L381" s="13"/>
      <c r="M381" s="13"/>
      <c r="N381" s="13">
        <v>2058</v>
      </c>
      <c r="O381" s="13">
        <v>2799</v>
      </c>
      <c r="P381" s="13">
        <v>1714</v>
      </c>
      <c r="Q381" s="2"/>
    </row>
    <row r="382" spans="1:17" ht="12.75">
      <c r="A382" s="1" t="s">
        <v>991</v>
      </c>
      <c r="B382" s="12" t="s">
        <v>1002</v>
      </c>
      <c r="C382" s="165" t="s">
        <v>1003</v>
      </c>
      <c r="D382" s="170" t="s">
        <v>157</v>
      </c>
      <c r="E382" s="13">
        <v>19520994</v>
      </c>
      <c r="F382" s="18">
        <v>20610980</v>
      </c>
      <c r="G382" s="13"/>
      <c r="H382" s="18"/>
      <c r="I382" s="13"/>
      <c r="J382" s="18"/>
      <c r="K382" s="13"/>
      <c r="L382" s="13"/>
      <c r="M382" s="13"/>
      <c r="N382" s="13">
        <f>3131+180</f>
        <v>3311</v>
      </c>
      <c r="O382" s="13">
        <f>3015+135</f>
        <v>3150</v>
      </c>
      <c r="P382" s="13">
        <f>4425+223</f>
        <v>4648</v>
      </c>
      <c r="Q382" s="2"/>
    </row>
    <row r="383" spans="1:17" ht="12.75">
      <c r="A383" s="1" t="s">
        <v>991</v>
      </c>
      <c r="B383" s="12" t="s">
        <v>1004</v>
      </c>
      <c r="C383" s="165" t="s">
        <v>1005</v>
      </c>
      <c r="D383" s="170" t="s">
        <v>157</v>
      </c>
      <c r="E383" s="13">
        <v>12964823</v>
      </c>
      <c r="F383" s="18">
        <v>13561912</v>
      </c>
      <c r="G383" s="13"/>
      <c r="H383" s="18"/>
      <c r="I383" s="13"/>
      <c r="J383" s="18"/>
      <c r="K383" s="13"/>
      <c r="L383" s="13"/>
      <c r="M383" s="13"/>
      <c r="N383" s="13">
        <v>10344</v>
      </c>
      <c r="O383" s="13">
        <v>10561</v>
      </c>
      <c r="P383" s="13">
        <v>8533</v>
      </c>
      <c r="Q383" s="2"/>
    </row>
    <row r="384" spans="1:17" ht="12.75">
      <c r="A384" s="1" t="s">
        <v>991</v>
      </c>
      <c r="B384" s="12" t="s">
        <v>1006</v>
      </c>
      <c r="C384" s="165" t="s">
        <v>1007</v>
      </c>
      <c r="D384" s="170" t="s">
        <v>166</v>
      </c>
      <c r="E384" s="13">
        <v>10353946</v>
      </c>
      <c r="F384" s="18">
        <v>10821421</v>
      </c>
      <c r="G384" s="13"/>
      <c r="H384" s="18"/>
      <c r="I384" s="13"/>
      <c r="J384" s="18"/>
      <c r="K384" s="13"/>
      <c r="L384" s="13"/>
      <c r="M384" s="13"/>
      <c r="N384" s="13">
        <v>1062</v>
      </c>
      <c r="O384" s="13">
        <v>394</v>
      </c>
      <c r="P384" s="13">
        <v>954</v>
      </c>
      <c r="Q384" s="2"/>
    </row>
    <row r="385" spans="1:17" ht="12.75">
      <c r="A385" s="1" t="s">
        <v>991</v>
      </c>
      <c r="B385" s="12" t="s">
        <v>1008</v>
      </c>
      <c r="C385" s="165" t="s">
        <v>1009</v>
      </c>
      <c r="D385" s="170" t="s">
        <v>166</v>
      </c>
      <c r="E385" s="13">
        <v>8050720</v>
      </c>
      <c r="F385" s="18">
        <v>8445495</v>
      </c>
      <c r="G385" s="13"/>
      <c r="H385" s="18"/>
      <c r="I385" s="13"/>
      <c r="J385" s="18"/>
      <c r="K385" s="13"/>
      <c r="L385" s="13"/>
      <c r="M385" s="13"/>
      <c r="N385" s="13">
        <v>843</v>
      </c>
      <c r="O385" s="13">
        <v>1399</v>
      </c>
      <c r="P385" s="13">
        <v>858</v>
      </c>
      <c r="Q385" s="2"/>
    </row>
    <row r="386" spans="1:17" ht="12.75">
      <c r="A386" s="1" t="s">
        <v>991</v>
      </c>
      <c r="B386" s="12" t="s">
        <v>1010</v>
      </c>
      <c r="C386" s="165" t="s">
        <v>1011</v>
      </c>
      <c r="D386" s="170" t="s">
        <v>166</v>
      </c>
      <c r="E386" s="13">
        <v>7927150</v>
      </c>
      <c r="F386" s="18">
        <v>8398386</v>
      </c>
      <c r="G386" s="13"/>
      <c r="H386" s="18"/>
      <c r="I386" s="13"/>
      <c r="J386" s="18"/>
      <c r="K386" s="13"/>
      <c r="L386" s="13"/>
      <c r="M386" s="13"/>
      <c r="N386" s="13">
        <v>75</v>
      </c>
      <c r="O386" s="13">
        <v>270</v>
      </c>
      <c r="P386" s="13">
        <v>135</v>
      </c>
      <c r="Q386" s="2"/>
    </row>
    <row r="387" spans="1:17" ht="12.75">
      <c r="A387" s="1" t="s">
        <v>991</v>
      </c>
      <c r="B387" s="12" t="s">
        <v>1012</v>
      </c>
      <c r="C387" s="165" t="s">
        <v>1013</v>
      </c>
      <c r="D387" s="170" t="s">
        <v>166</v>
      </c>
      <c r="E387" s="13">
        <v>9829041</v>
      </c>
      <c r="F387" s="18">
        <v>10303739</v>
      </c>
      <c r="G387" s="13"/>
      <c r="H387" s="18"/>
      <c r="I387" s="13"/>
      <c r="J387" s="18"/>
      <c r="K387" s="13"/>
      <c r="L387" s="13"/>
      <c r="M387" s="13"/>
      <c r="N387" s="13">
        <v>531</v>
      </c>
      <c r="O387" s="13">
        <v>900</v>
      </c>
      <c r="P387" s="13">
        <v>384</v>
      </c>
      <c r="Q387" s="2"/>
    </row>
    <row r="388" spans="1:17" ht="12.75">
      <c r="A388" s="1" t="s">
        <v>991</v>
      </c>
      <c r="B388" s="12" t="s">
        <v>1014</v>
      </c>
      <c r="C388" s="165" t="s">
        <v>1015</v>
      </c>
      <c r="D388" s="170" t="s">
        <v>170</v>
      </c>
      <c r="E388" s="13">
        <v>4922682</v>
      </c>
      <c r="F388" s="18">
        <v>4679130</v>
      </c>
      <c r="G388" s="13">
        <v>950309</v>
      </c>
      <c r="H388" s="18">
        <v>940000</v>
      </c>
      <c r="I388" s="13"/>
      <c r="J388" s="18"/>
      <c r="K388" s="13"/>
      <c r="L388" s="13"/>
      <c r="M388" s="13"/>
      <c r="N388" s="13"/>
      <c r="O388" s="13"/>
      <c r="P388" s="2"/>
      <c r="Q388" s="2"/>
    </row>
    <row r="389" spans="1:17" ht="12.75">
      <c r="A389" s="1" t="s">
        <v>991</v>
      </c>
      <c r="B389" s="12" t="s">
        <v>1016</v>
      </c>
      <c r="C389" s="165" t="s">
        <v>1017</v>
      </c>
      <c r="D389" s="170" t="s">
        <v>170</v>
      </c>
      <c r="E389" s="13">
        <v>5761892</v>
      </c>
      <c r="F389" s="18">
        <v>5282704</v>
      </c>
      <c r="G389" s="13">
        <v>958730</v>
      </c>
      <c r="H389" s="18">
        <v>961465</v>
      </c>
      <c r="I389" s="13"/>
      <c r="J389" s="18"/>
      <c r="K389" s="13"/>
      <c r="L389" s="13"/>
      <c r="M389" s="13"/>
      <c r="N389" s="13"/>
      <c r="O389" s="13"/>
      <c r="P389" s="2"/>
      <c r="Q389" s="2"/>
    </row>
    <row r="390" spans="1:17" ht="12.75">
      <c r="A390" s="1" t="s">
        <v>991</v>
      </c>
      <c r="B390" s="12" t="s">
        <v>1018</v>
      </c>
      <c r="C390" s="165" t="s">
        <v>1019</v>
      </c>
      <c r="D390" s="170" t="s">
        <v>170</v>
      </c>
      <c r="E390" s="13">
        <v>2306591</v>
      </c>
      <c r="F390" s="18">
        <v>2162652</v>
      </c>
      <c r="G390" s="13">
        <v>323092</v>
      </c>
      <c r="H390" s="18">
        <v>341000</v>
      </c>
      <c r="I390" s="13"/>
      <c r="J390" s="18"/>
      <c r="K390" s="13"/>
      <c r="L390" s="13"/>
      <c r="M390" s="13"/>
      <c r="N390" s="13"/>
      <c r="O390" s="13"/>
      <c r="P390" s="2"/>
      <c r="Q390" s="2"/>
    </row>
    <row r="391" spans="1:17" ht="12.75">
      <c r="A391" s="1" t="s">
        <v>991</v>
      </c>
      <c r="B391" s="12" t="s">
        <v>1020</v>
      </c>
      <c r="C391" s="165" t="s">
        <v>1021</v>
      </c>
      <c r="D391" s="170" t="s">
        <v>170</v>
      </c>
      <c r="E391" s="13">
        <v>2930911</v>
      </c>
      <c r="F391" s="18">
        <v>2925175</v>
      </c>
      <c r="G391" s="13">
        <v>0</v>
      </c>
      <c r="H391" s="18">
        <v>13750</v>
      </c>
      <c r="I391" s="13"/>
      <c r="J391" s="18"/>
      <c r="K391" s="13"/>
      <c r="L391" s="13"/>
      <c r="M391" s="13"/>
      <c r="N391" s="13"/>
      <c r="O391" s="13"/>
      <c r="P391" s="2"/>
      <c r="Q391" s="2"/>
    </row>
    <row r="392" spans="1:17" ht="12.75">
      <c r="A392" s="1" t="s">
        <v>991</v>
      </c>
      <c r="B392" s="12" t="s">
        <v>1022</v>
      </c>
      <c r="C392" s="165" t="s">
        <v>1023</v>
      </c>
      <c r="D392" s="170" t="s">
        <v>170</v>
      </c>
      <c r="E392" s="13">
        <v>6526717</v>
      </c>
      <c r="F392" s="18">
        <v>6645629</v>
      </c>
      <c r="G392" s="13">
        <v>1814632</v>
      </c>
      <c r="H392" s="18">
        <v>1910870</v>
      </c>
      <c r="I392" s="13"/>
      <c r="J392" s="18"/>
      <c r="K392" s="13"/>
      <c r="L392" s="13"/>
      <c r="M392" s="13"/>
      <c r="N392" s="13"/>
      <c r="O392" s="13"/>
      <c r="P392" s="2"/>
      <c r="Q392" s="2"/>
    </row>
    <row r="393" spans="1:17" ht="12.75">
      <c r="A393" s="1" t="s">
        <v>991</v>
      </c>
      <c r="B393" s="12" t="s">
        <v>1024</v>
      </c>
      <c r="C393" s="165" t="s">
        <v>1025</v>
      </c>
      <c r="D393" s="170" t="s">
        <v>170</v>
      </c>
      <c r="E393" s="13">
        <v>17365409</v>
      </c>
      <c r="F393" s="18">
        <v>17011988</v>
      </c>
      <c r="G393" s="13">
        <v>4190861</v>
      </c>
      <c r="H393" s="18">
        <v>4065230</v>
      </c>
      <c r="I393" s="13"/>
      <c r="J393" s="18"/>
      <c r="K393" s="13"/>
      <c r="L393" s="13"/>
      <c r="M393" s="13"/>
      <c r="N393" s="13"/>
      <c r="O393" s="13"/>
      <c r="P393" s="2"/>
      <c r="Q393" s="2"/>
    </row>
    <row r="394" spans="1:17" ht="12.75">
      <c r="A394" s="1" t="s">
        <v>991</v>
      </c>
      <c r="B394" s="12" t="s">
        <v>1026</v>
      </c>
      <c r="C394" s="165" t="s">
        <v>1027</v>
      </c>
      <c r="D394" s="170" t="s">
        <v>170</v>
      </c>
      <c r="E394" s="13">
        <v>5860300</v>
      </c>
      <c r="F394" s="18">
        <v>5632064</v>
      </c>
      <c r="G394" s="13">
        <v>1227692</v>
      </c>
      <c r="H394" s="18">
        <v>1227692</v>
      </c>
      <c r="I394" s="13"/>
      <c r="J394" s="18"/>
      <c r="K394" s="13"/>
      <c r="L394" s="13"/>
      <c r="M394" s="13"/>
      <c r="N394" s="13"/>
      <c r="O394" s="13"/>
      <c r="P394" s="2"/>
      <c r="Q394" s="2"/>
    </row>
    <row r="395" spans="1:17" ht="12.75">
      <c r="A395" s="1" t="s">
        <v>991</v>
      </c>
      <c r="B395" s="12" t="s">
        <v>1028</v>
      </c>
      <c r="C395" s="165" t="s">
        <v>1029</v>
      </c>
      <c r="D395" s="170" t="s">
        <v>170</v>
      </c>
      <c r="E395" s="13">
        <v>16826056</v>
      </c>
      <c r="F395" s="18">
        <v>16517399</v>
      </c>
      <c r="G395" s="13">
        <v>3614352</v>
      </c>
      <c r="H395" s="18">
        <v>5739918</v>
      </c>
      <c r="I395" s="13"/>
      <c r="J395" s="18"/>
      <c r="K395" s="13"/>
      <c r="L395" s="13"/>
      <c r="M395" s="13"/>
      <c r="N395" s="13"/>
      <c r="O395" s="13"/>
      <c r="P395" s="2"/>
      <c r="Q395" s="2"/>
    </row>
    <row r="396" spans="1:17" ht="12.75">
      <c r="A396" s="1" t="s">
        <v>991</v>
      </c>
      <c r="B396" s="12" t="s">
        <v>1030</v>
      </c>
      <c r="C396" s="165" t="s">
        <v>1031</v>
      </c>
      <c r="D396" s="170" t="s">
        <v>170</v>
      </c>
      <c r="E396" s="13">
        <v>5381044</v>
      </c>
      <c r="F396" s="18">
        <v>4995940</v>
      </c>
      <c r="G396" s="13">
        <v>716330</v>
      </c>
      <c r="H396" s="18">
        <v>703700</v>
      </c>
      <c r="I396" s="13"/>
      <c r="J396" s="18"/>
      <c r="K396" s="13"/>
      <c r="L396" s="13"/>
      <c r="M396" s="13"/>
      <c r="N396" s="13"/>
      <c r="O396" s="13"/>
      <c r="P396" s="2"/>
      <c r="Q396" s="2"/>
    </row>
    <row r="397" spans="1:17" ht="12.75">
      <c r="A397" s="1" t="s">
        <v>991</v>
      </c>
      <c r="B397" s="12" t="s">
        <v>1032</v>
      </c>
      <c r="C397" s="165" t="s">
        <v>1033</v>
      </c>
      <c r="D397" s="170" t="s">
        <v>170</v>
      </c>
      <c r="E397" s="13">
        <v>6505447</v>
      </c>
      <c r="F397" s="18">
        <v>6165834</v>
      </c>
      <c r="G397" s="13">
        <v>694914</v>
      </c>
      <c r="H397" s="18">
        <v>769914</v>
      </c>
      <c r="I397" s="13"/>
      <c r="J397" s="18"/>
      <c r="K397" s="13"/>
      <c r="L397" s="13"/>
      <c r="M397" s="13"/>
      <c r="N397" s="13"/>
      <c r="O397" s="13"/>
      <c r="P397" s="2"/>
      <c r="Q397" s="2"/>
    </row>
    <row r="398" spans="1:17" ht="12.75">
      <c r="A398" s="1" t="s">
        <v>991</v>
      </c>
      <c r="B398" s="12" t="s">
        <v>1034</v>
      </c>
      <c r="C398" s="165" t="s">
        <v>1035</v>
      </c>
      <c r="D398" s="170" t="s">
        <v>170</v>
      </c>
      <c r="E398" s="13">
        <v>6447163</v>
      </c>
      <c r="F398" s="18">
        <v>5927883</v>
      </c>
      <c r="G398" s="13">
        <v>1065531</v>
      </c>
      <c r="H398" s="18">
        <v>1155599</v>
      </c>
      <c r="I398" s="13"/>
      <c r="J398" s="18"/>
      <c r="K398" s="13"/>
      <c r="L398" s="13"/>
      <c r="M398" s="13"/>
      <c r="N398" s="13"/>
      <c r="O398" s="13"/>
      <c r="P398" s="2"/>
      <c r="Q398" s="2"/>
    </row>
    <row r="399" spans="1:17" ht="12.75">
      <c r="A399" s="1" t="s">
        <v>991</v>
      </c>
      <c r="B399" s="12" t="s">
        <v>1036</v>
      </c>
      <c r="C399" s="165" t="s">
        <v>1037</v>
      </c>
      <c r="D399" s="170" t="s">
        <v>170</v>
      </c>
      <c r="E399" s="13">
        <v>3549515</v>
      </c>
      <c r="F399" s="18">
        <v>3619960</v>
      </c>
      <c r="G399" s="13">
        <v>523652</v>
      </c>
      <c r="H399" s="18">
        <v>544062</v>
      </c>
      <c r="I399" s="13"/>
      <c r="J399" s="18"/>
      <c r="K399" s="13"/>
      <c r="L399" s="13"/>
      <c r="M399" s="13"/>
      <c r="N399" s="13"/>
      <c r="O399" s="13"/>
      <c r="P399" s="2"/>
      <c r="Q399" s="2"/>
    </row>
    <row r="400" spans="1:17" ht="12.75">
      <c r="A400" s="1" t="s">
        <v>991</v>
      </c>
      <c r="B400" s="12" t="s">
        <v>1038</v>
      </c>
      <c r="C400" s="165" t="s">
        <v>1039</v>
      </c>
      <c r="D400" s="170" t="s">
        <v>170</v>
      </c>
      <c r="E400" s="13">
        <v>7776531</v>
      </c>
      <c r="F400" s="18">
        <v>7024893</v>
      </c>
      <c r="G400" s="13">
        <v>2285588</v>
      </c>
      <c r="H400" s="18">
        <v>1378324</v>
      </c>
      <c r="I400" s="13"/>
      <c r="J400" s="18"/>
      <c r="K400" s="13"/>
      <c r="L400" s="13"/>
      <c r="M400" s="13"/>
      <c r="N400" s="13"/>
      <c r="O400" s="13"/>
      <c r="P400" s="2"/>
      <c r="Q400" s="2"/>
    </row>
    <row r="401" spans="1:17" ht="12.75">
      <c r="A401" s="1" t="s">
        <v>991</v>
      </c>
      <c r="B401" s="12" t="s">
        <v>1040</v>
      </c>
      <c r="C401" s="165" t="s">
        <v>1041</v>
      </c>
      <c r="D401" s="170" t="s">
        <v>170</v>
      </c>
      <c r="E401" s="13">
        <v>16437238</v>
      </c>
      <c r="F401" s="18">
        <v>16688503</v>
      </c>
      <c r="G401" s="13">
        <v>4036364</v>
      </c>
      <c r="H401" s="18">
        <v>3855000</v>
      </c>
      <c r="I401" s="13"/>
      <c r="J401" s="18"/>
      <c r="K401" s="13"/>
      <c r="L401" s="13"/>
      <c r="M401" s="13"/>
      <c r="N401" s="13"/>
      <c r="O401" s="13"/>
      <c r="P401" s="2"/>
      <c r="Q401" s="2"/>
    </row>
    <row r="402" spans="1:17" ht="12.75">
      <c r="A402" s="1" t="s">
        <v>991</v>
      </c>
      <c r="B402" s="12" t="s">
        <v>1042</v>
      </c>
      <c r="C402" s="165" t="s">
        <v>1043</v>
      </c>
      <c r="D402" s="170" t="s">
        <v>170</v>
      </c>
      <c r="E402" s="13">
        <v>1752329</v>
      </c>
      <c r="F402" s="18">
        <v>1822496</v>
      </c>
      <c r="G402" s="13"/>
      <c r="H402" s="18"/>
      <c r="I402" s="13"/>
      <c r="J402" s="18"/>
      <c r="K402" s="13"/>
      <c r="L402" s="13"/>
      <c r="M402" s="13"/>
      <c r="N402" s="13"/>
      <c r="O402" s="13"/>
      <c r="P402" s="2"/>
      <c r="Q402" s="2"/>
    </row>
    <row r="403" spans="1:17" ht="12.75">
      <c r="A403" s="1" t="s">
        <v>991</v>
      </c>
      <c r="B403" s="12" t="s">
        <v>1044</v>
      </c>
      <c r="C403" s="165" t="s">
        <v>1045</v>
      </c>
      <c r="D403" s="170" t="s">
        <v>170</v>
      </c>
      <c r="E403" s="13">
        <v>2442269</v>
      </c>
      <c r="F403" s="18">
        <v>2523910</v>
      </c>
      <c r="G403" s="13"/>
      <c r="H403" s="18"/>
      <c r="I403" s="13"/>
      <c r="J403" s="18"/>
      <c r="K403" s="13"/>
      <c r="L403" s="13"/>
      <c r="M403" s="13"/>
      <c r="N403" s="13"/>
      <c r="O403" s="13"/>
      <c r="P403" s="2"/>
      <c r="Q403" s="2"/>
    </row>
    <row r="404" spans="1:17" ht="12.75">
      <c r="A404" s="1" t="s">
        <v>991</v>
      </c>
      <c r="B404" s="12" t="s">
        <v>1046</v>
      </c>
      <c r="C404" s="165" t="s">
        <v>1047</v>
      </c>
      <c r="D404" s="170" t="s">
        <v>170</v>
      </c>
      <c r="E404" s="13">
        <v>1882009</v>
      </c>
      <c r="F404" s="18">
        <v>1956004</v>
      </c>
      <c r="G404" s="13"/>
      <c r="H404" s="18"/>
      <c r="I404" s="13"/>
      <c r="J404" s="18"/>
      <c r="K404" s="13"/>
      <c r="L404" s="13"/>
      <c r="M404" s="13"/>
      <c r="N404" s="13"/>
      <c r="O404" s="13"/>
      <c r="P404" s="2"/>
      <c r="Q404" s="2"/>
    </row>
    <row r="405" spans="1:17" ht="12.75">
      <c r="A405" s="1" t="s">
        <v>991</v>
      </c>
      <c r="B405" s="12" t="s">
        <v>1048</v>
      </c>
      <c r="C405" s="165" t="s">
        <v>1049</v>
      </c>
      <c r="D405" s="170" t="s">
        <v>170</v>
      </c>
      <c r="E405" s="13">
        <v>3475211</v>
      </c>
      <c r="F405" s="18">
        <v>3651547</v>
      </c>
      <c r="G405" s="13"/>
      <c r="H405" s="18"/>
      <c r="I405" s="13"/>
      <c r="J405" s="18"/>
      <c r="K405" s="13"/>
      <c r="L405" s="13"/>
      <c r="M405" s="13"/>
      <c r="N405" s="13"/>
      <c r="O405" s="13"/>
      <c r="P405" s="2"/>
      <c r="Q405" s="2"/>
    </row>
    <row r="406" spans="1:17" ht="12.75">
      <c r="A406" s="1" t="s">
        <v>991</v>
      </c>
      <c r="B406" s="12" t="s">
        <v>1050</v>
      </c>
      <c r="C406" s="165" t="s">
        <v>1051</v>
      </c>
      <c r="D406" s="170" t="s">
        <v>170</v>
      </c>
      <c r="E406" s="13">
        <v>933544</v>
      </c>
      <c r="F406" s="18">
        <v>970842</v>
      </c>
      <c r="G406" s="13"/>
      <c r="H406" s="18"/>
      <c r="I406" s="13"/>
      <c r="J406" s="18"/>
      <c r="K406" s="13"/>
      <c r="L406" s="13"/>
      <c r="M406" s="13"/>
      <c r="N406" s="13"/>
      <c r="O406" s="13"/>
      <c r="P406" s="2"/>
      <c r="Q406" s="2"/>
    </row>
    <row r="407" spans="1:17" ht="12.75">
      <c r="A407" s="1" t="s">
        <v>991</v>
      </c>
      <c r="B407" s="12" t="s">
        <v>1052</v>
      </c>
      <c r="C407" s="165" t="s">
        <v>1053</v>
      </c>
      <c r="D407" s="170" t="s">
        <v>170</v>
      </c>
      <c r="E407" s="13">
        <v>1485200</v>
      </c>
      <c r="F407" s="18">
        <v>1333607</v>
      </c>
      <c r="G407" s="13">
        <v>199875</v>
      </c>
      <c r="H407" s="18">
        <v>225000</v>
      </c>
      <c r="I407" s="13"/>
      <c r="J407" s="18"/>
      <c r="K407" s="13"/>
      <c r="L407" s="13"/>
      <c r="M407" s="13"/>
      <c r="N407" s="13"/>
      <c r="O407" s="13"/>
      <c r="P407" s="2"/>
      <c r="Q407" s="2"/>
    </row>
    <row r="408" spans="1:17" ht="12.75">
      <c r="A408" s="1" t="s">
        <v>991</v>
      </c>
      <c r="B408" s="12" t="s">
        <v>1054</v>
      </c>
      <c r="C408" s="165" t="s">
        <v>1055</v>
      </c>
      <c r="D408" s="170" t="s">
        <v>170</v>
      </c>
      <c r="E408" s="13">
        <v>6984172</v>
      </c>
      <c r="F408" s="18">
        <v>6785599</v>
      </c>
      <c r="G408" s="13">
        <v>1574391</v>
      </c>
      <c r="H408" s="18">
        <v>1648627</v>
      </c>
      <c r="I408" s="13"/>
      <c r="J408" s="18"/>
      <c r="K408" s="13"/>
      <c r="L408" s="13"/>
      <c r="M408" s="13"/>
      <c r="N408" s="13"/>
      <c r="O408" s="13"/>
      <c r="P408" s="2"/>
      <c r="Q408" s="2"/>
    </row>
    <row r="409" spans="1:17" ht="12.75">
      <c r="A409" s="1" t="s">
        <v>991</v>
      </c>
      <c r="B409" s="12" t="s">
        <v>1056</v>
      </c>
      <c r="C409" s="165" t="s">
        <v>1057</v>
      </c>
      <c r="D409" s="170" t="s">
        <v>305</v>
      </c>
      <c r="E409" s="13">
        <v>79220571</v>
      </c>
      <c r="F409" s="18"/>
      <c r="G409" s="13"/>
      <c r="H409" s="18"/>
      <c r="I409" s="13"/>
      <c r="J409" s="18">
        <v>83000670</v>
      </c>
      <c r="K409" s="13"/>
      <c r="L409" s="13"/>
      <c r="M409" s="13"/>
      <c r="N409" s="13">
        <f>3656+2186</f>
        <v>5842</v>
      </c>
      <c r="O409" s="13">
        <f>3341+2131</f>
        <v>5472</v>
      </c>
      <c r="P409" s="13">
        <f>3924+2491</f>
        <v>6415</v>
      </c>
      <c r="Q409" s="2"/>
    </row>
    <row r="410" spans="1:17" ht="12.75">
      <c r="A410" s="1" t="s">
        <v>1058</v>
      </c>
      <c r="B410" s="12" t="s">
        <v>1059</v>
      </c>
      <c r="C410" s="165" t="s">
        <v>1060</v>
      </c>
      <c r="D410" s="171" t="s">
        <v>131</v>
      </c>
      <c r="E410" s="13">
        <v>145992200</v>
      </c>
      <c r="F410" s="18">
        <v>153605997</v>
      </c>
      <c r="G410" s="13"/>
      <c r="H410" s="18"/>
      <c r="I410" s="13"/>
      <c r="J410" s="18"/>
      <c r="K410" s="13">
        <v>6244400</v>
      </c>
      <c r="L410" s="13"/>
      <c r="M410" s="13">
        <v>20795500</v>
      </c>
      <c r="N410" s="13">
        <v>17928600</v>
      </c>
      <c r="O410" s="13"/>
      <c r="P410" s="2"/>
      <c r="Q410" s="2"/>
    </row>
    <row r="411" spans="1:17" ht="12.75">
      <c r="A411" s="1" t="s">
        <v>1058</v>
      </c>
      <c r="B411" s="12" t="s">
        <v>1061</v>
      </c>
      <c r="C411" s="165" t="s">
        <v>1062</v>
      </c>
      <c r="D411" s="171" t="s">
        <v>136</v>
      </c>
      <c r="E411" s="13">
        <v>90637200</v>
      </c>
      <c r="F411" s="18">
        <v>93477423</v>
      </c>
      <c r="G411" s="13"/>
      <c r="H411" s="18"/>
      <c r="I411" s="13"/>
      <c r="J411" s="18"/>
      <c r="K411" s="13"/>
      <c r="L411" s="13"/>
      <c r="M411" s="13"/>
      <c r="N411" s="13"/>
      <c r="O411" s="13"/>
      <c r="P411" s="2"/>
      <c r="Q411" s="2"/>
    </row>
    <row r="412" spans="1:17" ht="12.75">
      <c r="A412" s="1" t="s">
        <v>1058</v>
      </c>
      <c r="B412" s="12" t="s">
        <v>1063</v>
      </c>
      <c r="C412" s="165" t="s">
        <v>1064</v>
      </c>
      <c r="D412" s="171" t="s">
        <v>139</v>
      </c>
      <c r="E412" s="13">
        <v>44473100</v>
      </c>
      <c r="F412" s="18">
        <v>45885271</v>
      </c>
      <c r="G412" s="13"/>
      <c r="H412" s="18"/>
      <c r="I412" s="13">
        <f>18740100+2773200</f>
        <v>21513300</v>
      </c>
      <c r="J412" s="18">
        <v>22553600</v>
      </c>
      <c r="K412" s="13"/>
      <c r="L412" s="13"/>
      <c r="M412" s="13"/>
      <c r="N412" s="13"/>
      <c r="O412" s="13"/>
      <c r="P412" s="2"/>
      <c r="Q412" s="2"/>
    </row>
    <row r="413" spans="1:17" ht="12.75">
      <c r="A413" s="1" t="s">
        <v>1058</v>
      </c>
      <c r="B413" s="12" t="s">
        <v>1065</v>
      </c>
      <c r="C413" s="165" t="s">
        <v>1066</v>
      </c>
      <c r="D413" s="171" t="s">
        <v>139</v>
      </c>
      <c r="E413" s="13">
        <v>61019900</v>
      </c>
      <c r="F413" s="18">
        <v>63233850</v>
      </c>
      <c r="G413" s="13"/>
      <c r="H413" s="18"/>
      <c r="I413" s="13">
        <f>18740100+2773200</f>
        <v>21513300</v>
      </c>
      <c r="J413" s="18"/>
      <c r="K413" s="13"/>
      <c r="L413" s="13"/>
      <c r="M413" s="13"/>
      <c r="N413" s="13"/>
      <c r="O413" s="13"/>
      <c r="P413" s="2"/>
      <c r="Q413" s="2"/>
    </row>
    <row r="414" spans="1:17" ht="12.75">
      <c r="A414" s="1" t="s">
        <v>1058</v>
      </c>
      <c r="B414" s="12" t="s">
        <v>1067</v>
      </c>
      <c r="C414" s="165" t="s">
        <v>1068</v>
      </c>
      <c r="D414" s="171" t="s">
        <v>139</v>
      </c>
      <c r="E414" s="13">
        <v>30900700</v>
      </c>
      <c r="F414" s="18">
        <v>32236900</v>
      </c>
      <c r="G414" s="13"/>
      <c r="H414" s="18"/>
      <c r="I414" s="13"/>
      <c r="J414" s="18"/>
      <c r="K414" s="13"/>
      <c r="L414" s="13"/>
      <c r="M414" s="13"/>
      <c r="N414" s="13"/>
      <c r="O414" s="13"/>
      <c r="P414" s="2"/>
      <c r="Q414" s="2"/>
    </row>
    <row r="415" spans="1:17" ht="12.75">
      <c r="A415" s="1" t="s">
        <v>1058</v>
      </c>
      <c r="B415" s="12" t="s">
        <v>1069</v>
      </c>
      <c r="C415" s="165" t="s">
        <v>1070</v>
      </c>
      <c r="D415" s="171" t="s">
        <v>148</v>
      </c>
      <c r="E415" s="13">
        <v>24980600</v>
      </c>
      <c r="F415" s="18">
        <v>26089530</v>
      </c>
      <c r="G415" s="13"/>
      <c r="H415" s="18"/>
      <c r="I415" s="13"/>
      <c r="J415" s="18"/>
      <c r="K415" s="13"/>
      <c r="L415" s="13"/>
      <c r="M415" s="13"/>
      <c r="N415" s="13"/>
      <c r="O415" s="13"/>
      <c r="P415" s="2"/>
      <c r="Q415" s="2"/>
    </row>
    <row r="416" spans="1:17" ht="12.75">
      <c r="A416" s="1" t="s">
        <v>1058</v>
      </c>
      <c r="B416" s="12" t="s">
        <v>1071</v>
      </c>
      <c r="C416" s="165" t="s">
        <v>1072</v>
      </c>
      <c r="D416" s="171" t="s">
        <v>148</v>
      </c>
      <c r="E416" s="13">
        <v>37870100</v>
      </c>
      <c r="F416" s="18">
        <v>42063446</v>
      </c>
      <c r="G416" s="13"/>
      <c r="H416" s="18"/>
      <c r="I416" s="13"/>
      <c r="J416" s="18"/>
      <c r="K416" s="13"/>
      <c r="L416" s="13"/>
      <c r="M416" s="13"/>
      <c r="N416" s="13"/>
      <c r="O416" s="13"/>
      <c r="P416" s="2"/>
      <c r="Q416" s="2"/>
    </row>
    <row r="417" spans="1:17" ht="12.75">
      <c r="A417" s="1" t="s">
        <v>1058</v>
      </c>
      <c r="B417" s="12" t="s">
        <v>1073</v>
      </c>
      <c r="C417" s="165" t="s">
        <v>1074</v>
      </c>
      <c r="D417" s="171" t="s">
        <v>148</v>
      </c>
      <c r="E417" s="13">
        <v>31937100</v>
      </c>
      <c r="F417" s="18">
        <v>33447544</v>
      </c>
      <c r="G417" s="13"/>
      <c r="H417" s="18"/>
      <c r="I417" s="13"/>
      <c r="J417" s="18"/>
      <c r="K417" s="13"/>
      <c r="L417" s="13"/>
      <c r="M417" s="13"/>
      <c r="N417" s="13"/>
      <c r="O417" s="13"/>
      <c r="P417" s="2"/>
      <c r="Q417" s="2"/>
    </row>
    <row r="418" spans="1:17" ht="12.75">
      <c r="A418" s="1" t="s">
        <v>1058</v>
      </c>
      <c r="B418" s="12" t="s">
        <v>1075</v>
      </c>
      <c r="C418" s="165" t="s">
        <v>1076</v>
      </c>
      <c r="D418" s="171" t="s">
        <v>157</v>
      </c>
      <c r="E418" s="13">
        <v>24491600</v>
      </c>
      <c r="F418" s="18">
        <v>25324348</v>
      </c>
      <c r="G418" s="13"/>
      <c r="H418" s="18"/>
      <c r="I418" s="13"/>
      <c r="J418" s="18"/>
      <c r="K418" s="13"/>
      <c r="L418" s="13"/>
      <c r="M418" s="13"/>
      <c r="N418" s="13"/>
      <c r="O418" s="13"/>
      <c r="P418" s="2"/>
      <c r="Q418" s="2"/>
    </row>
    <row r="419" spans="1:17" ht="12.75">
      <c r="A419" s="1" t="s">
        <v>1058</v>
      </c>
      <c r="B419" s="12" t="s">
        <v>1077</v>
      </c>
      <c r="C419" s="165" t="s">
        <v>1078</v>
      </c>
      <c r="D419" s="171" t="s">
        <v>170</v>
      </c>
      <c r="E419" s="13">
        <v>18100300</v>
      </c>
      <c r="F419" s="18">
        <v>18360600</v>
      </c>
      <c r="G419" s="13"/>
      <c r="H419" s="18"/>
      <c r="I419" s="13"/>
      <c r="J419" s="18"/>
      <c r="K419" s="13"/>
      <c r="L419" s="13"/>
      <c r="M419" s="13"/>
      <c r="N419" s="13"/>
      <c r="O419" s="13"/>
      <c r="P419" s="2"/>
      <c r="Q419" s="2"/>
    </row>
    <row r="420" spans="1:17" ht="12.75">
      <c r="A420" s="1" t="s">
        <v>1058</v>
      </c>
      <c r="B420" s="12" t="s">
        <v>1079</v>
      </c>
      <c r="C420" s="165" t="s">
        <v>1080</v>
      </c>
      <c r="D420" s="171" t="s">
        <v>170</v>
      </c>
      <c r="E420" s="13">
        <v>8054800</v>
      </c>
      <c r="F420" s="18">
        <v>8220900</v>
      </c>
      <c r="G420" s="13"/>
      <c r="H420" s="18"/>
      <c r="I420" s="13"/>
      <c r="J420" s="18"/>
      <c r="K420" s="13"/>
      <c r="L420" s="13"/>
      <c r="M420" s="13"/>
      <c r="N420" s="13"/>
      <c r="O420" s="13"/>
      <c r="P420" s="2"/>
      <c r="Q420" s="2"/>
    </row>
    <row r="421" spans="1:17" ht="12.75">
      <c r="A421" s="1" t="s">
        <v>1058</v>
      </c>
      <c r="B421" s="12" t="s">
        <v>1081</v>
      </c>
      <c r="C421" s="165" t="s">
        <v>1082</v>
      </c>
      <c r="D421" s="171" t="s">
        <v>170</v>
      </c>
      <c r="E421" s="13">
        <v>8269800</v>
      </c>
      <c r="F421" s="18">
        <v>8450500</v>
      </c>
      <c r="G421" s="13"/>
      <c r="H421" s="18"/>
      <c r="I421" s="13"/>
      <c r="J421" s="18"/>
      <c r="K421" s="13"/>
      <c r="L421" s="13"/>
      <c r="M421" s="13"/>
      <c r="N421" s="13"/>
      <c r="O421" s="13"/>
      <c r="P421" s="2"/>
      <c r="Q421" s="2"/>
    </row>
    <row r="422" spans="1:17" ht="12.75">
      <c r="A422" s="1" t="s">
        <v>1058</v>
      </c>
      <c r="B422" s="12" t="s">
        <v>1083</v>
      </c>
      <c r="C422" s="165" t="s">
        <v>1084</v>
      </c>
      <c r="D422" s="171" t="s">
        <v>170</v>
      </c>
      <c r="E422" s="13">
        <v>4888900</v>
      </c>
      <c r="F422" s="18">
        <v>4936200</v>
      </c>
      <c r="G422" s="13"/>
      <c r="H422" s="18"/>
      <c r="I422" s="13"/>
      <c r="J422" s="18"/>
      <c r="K422" s="13"/>
      <c r="L422" s="13"/>
      <c r="M422" s="13"/>
      <c r="N422" s="13"/>
      <c r="O422" s="13"/>
      <c r="P422" s="2"/>
      <c r="Q422" s="2"/>
    </row>
    <row r="423" spans="1:17" ht="12.75">
      <c r="A423" s="1" t="s">
        <v>1058</v>
      </c>
      <c r="B423" s="12" t="s">
        <v>1085</v>
      </c>
      <c r="C423" s="165" t="s">
        <v>1086</v>
      </c>
      <c r="D423" s="171" t="s">
        <v>170</v>
      </c>
      <c r="E423" s="13">
        <v>8066000</v>
      </c>
      <c r="F423" s="18">
        <v>8257200</v>
      </c>
      <c r="G423" s="13"/>
      <c r="H423" s="18"/>
      <c r="I423" s="13"/>
      <c r="J423" s="18"/>
      <c r="K423" s="13"/>
      <c r="L423" s="13"/>
      <c r="M423" s="13"/>
      <c r="N423" s="13"/>
      <c r="O423" s="13"/>
      <c r="P423" s="2"/>
      <c r="Q423" s="2"/>
    </row>
    <row r="424" spans="1:17" ht="12.75">
      <c r="A424" s="1" t="s">
        <v>1058</v>
      </c>
      <c r="B424" s="12" t="s">
        <v>1087</v>
      </c>
      <c r="C424" s="165" t="s">
        <v>1088</v>
      </c>
      <c r="D424" s="171" t="s">
        <v>170</v>
      </c>
      <c r="E424" s="13">
        <v>7152300</v>
      </c>
      <c r="F424" s="18">
        <v>7314400</v>
      </c>
      <c r="G424" s="13"/>
      <c r="H424" s="18"/>
      <c r="I424" s="13"/>
      <c r="J424" s="18"/>
      <c r="K424" s="13"/>
      <c r="L424" s="13"/>
      <c r="M424" s="13"/>
      <c r="N424" s="13"/>
      <c r="O424" s="13"/>
      <c r="P424" s="2"/>
      <c r="Q424" s="2"/>
    </row>
    <row r="425" spans="1:17" ht="12.75">
      <c r="A425" s="1" t="s">
        <v>1058</v>
      </c>
      <c r="B425" s="12" t="s">
        <v>1089</v>
      </c>
      <c r="C425" s="165" t="s">
        <v>1090</v>
      </c>
      <c r="D425" s="171" t="s">
        <v>170</v>
      </c>
      <c r="E425" s="13">
        <v>9580600</v>
      </c>
      <c r="F425" s="18">
        <v>9809400</v>
      </c>
      <c r="G425" s="13"/>
      <c r="H425" s="18"/>
      <c r="I425" s="13"/>
      <c r="J425" s="18"/>
      <c r="K425" s="13"/>
      <c r="L425" s="13"/>
      <c r="M425" s="13"/>
      <c r="N425" s="13"/>
      <c r="O425" s="13"/>
      <c r="P425" s="2"/>
      <c r="Q425" s="2"/>
    </row>
    <row r="426" spans="1:17" ht="12.75">
      <c r="A426" s="1" t="s">
        <v>1058</v>
      </c>
      <c r="B426" s="12" t="s">
        <v>1091</v>
      </c>
      <c r="C426" s="165" t="s">
        <v>1092</v>
      </c>
      <c r="D426" s="171" t="s">
        <v>170</v>
      </c>
      <c r="E426" s="13">
        <v>7314500</v>
      </c>
      <c r="F426" s="18">
        <v>7474100</v>
      </c>
      <c r="G426" s="13"/>
      <c r="H426" s="18"/>
      <c r="I426" s="13"/>
      <c r="J426" s="18"/>
      <c r="K426" s="13"/>
      <c r="L426" s="13"/>
      <c r="M426" s="13"/>
      <c r="N426" s="13"/>
      <c r="O426" s="13"/>
      <c r="P426" s="2"/>
      <c r="Q426" s="2"/>
    </row>
    <row r="427" spans="1:17" ht="12.75">
      <c r="A427" s="1" t="s">
        <v>1058</v>
      </c>
      <c r="B427" s="12" t="s">
        <v>1093</v>
      </c>
      <c r="C427" s="165" t="s">
        <v>1094</v>
      </c>
      <c r="D427" s="171" t="s">
        <v>170</v>
      </c>
      <c r="E427" s="13">
        <v>14953100</v>
      </c>
      <c r="F427" s="18">
        <v>15192200</v>
      </c>
      <c r="G427" s="12"/>
      <c r="H427" s="18"/>
      <c r="I427" s="13"/>
      <c r="J427" s="18"/>
      <c r="K427" s="13"/>
      <c r="L427" s="13"/>
      <c r="M427" s="13"/>
      <c r="N427" s="13"/>
      <c r="O427" s="13"/>
      <c r="P427" s="2"/>
      <c r="Q427" s="2"/>
    </row>
    <row r="428" spans="1:17" ht="12.75">
      <c r="A428" s="1" t="s">
        <v>1058</v>
      </c>
      <c r="B428" s="12" t="s">
        <v>1095</v>
      </c>
      <c r="C428" s="165" t="s">
        <v>1096</v>
      </c>
      <c r="D428" s="171" t="s">
        <v>170</v>
      </c>
      <c r="E428" s="13">
        <v>13367100</v>
      </c>
      <c r="F428" s="18">
        <v>13598600</v>
      </c>
      <c r="G428" s="12"/>
      <c r="H428" s="18"/>
      <c r="I428" s="13"/>
      <c r="J428" s="18"/>
      <c r="K428" s="13"/>
      <c r="L428" s="13"/>
      <c r="M428" s="13"/>
      <c r="N428" s="13"/>
      <c r="O428" s="13"/>
      <c r="P428" s="2"/>
      <c r="Q428" s="2"/>
    </row>
    <row r="429" spans="1:17" ht="12.75">
      <c r="A429" s="1" t="s">
        <v>1058</v>
      </c>
      <c r="B429" s="12" t="s">
        <v>1097</v>
      </c>
      <c r="C429" s="165" t="s">
        <v>1098</v>
      </c>
      <c r="D429" s="171" t="s">
        <v>170</v>
      </c>
      <c r="E429" s="13">
        <v>15741100</v>
      </c>
      <c r="F429" s="18">
        <v>15971400</v>
      </c>
      <c r="G429" s="12"/>
      <c r="H429" s="18"/>
      <c r="I429" s="13"/>
      <c r="J429" s="18"/>
      <c r="K429" s="13"/>
      <c r="L429" s="13"/>
      <c r="M429" s="13"/>
      <c r="N429" s="13"/>
      <c r="O429" s="13"/>
      <c r="P429" s="2"/>
      <c r="Q429" s="2"/>
    </row>
    <row r="430" spans="1:17" ht="12.75">
      <c r="A430" s="1" t="s">
        <v>1058</v>
      </c>
      <c r="B430" s="12" t="s">
        <v>1099</v>
      </c>
      <c r="C430" s="165" t="s">
        <v>1100</v>
      </c>
      <c r="D430" s="171" t="s">
        <v>170</v>
      </c>
      <c r="E430" s="13">
        <v>17825200</v>
      </c>
      <c r="F430" s="18">
        <v>18079900</v>
      </c>
      <c r="G430" s="12"/>
      <c r="H430" s="18"/>
      <c r="I430" s="13"/>
      <c r="J430" s="18"/>
      <c r="K430" s="13"/>
      <c r="L430" s="13"/>
      <c r="M430" s="13"/>
      <c r="N430" s="13"/>
      <c r="O430" s="13"/>
      <c r="P430" s="2"/>
      <c r="Q430" s="2"/>
    </row>
    <row r="431" spans="1:17" ht="12.75">
      <c r="A431" s="1" t="s">
        <v>1058</v>
      </c>
      <c r="B431" s="12" t="s">
        <v>1101</v>
      </c>
      <c r="C431" s="165" t="s">
        <v>1102</v>
      </c>
      <c r="D431" s="171" t="s">
        <v>170</v>
      </c>
      <c r="E431" s="13">
        <v>11271300</v>
      </c>
      <c r="F431" s="18">
        <v>11502800</v>
      </c>
      <c r="G431" s="12"/>
      <c r="H431" s="18"/>
      <c r="I431" s="13"/>
      <c r="J431" s="18"/>
      <c r="K431" s="13"/>
      <c r="L431" s="13"/>
      <c r="M431" s="13"/>
      <c r="N431" s="13"/>
      <c r="O431" s="13"/>
      <c r="P431" s="2"/>
      <c r="Q431" s="2"/>
    </row>
    <row r="432" spans="1:17" ht="12.75">
      <c r="A432" s="1" t="s">
        <v>1058</v>
      </c>
      <c r="B432" s="12" t="s">
        <v>1103</v>
      </c>
      <c r="C432" s="165" t="s">
        <v>1104</v>
      </c>
      <c r="D432" s="171" t="s">
        <v>170</v>
      </c>
      <c r="E432" s="13">
        <v>12173700</v>
      </c>
      <c r="F432" s="18">
        <v>12407800</v>
      </c>
      <c r="G432" s="12"/>
      <c r="H432" s="18"/>
      <c r="I432" s="13"/>
      <c r="J432" s="18"/>
      <c r="K432" s="13"/>
      <c r="L432" s="13"/>
      <c r="M432" s="13"/>
      <c r="N432" s="13"/>
      <c r="O432" s="13"/>
      <c r="P432" s="2"/>
      <c r="Q432" s="2"/>
    </row>
    <row r="433" spans="1:17" ht="12.75">
      <c r="A433" s="1" t="s">
        <v>1058</v>
      </c>
      <c r="B433" s="12" t="s">
        <v>1105</v>
      </c>
      <c r="C433" s="165" t="s">
        <v>1106</v>
      </c>
      <c r="D433" s="171" t="s">
        <v>215</v>
      </c>
      <c r="E433" s="13">
        <v>782600</v>
      </c>
      <c r="F433" s="18">
        <v>788400</v>
      </c>
      <c r="G433" s="12"/>
      <c r="H433" s="18"/>
      <c r="I433" s="13"/>
      <c r="J433" s="18"/>
      <c r="K433" s="13"/>
      <c r="L433" s="13"/>
      <c r="M433" s="13"/>
      <c r="N433" s="13"/>
      <c r="O433" s="13"/>
      <c r="P433" s="2"/>
      <c r="Q433" s="2"/>
    </row>
    <row r="434" spans="1:17" ht="12.75">
      <c r="A434" s="1" t="s">
        <v>1058</v>
      </c>
      <c r="B434" s="12" t="s">
        <v>1107</v>
      </c>
      <c r="C434" s="40" t="s">
        <v>298</v>
      </c>
      <c r="D434" s="171" t="s">
        <v>215</v>
      </c>
      <c r="E434" s="12">
        <v>1821500</v>
      </c>
      <c r="F434" s="18">
        <v>1853300</v>
      </c>
      <c r="G434" s="13"/>
      <c r="H434" s="18"/>
      <c r="I434" s="13"/>
      <c r="J434" s="18"/>
      <c r="K434" s="13"/>
      <c r="L434" s="13"/>
      <c r="M434" s="13"/>
      <c r="N434" s="13"/>
      <c r="O434" s="13"/>
      <c r="P434" s="2"/>
      <c r="Q434" s="2"/>
    </row>
    <row r="435" spans="1:17" ht="12.75">
      <c r="A435" s="1" t="s">
        <v>1058</v>
      </c>
      <c r="B435" s="12" t="s">
        <v>1108</v>
      </c>
      <c r="C435" s="165" t="s">
        <v>1109</v>
      </c>
      <c r="D435" s="171" t="s">
        <v>215</v>
      </c>
      <c r="E435" s="13">
        <v>646900</v>
      </c>
      <c r="F435" s="18">
        <v>651900</v>
      </c>
      <c r="G435" s="12"/>
      <c r="H435" s="18"/>
      <c r="I435" s="13"/>
      <c r="J435" s="18"/>
      <c r="K435" s="13"/>
      <c r="L435" s="13"/>
      <c r="M435" s="13"/>
      <c r="N435" s="13"/>
      <c r="O435" s="13"/>
      <c r="P435" s="2"/>
      <c r="Q435" s="2"/>
    </row>
    <row r="436" spans="1:17" ht="12.75">
      <c r="A436" s="1" t="s">
        <v>1058</v>
      </c>
      <c r="B436" s="12" t="s">
        <v>1110</v>
      </c>
      <c r="C436" s="165" t="s">
        <v>1111</v>
      </c>
      <c r="D436" s="171" t="s">
        <v>215</v>
      </c>
      <c r="E436" s="13">
        <v>1271700</v>
      </c>
      <c r="F436" s="18">
        <v>1283900</v>
      </c>
      <c r="G436" s="12"/>
      <c r="H436" s="18"/>
      <c r="I436" s="13"/>
      <c r="J436" s="18"/>
      <c r="K436" s="13"/>
      <c r="L436" s="13"/>
      <c r="M436" s="13"/>
      <c r="N436" s="13"/>
      <c r="O436" s="13"/>
      <c r="P436" s="2"/>
      <c r="Q436" s="2"/>
    </row>
    <row r="437" spans="1:17" ht="12.75">
      <c r="A437" s="1" t="s">
        <v>1058</v>
      </c>
      <c r="B437" s="12" t="s">
        <v>1112</v>
      </c>
      <c r="C437" s="165" t="s">
        <v>1113</v>
      </c>
      <c r="D437" s="171" t="s">
        <v>215</v>
      </c>
      <c r="E437" s="13">
        <v>857900</v>
      </c>
      <c r="F437" s="18">
        <v>864500</v>
      </c>
      <c r="G437" s="12"/>
      <c r="H437" s="18"/>
      <c r="I437" s="13"/>
      <c r="J437" s="18"/>
      <c r="K437" s="13"/>
      <c r="L437" s="13"/>
      <c r="M437" s="13"/>
      <c r="N437" s="13"/>
      <c r="O437" s="13"/>
      <c r="P437" s="2"/>
      <c r="Q437" s="2"/>
    </row>
    <row r="438" spans="1:17" ht="12.75">
      <c r="A438" s="1" t="s">
        <v>1058</v>
      </c>
      <c r="B438" s="12" t="s">
        <v>1114</v>
      </c>
      <c r="C438" s="165" t="s">
        <v>1115</v>
      </c>
      <c r="D438" s="171" t="s">
        <v>215</v>
      </c>
      <c r="E438" s="13">
        <v>1030200</v>
      </c>
      <c r="F438" s="18">
        <v>1080300</v>
      </c>
      <c r="G438" s="12"/>
      <c r="H438" s="18"/>
      <c r="I438" s="13"/>
      <c r="J438" s="18"/>
      <c r="K438" s="13"/>
      <c r="L438" s="13"/>
      <c r="M438" s="13"/>
      <c r="N438" s="13"/>
      <c r="O438" s="13"/>
      <c r="P438" s="2"/>
      <c r="Q438" s="2"/>
    </row>
    <row r="439" spans="1:17" ht="12.75">
      <c r="A439" s="1" t="s">
        <v>1058</v>
      </c>
      <c r="B439" s="12" t="s">
        <v>1116</v>
      </c>
      <c r="C439" s="165" t="s">
        <v>1117</v>
      </c>
      <c r="D439" s="171" t="s">
        <v>215</v>
      </c>
      <c r="E439" s="13">
        <v>711500</v>
      </c>
      <c r="F439" s="18">
        <v>719000</v>
      </c>
      <c r="G439" s="12"/>
      <c r="H439" s="18"/>
      <c r="I439" s="13"/>
      <c r="J439" s="18"/>
      <c r="K439" s="13"/>
      <c r="L439" s="13"/>
      <c r="M439" s="13"/>
      <c r="N439" s="13"/>
      <c r="O439" s="13"/>
      <c r="P439" s="2"/>
      <c r="Q439" s="2"/>
    </row>
    <row r="440" spans="1:17" ht="12.75">
      <c r="A440" s="1" t="s">
        <v>1058</v>
      </c>
      <c r="B440" s="12" t="s">
        <v>1118</v>
      </c>
      <c r="C440" s="165" t="s">
        <v>1119</v>
      </c>
      <c r="D440" s="171" t="s">
        <v>215</v>
      </c>
      <c r="E440" s="13">
        <v>802500</v>
      </c>
      <c r="F440" s="18">
        <v>810600</v>
      </c>
      <c r="G440" s="12"/>
      <c r="H440" s="18"/>
      <c r="I440" s="13"/>
      <c r="J440" s="18"/>
      <c r="K440" s="13"/>
      <c r="L440" s="13"/>
      <c r="M440" s="13"/>
      <c r="N440" s="13"/>
      <c r="O440" s="13"/>
      <c r="P440" s="2"/>
      <c r="Q440" s="2"/>
    </row>
    <row r="441" spans="1:17" ht="12.75">
      <c r="A441" s="1" t="s">
        <v>1058</v>
      </c>
      <c r="B441" s="12" t="s">
        <v>1120</v>
      </c>
      <c r="C441" s="165" t="s">
        <v>1121</v>
      </c>
      <c r="D441" s="171" t="s">
        <v>215</v>
      </c>
      <c r="E441" s="13">
        <v>600200</v>
      </c>
      <c r="F441" s="18">
        <v>605400</v>
      </c>
      <c r="G441" s="13"/>
      <c r="H441" s="18"/>
      <c r="I441" s="13"/>
      <c r="J441" s="18"/>
      <c r="K441" s="13"/>
      <c r="L441" s="13"/>
      <c r="M441" s="13"/>
      <c r="N441" s="13"/>
      <c r="O441" s="13"/>
      <c r="P441" s="2"/>
      <c r="Q441" s="2"/>
    </row>
    <row r="442" spans="1:17" ht="12.75">
      <c r="A442" s="1" t="s">
        <v>1058</v>
      </c>
      <c r="B442" s="12" t="s">
        <v>1122</v>
      </c>
      <c r="C442" s="165" t="s">
        <v>1123</v>
      </c>
      <c r="D442" s="171" t="s">
        <v>215</v>
      </c>
      <c r="E442" s="13">
        <v>792600</v>
      </c>
      <c r="F442" s="18">
        <v>797300</v>
      </c>
      <c r="G442" s="13"/>
      <c r="H442" s="18"/>
      <c r="I442" s="13"/>
      <c r="J442" s="18"/>
      <c r="K442" s="13"/>
      <c r="L442" s="13"/>
      <c r="M442" s="13"/>
      <c r="N442" s="13"/>
      <c r="O442" s="13"/>
      <c r="P442" s="2"/>
      <c r="Q442" s="2"/>
    </row>
    <row r="443" spans="1:17" ht="12.75">
      <c r="A443" s="1" t="s">
        <v>1058</v>
      </c>
      <c r="B443" s="12" t="s">
        <v>1124</v>
      </c>
      <c r="C443" s="165" t="s">
        <v>1125</v>
      </c>
      <c r="D443" s="171" t="s">
        <v>215</v>
      </c>
      <c r="E443" s="13">
        <v>803100</v>
      </c>
      <c r="F443" s="18">
        <v>812000</v>
      </c>
      <c r="G443" s="13"/>
      <c r="H443" s="18"/>
      <c r="I443" s="13"/>
      <c r="J443" s="18"/>
      <c r="K443" s="13"/>
      <c r="L443" s="13"/>
      <c r="M443" s="13"/>
      <c r="N443" s="13"/>
      <c r="O443" s="13"/>
      <c r="P443" s="2"/>
      <c r="Q443" s="2"/>
    </row>
    <row r="444" spans="1:17" ht="12.75">
      <c r="A444" s="1" t="s">
        <v>1058</v>
      </c>
      <c r="B444" s="12" t="s">
        <v>1126</v>
      </c>
      <c r="C444" s="165" t="s">
        <v>1127</v>
      </c>
      <c r="D444" s="171" t="s">
        <v>215</v>
      </c>
      <c r="E444" s="13">
        <v>1276200</v>
      </c>
      <c r="F444" s="18">
        <v>1335800</v>
      </c>
      <c r="G444" s="13"/>
      <c r="H444" s="18"/>
      <c r="I444" s="13"/>
      <c r="J444" s="18"/>
      <c r="K444" s="13"/>
      <c r="L444" s="13"/>
      <c r="M444" s="13"/>
      <c r="N444" s="13"/>
      <c r="O444" s="13"/>
      <c r="P444" s="2"/>
      <c r="Q444" s="2"/>
    </row>
    <row r="445" spans="1:17" ht="12.75">
      <c r="A445" s="1" t="s">
        <v>1058</v>
      </c>
      <c r="B445" s="12" t="s">
        <v>1128</v>
      </c>
      <c r="C445" s="165" t="s">
        <v>1129</v>
      </c>
      <c r="D445" s="171" t="s">
        <v>215</v>
      </c>
      <c r="E445" s="13">
        <v>1938900</v>
      </c>
      <c r="F445" s="18">
        <v>2018700</v>
      </c>
      <c r="G445" s="13"/>
      <c r="H445" s="18"/>
      <c r="I445" s="13"/>
      <c r="J445" s="18"/>
      <c r="K445" s="13"/>
      <c r="L445" s="13"/>
      <c r="M445" s="13"/>
      <c r="N445" s="13"/>
      <c r="O445" s="13"/>
      <c r="P445" s="2"/>
      <c r="Q445" s="2"/>
    </row>
    <row r="446" spans="1:17" ht="12.75">
      <c r="A446" s="1" t="s">
        <v>1058</v>
      </c>
      <c r="B446" s="12" t="s">
        <v>1130</v>
      </c>
      <c r="C446" s="165" t="s">
        <v>1131</v>
      </c>
      <c r="D446" s="171" t="s">
        <v>215</v>
      </c>
      <c r="E446" s="12">
        <v>1166700</v>
      </c>
      <c r="F446" s="18">
        <v>1174400</v>
      </c>
      <c r="G446" s="13"/>
      <c r="H446" s="18"/>
      <c r="I446" s="13"/>
      <c r="J446" s="18"/>
      <c r="K446" s="13"/>
      <c r="L446" s="13"/>
      <c r="M446" s="13"/>
      <c r="N446" s="13"/>
      <c r="O446" s="13"/>
      <c r="P446" s="2"/>
      <c r="Q446" s="2"/>
    </row>
    <row r="447" spans="1:17" ht="12.75">
      <c r="A447" s="1" t="s">
        <v>1058</v>
      </c>
      <c r="B447" s="12" t="s">
        <v>1132</v>
      </c>
      <c r="C447" s="165" t="s">
        <v>1133</v>
      </c>
      <c r="D447" s="171" t="s">
        <v>215</v>
      </c>
      <c r="E447" s="13">
        <v>699300</v>
      </c>
      <c r="F447" s="18">
        <v>705800</v>
      </c>
      <c r="G447" s="13"/>
      <c r="H447" s="18"/>
      <c r="I447" s="13"/>
      <c r="J447" s="18"/>
      <c r="K447" s="13"/>
      <c r="L447" s="13"/>
      <c r="M447" s="13"/>
      <c r="N447" s="13"/>
      <c r="O447" s="13"/>
      <c r="P447" s="2"/>
      <c r="Q447" s="2"/>
    </row>
    <row r="448" spans="1:17" ht="12.75">
      <c r="A448" s="1" t="s">
        <v>1058</v>
      </c>
      <c r="B448" s="12" t="s">
        <v>1134</v>
      </c>
      <c r="C448" s="165" t="s">
        <v>1135</v>
      </c>
      <c r="D448" s="171" t="s">
        <v>215</v>
      </c>
      <c r="E448" s="12">
        <v>844300</v>
      </c>
      <c r="F448" s="18">
        <v>852100</v>
      </c>
      <c r="G448" s="13"/>
      <c r="H448" s="18"/>
      <c r="I448" s="13"/>
      <c r="J448" s="18"/>
      <c r="K448" s="13"/>
      <c r="L448" s="13"/>
      <c r="M448" s="13"/>
      <c r="N448" s="13"/>
      <c r="O448" s="13"/>
      <c r="P448" s="2"/>
      <c r="Q448" s="2"/>
    </row>
    <row r="449" spans="1:17" ht="12.75">
      <c r="A449" s="1" t="s">
        <v>1058</v>
      </c>
      <c r="B449" s="12" t="s">
        <v>1136</v>
      </c>
      <c r="C449" s="165" t="s">
        <v>1137</v>
      </c>
      <c r="D449" s="171" t="s">
        <v>215</v>
      </c>
      <c r="E449" s="13">
        <v>2537300</v>
      </c>
      <c r="F449" s="18">
        <v>2540700</v>
      </c>
      <c r="G449" s="13"/>
      <c r="H449" s="18"/>
      <c r="I449" s="13"/>
      <c r="J449" s="18"/>
      <c r="K449" s="13"/>
      <c r="L449" s="13"/>
      <c r="M449" s="13"/>
      <c r="N449" s="13"/>
      <c r="O449" s="13"/>
      <c r="P449" s="2"/>
      <c r="Q449" s="2"/>
    </row>
    <row r="450" spans="1:17" ht="12.75">
      <c r="A450" s="1" t="s">
        <v>1058</v>
      </c>
      <c r="B450" s="12" t="s">
        <v>1138</v>
      </c>
      <c r="C450" s="165" t="s">
        <v>1139</v>
      </c>
      <c r="D450" s="171" t="s">
        <v>215</v>
      </c>
      <c r="E450" s="13">
        <v>2220600</v>
      </c>
      <c r="F450" s="18">
        <v>2234000</v>
      </c>
      <c r="G450" s="13"/>
      <c r="H450" s="18"/>
      <c r="I450" s="13"/>
      <c r="J450" s="18"/>
      <c r="K450" s="13"/>
      <c r="L450" s="13"/>
      <c r="M450" s="13"/>
      <c r="N450" s="13"/>
      <c r="O450" s="13"/>
      <c r="P450" s="2"/>
      <c r="Q450" s="2"/>
    </row>
    <row r="451" spans="1:17" ht="12.75">
      <c r="A451" s="1" t="s">
        <v>1058</v>
      </c>
      <c r="B451" s="12" t="s">
        <v>1140</v>
      </c>
      <c r="C451" s="165" t="s">
        <v>1141</v>
      </c>
      <c r="D451" s="171" t="s">
        <v>215</v>
      </c>
      <c r="E451" s="13">
        <v>741600</v>
      </c>
      <c r="F451" s="18">
        <v>720300</v>
      </c>
      <c r="G451" s="13"/>
      <c r="H451" s="18"/>
      <c r="I451" s="13"/>
      <c r="J451" s="18"/>
      <c r="K451" s="13"/>
      <c r="L451" s="13"/>
      <c r="M451" s="13"/>
      <c r="N451" s="13"/>
      <c r="O451" s="13"/>
      <c r="P451" s="2"/>
      <c r="Q451" s="2"/>
    </row>
    <row r="452" spans="1:17" ht="12.75">
      <c r="A452" s="1" t="s">
        <v>1058</v>
      </c>
      <c r="B452" s="12" t="s">
        <v>1142</v>
      </c>
      <c r="C452" s="165" t="s">
        <v>1143</v>
      </c>
      <c r="D452" s="171" t="s">
        <v>215</v>
      </c>
      <c r="E452" s="13">
        <v>2009300</v>
      </c>
      <c r="F452" s="18">
        <v>2036800</v>
      </c>
      <c r="G452" s="13"/>
      <c r="H452" s="18"/>
      <c r="I452" s="13"/>
      <c r="J452" s="18"/>
      <c r="K452" s="13"/>
      <c r="L452" s="13"/>
      <c r="M452" s="13"/>
      <c r="N452" s="13"/>
      <c r="O452" s="13"/>
      <c r="P452" s="2"/>
      <c r="Q452" s="2"/>
    </row>
    <row r="453" spans="1:17" ht="12.75">
      <c r="A453" s="1" t="s">
        <v>1058</v>
      </c>
      <c r="B453" s="12" t="s">
        <v>1144</v>
      </c>
      <c r="C453" s="165" t="s">
        <v>1145</v>
      </c>
      <c r="D453" s="171" t="s">
        <v>215</v>
      </c>
      <c r="E453" s="13">
        <v>751900</v>
      </c>
      <c r="F453" s="18">
        <v>760800</v>
      </c>
      <c r="G453" s="13"/>
      <c r="H453" s="18"/>
      <c r="I453" s="13"/>
      <c r="J453" s="18"/>
      <c r="K453" s="13"/>
      <c r="L453" s="13"/>
      <c r="M453" s="13"/>
      <c r="N453" s="13"/>
      <c r="O453" s="13"/>
      <c r="P453" s="2"/>
      <c r="Q453" s="2"/>
    </row>
    <row r="454" spans="1:17" ht="12.75">
      <c r="A454" s="1" t="s">
        <v>1058</v>
      </c>
      <c r="B454" s="12" t="s">
        <v>1146</v>
      </c>
      <c r="C454" s="165" t="s">
        <v>1147</v>
      </c>
      <c r="D454" s="171" t="s">
        <v>215</v>
      </c>
      <c r="E454" s="13">
        <v>715700</v>
      </c>
      <c r="F454" s="18">
        <v>723400</v>
      </c>
      <c r="G454" s="13"/>
      <c r="H454" s="18"/>
      <c r="I454" s="13"/>
      <c r="J454" s="18"/>
      <c r="K454" s="13"/>
      <c r="L454" s="13"/>
      <c r="M454" s="13"/>
      <c r="N454" s="13"/>
      <c r="O454" s="13"/>
      <c r="P454" s="2"/>
      <c r="Q454" s="2"/>
    </row>
    <row r="455" spans="1:17" ht="12.75">
      <c r="A455" s="1" t="s">
        <v>1058</v>
      </c>
      <c r="B455" s="12" t="s">
        <v>1148</v>
      </c>
      <c r="C455" s="165" t="s">
        <v>1149</v>
      </c>
      <c r="D455" s="171" t="s">
        <v>215</v>
      </c>
      <c r="E455" s="13">
        <v>1010000</v>
      </c>
      <c r="F455" s="18">
        <v>1015000</v>
      </c>
      <c r="G455" s="13"/>
      <c r="H455" s="18"/>
      <c r="I455" s="13"/>
      <c r="J455" s="18"/>
      <c r="K455" s="13"/>
      <c r="L455" s="13"/>
      <c r="M455" s="13"/>
      <c r="N455" s="13"/>
      <c r="O455" s="13"/>
      <c r="P455" s="2"/>
      <c r="Q455" s="2"/>
    </row>
    <row r="456" spans="1:17" ht="12.75">
      <c r="A456" s="1" t="s">
        <v>1058</v>
      </c>
      <c r="B456" s="12" t="s">
        <v>1150</v>
      </c>
      <c r="C456" s="165" t="s">
        <v>1151</v>
      </c>
      <c r="D456" s="171" t="s">
        <v>215</v>
      </c>
      <c r="E456" s="13">
        <v>799900</v>
      </c>
      <c r="F456" s="18">
        <v>779300</v>
      </c>
      <c r="G456" s="13"/>
      <c r="H456" s="18"/>
      <c r="I456" s="13"/>
      <c r="J456" s="18"/>
      <c r="K456" s="13"/>
      <c r="L456" s="13"/>
      <c r="M456" s="13"/>
      <c r="N456" s="13"/>
      <c r="O456" s="13"/>
      <c r="P456" s="2"/>
      <c r="Q456" s="2"/>
    </row>
    <row r="457" spans="1:17" ht="12.75">
      <c r="A457" s="1" t="s">
        <v>1058</v>
      </c>
      <c r="B457" s="12" t="s">
        <v>1152</v>
      </c>
      <c r="C457" s="165" t="s">
        <v>1153</v>
      </c>
      <c r="D457" s="171" t="s">
        <v>215</v>
      </c>
      <c r="E457" s="13">
        <v>496400</v>
      </c>
      <c r="F457" s="18">
        <v>498900</v>
      </c>
      <c r="G457" s="13"/>
      <c r="H457" s="18"/>
      <c r="I457" s="13"/>
      <c r="J457" s="18"/>
      <c r="K457" s="13"/>
      <c r="L457" s="13"/>
      <c r="M457" s="13"/>
      <c r="N457" s="13"/>
      <c r="O457" s="13"/>
      <c r="P457" s="2"/>
      <c r="Q457" s="2"/>
    </row>
    <row r="458" spans="1:17" ht="12.75">
      <c r="A458" s="1" t="s">
        <v>1058</v>
      </c>
      <c r="B458" s="12" t="s">
        <v>1154</v>
      </c>
      <c r="C458" s="165" t="s">
        <v>1155</v>
      </c>
      <c r="D458" s="171" t="s">
        <v>215</v>
      </c>
      <c r="E458" s="13">
        <v>995000</v>
      </c>
      <c r="F458" s="18">
        <v>1004400</v>
      </c>
      <c r="G458" s="12"/>
      <c r="H458" s="18"/>
      <c r="I458" s="13"/>
      <c r="J458" s="18"/>
      <c r="K458" s="13"/>
      <c r="L458" s="13"/>
      <c r="M458" s="13"/>
      <c r="N458" s="13"/>
      <c r="O458" s="13"/>
      <c r="P458" s="2"/>
      <c r="Q458" s="2"/>
    </row>
    <row r="459" spans="1:17" ht="12.75">
      <c r="A459" s="1" t="s">
        <v>1058</v>
      </c>
      <c r="B459" s="12" t="s">
        <v>1156</v>
      </c>
      <c r="C459" s="165" t="s">
        <v>1157</v>
      </c>
      <c r="D459" s="171" t="s">
        <v>215</v>
      </c>
      <c r="E459" s="13">
        <v>726800</v>
      </c>
      <c r="F459" s="18">
        <v>734600</v>
      </c>
      <c r="G459" s="12"/>
      <c r="H459" s="18"/>
      <c r="I459" s="13"/>
      <c r="J459" s="18"/>
      <c r="K459" s="13"/>
      <c r="L459" s="13"/>
      <c r="M459" s="13"/>
      <c r="N459" s="13"/>
      <c r="O459" s="13"/>
      <c r="P459" s="2"/>
      <c r="Q459" s="2"/>
    </row>
    <row r="460" spans="1:17" ht="12.75">
      <c r="A460" s="1" t="s">
        <v>1058</v>
      </c>
      <c r="B460" s="12" t="s">
        <v>1489</v>
      </c>
      <c r="C460" s="165" t="s">
        <v>1159</v>
      </c>
      <c r="D460" s="171" t="s">
        <v>305</v>
      </c>
      <c r="E460" s="13"/>
      <c r="F460" s="18"/>
      <c r="G460" s="12"/>
      <c r="H460" s="18"/>
      <c r="I460" s="13"/>
      <c r="J460" s="18">
        <v>48773703</v>
      </c>
      <c r="K460" s="13"/>
      <c r="L460" s="13"/>
      <c r="M460" s="13"/>
      <c r="N460" s="13"/>
      <c r="O460" s="13"/>
      <c r="P460" s="2"/>
      <c r="Q460" s="2"/>
    </row>
    <row r="461" spans="1:17" ht="12.75">
      <c r="A461" s="1" t="s">
        <v>1058</v>
      </c>
      <c r="B461" s="12" t="s">
        <v>1490</v>
      </c>
      <c r="C461" s="165" t="s">
        <v>1159</v>
      </c>
      <c r="D461" s="171" t="s">
        <v>305</v>
      </c>
      <c r="E461" s="13">
        <v>5651400</v>
      </c>
      <c r="F461" s="18">
        <v>7051338</v>
      </c>
      <c r="G461" s="12"/>
      <c r="H461" s="18"/>
      <c r="I461" s="13"/>
      <c r="J461" s="18"/>
      <c r="K461" s="13"/>
      <c r="L461" s="13"/>
      <c r="M461" s="13"/>
      <c r="N461" s="13"/>
      <c r="O461" s="13"/>
      <c r="P461" s="2"/>
      <c r="Q461" s="2"/>
    </row>
    <row r="462" spans="1:17" ht="12.75">
      <c r="A462" s="1" t="s">
        <v>1058</v>
      </c>
      <c r="B462" s="12" t="s">
        <v>1491</v>
      </c>
      <c r="C462" s="165" t="s">
        <v>1159</v>
      </c>
      <c r="D462" s="171" t="s">
        <v>305</v>
      </c>
      <c r="E462" s="13"/>
      <c r="F462" s="18"/>
      <c r="G462" s="12"/>
      <c r="H462" s="18"/>
      <c r="I462" s="13">
        <v>11727300</v>
      </c>
      <c r="J462" s="18"/>
      <c r="K462" s="13"/>
      <c r="L462" s="13"/>
      <c r="M462" s="13"/>
      <c r="N462" s="13"/>
      <c r="O462" s="13"/>
      <c r="P462" s="2"/>
      <c r="Q462" s="2"/>
    </row>
    <row r="463" spans="1:17" ht="12.75">
      <c r="A463" s="1" t="s">
        <v>1162</v>
      </c>
      <c r="B463" s="12" t="s">
        <v>1163</v>
      </c>
      <c r="C463" s="165" t="s">
        <v>1164</v>
      </c>
      <c r="D463" s="171" t="s">
        <v>131</v>
      </c>
      <c r="E463" s="13">
        <f>235779866+5385210+911296</f>
        <v>242076372</v>
      </c>
      <c r="F463" s="18">
        <v>240856097</v>
      </c>
      <c r="G463" s="12"/>
      <c r="H463" s="18"/>
      <c r="I463" s="13">
        <v>23749258</v>
      </c>
      <c r="J463" s="18">
        <v>16320810</v>
      </c>
      <c r="K463" s="13"/>
      <c r="L463" s="13"/>
      <c r="M463" s="13">
        <v>44075112</v>
      </c>
      <c r="N463" s="13">
        <v>52321454</v>
      </c>
      <c r="O463" s="13">
        <v>12597603</v>
      </c>
      <c r="P463" s="2"/>
      <c r="Q463" s="2"/>
    </row>
    <row r="464" spans="1:17" ht="12.75">
      <c r="A464" s="1" t="s">
        <v>1162</v>
      </c>
      <c r="B464" s="12" t="s">
        <v>1165</v>
      </c>
      <c r="C464" s="165" t="s">
        <v>1166</v>
      </c>
      <c r="D464" s="171" t="s">
        <v>131</v>
      </c>
      <c r="E464" s="13">
        <f>109755781-3265883</f>
        <v>106489898</v>
      </c>
      <c r="F464" s="18">
        <v>111020172</v>
      </c>
      <c r="G464" s="12"/>
      <c r="H464" s="18"/>
      <c r="I464" s="13"/>
      <c r="J464" s="18"/>
      <c r="K464" s="13"/>
      <c r="L464" s="13"/>
      <c r="M464" s="13"/>
      <c r="N464" s="13"/>
      <c r="O464" s="13"/>
      <c r="P464" s="2"/>
      <c r="Q464" s="2"/>
    </row>
    <row r="465" spans="1:17" ht="12.75">
      <c r="A465" s="1" t="s">
        <v>1162</v>
      </c>
      <c r="B465" s="12" t="s">
        <v>1167</v>
      </c>
      <c r="C465" s="165" t="s">
        <v>1168</v>
      </c>
      <c r="D465" s="171" t="s">
        <v>131</v>
      </c>
      <c r="E465" s="13">
        <f>44713428+100401+144573</f>
        <v>44958402</v>
      </c>
      <c r="F465" s="18">
        <v>49318190</v>
      </c>
      <c r="G465" s="12"/>
      <c r="H465" s="18"/>
      <c r="I465" s="13"/>
      <c r="J465" s="18"/>
      <c r="K465" s="13"/>
      <c r="L465" s="13"/>
      <c r="M465" s="13"/>
      <c r="N465" s="13"/>
      <c r="O465" s="13"/>
      <c r="P465" s="2"/>
      <c r="Q465" s="2"/>
    </row>
    <row r="466" spans="1:17" ht="12.75">
      <c r="A466" s="1" t="s">
        <v>1162</v>
      </c>
      <c r="B466" s="12" t="s">
        <v>1169</v>
      </c>
      <c r="C466" s="165" t="s">
        <v>1170</v>
      </c>
      <c r="D466" s="171" t="s">
        <v>131</v>
      </c>
      <c r="E466" s="13">
        <f>128585393+6997273+2024532</f>
        <v>137607198</v>
      </c>
      <c r="F466" s="18">
        <v>146289566</v>
      </c>
      <c r="G466" s="12"/>
      <c r="H466" s="18"/>
      <c r="I466" s="13"/>
      <c r="J466" s="18"/>
      <c r="K466" s="13"/>
      <c r="L466" s="13"/>
      <c r="M466" s="13"/>
      <c r="N466" s="13"/>
      <c r="O466" s="13"/>
      <c r="P466" s="2"/>
      <c r="Q466" s="2"/>
    </row>
    <row r="467" spans="1:17" ht="12.75">
      <c r="A467" s="1" t="s">
        <v>1162</v>
      </c>
      <c r="B467" s="12" t="s">
        <v>1171</v>
      </c>
      <c r="C467" s="165" t="s">
        <v>1172</v>
      </c>
      <c r="D467" s="171" t="s">
        <v>131</v>
      </c>
      <c r="E467" s="13">
        <f>88132741+81464+140927</f>
        <v>88355132</v>
      </c>
      <c r="F467" s="18">
        <v>93315454</v>
      </c>
      <c r="G467" s="12"/>
      <c r="H467" s="18"/>
      <c r="I467" s="13"/>
      <c r="J467" s="18"/>
      <c r="K467" s="13"/>
      <c r="L467" s="13"/>
      <c r="M467" s="13"/>
      <c r="N467" s="13"/>
      <c r="O467" s="13"/>
      <c r="P467" s="2"/>
      <c r="Q467" s="2"/>
    </row>
    <row r="468" spans="1:17" ht="12.75">
      <c r="A468" s="1" t="s">
        <v>1162</v>
      </c>
      <c r="B468" s="12" t="s">
        <v>1173</v>
      </c>
      <c r="C468" s="165" t="s">
        <v>1174</v>
      </c>
      <c r="D468" s="171" t="s">
        <v>131</v>
      </c>
      <c r="E468" s="12">
        <f>329094879+5826954+186563</f>
        <v>335108396</v>
      </c>
      <c r="F468" s="18">
        <v>330613517</v>
      </c>
      <c r="G468" s="13"/>
      <c r="H468" s="18"/>
      <c r="I468" s="13"/>
      <c r="J468" s="18"/>
      <c r="K468" s="13"/>
      <c r="L468" s="13"/>
      <c r="M468" s="13"/>
      <c r="N468" s="13"/>
      <c r="O468" s="13"/>
      <c r="P468" s="2"/>
      <c r="Q468" s="2"/>
    </row>
    <row r="469" spans="1:17" ht="12.75">
      <c r="A469" s="1" t="s">
        <v>1162</v>
      </c>
      <c r="B469" s="12" t="s">
        <v>1175</v>
      </c>
      <c r="C469" s="165" t="s">
        <v>1176</v>
      </c>
      <c r="D469" s="171" t="s">
        <v>136</v>
      </c>
      <c r="E469" s="13">
        <f>74451161+380000+412181</f>
        <v>75243342</v>
      </c>
      <c r="F469" s="18">
        <v>78637686</v>
      </c>
      <c r="G469" s="13"/>
      <c r="H469" s="18"/>
      <c r="I469" s="13"/>
      <c r="J469" s="18"/>
      <c r="K469" s="13"/>
      <c r="L469" s="13"/>
      <c r="M469" s="13"/>
      <c r="N469" s="13"/>
      <c r="O469" s="13"/>
      <c r="P469" s="2"/>
      <c r="Q469" s="2"/>
    </row>
    <row r="470" spans="1:17" ht="12.75">
      <c r="A470" s="1" t="s">
        <v>1162</v>
      </c>
      <c r="B470" s="12" t="s">
        <v>1177</v>
      </c>
      <c r="C470" s="165" t="s">
        <v>1178</v>
      </c>
      <c r="D470" s="171" t="s">
        <v>136</v>
      </c>
      <c r="E470" s="12">
        <v>40137611</v>
      </c>
      <c r="F470" s="18">
        <v>41414848</v>
      </c>
      <c r="G470" s="13"/>
      <c r="H470" s="18"/>
      <c r="I470" s="13"/>
      <c r="J470" s="18"/>
      <c r="K470" s="13"/>
      <c r="L470" s="13"/>
      <c r="M470" s="13"/>
      <c r="N470" s="13"/>
      <c r="O470" s="13"/>
      <c r="P470" s="2"/>
      <c r="Q470" s="2"/>
    </row>
    <row r="471" spans="1:17" ht="12.75">
      <c r="A471" s="1" t="s">
        <v>1162</v>
      </c>
      <c r="B471" s="12" t="s">
        <v>1179</v>
      </c>
      <c r="C471" s="165" t="s">
        <v>1180</v>
      </c>
      <c r="D471" s="171" t="s">
        <v>139</v>
      </c>
      <c r="E471" s="13">
        <v>26314480</v>
      </c>
      <c r="F471" s="18">
        <v>27439049</v>
      </c>
      <c r="G471" s="13"/>
      <c r="H471" s="18"/>
      <c r="I471" s="13"/>
      <c r="J471" s="18"/>
      <c r="K471" s="13"/>
      <c r="L471" s="13"/>
      <c r="M471" s="13"/>
      <c r="N471" s="13"/>
      <c r="O471" s="13"/>
      <c r="P471" s="2"/>
      <c r="Q471" s="2"/>
    </row>
    <row r="472" spans="1:17" ht="12.75">
      <c r="A472" s="1" t="s">
        <v>1162</v>
      </c>
      <c r="B472" s="12" t="s">
        <v>1181</v>
      </c>
      <c r="C472" s="165" t="s">
        <v>1182</v>
      </c>
      <c r="D472" s="171" t="s">
        <v>139</v>
      </c>
      <c r="E472" s="13">
        <f>32981226+551760+627230</f>
        <v>34160216</v>
      </c>
      <c r="F472" s="18">
        <v>32138096</v>
      </c>
      <c r="G472" s="13"/>
      <c r="H472" s="18"/>
      <c r="I472" s="13"/>
      <c r="J472" s="18"/>
      <c r="K472" s="13"/>
      <c r="L472" s="13"/>
      <c r="M472" s="13"/>
      <c r="N472" s="13"/>
      <c r="O472" s="13"/>
      <c r="P472" s="2"/>
      <c r="Q472" s="2"/>
    </row>
    <row r="473" spans="1:17" ht="12.75">
      <c r="A473" s="1" t="s">
        <v>1162</v>
      </c>
      <c r="B473" s="12" t="s">
        <v>1492</v>
      </c>
      <c r="C473" s="165" t="s">
        <v>1184</v>
      </c>
      <c r="D473" s="171" t="s">
        <v>139</v>
      </c>
      <c r="E473" s="12">
        <v>28190493</v>
      </c>
      <c r="F473" s="18">
        <v>24150941</v>
      </c>
      <c r="G473" s="13"/>
      <c r="H473" s="18"/>
      <c r="I473" s="13"/>
      <c r="J473" s="18"/>
      <c r="K473" s="13"/>
      <c r="L473" s="13"/>
      <c r="M473" s="13"/>
      <c r="N473" s="13"/>
      <c r="O473" s="13"/>
      <c r="P473" s="2"/>
      <c r="Q473" s="2"/>
    </row>
    <row r="474" spans="1:17" ht="12.75">
      <c r="A474" s="1" t="s">
        <v>1162</v>
      </c>
      <c r="B474" s="12" t="s">
        <v>1185</v>
      </c>
      <c r="C474" s="165" t="s">
        <v>1186</v>
      </c>
      <c r="D474" s="171" t="s">
        <v>139</v>
      </c>
      <c r="E474" s="13">
        <f>33908078+1362677</f>
        <v>35270755</v>
      </c>
      <c r="F474" s="18">
        <v>36555652</v>
      </c>
      <c r="G474" s="13"/>
      <c r="H474" s="18"/>
      <c r="I474" s="13"/>
      <c r="J474" s="18"/>
      <c r="K474" s="13"/>
      <c r="L474" s="13"/>
      <c r="M474" s="13"/>
      <c r="N474" s="13"/>
      <c r="O474" s="13"/>
      <c r="P474" s="2"/>
      <c r="Q474" s="2"/>
    </row>
    <row r="475" spans="1:17" ht="12.75">
      <c r="A475" s="1" t="s">
        <v>1162</v>
      </c>
      <c r="B475" s="12" t="s">
        <v>1187</v>
      </c>
      <c r="C475" s="165" t="s">
        <v>1188</v>
      </c>
      <c r="D475" s="171" t="s">
        <v>139</v>
      </c>
      <c r="E475" s="13">
        <f>59562112+492117</f>
        <v>60054229</v>
      </c>
      <c r="F475" s="18">
        <v>65482493</v>
      </c>
      <c r="G475" s="13"/>
      <c r="H475" s="18"/>
      <c r="I475" s="13"/>
      <c r="J475" s="18"/>
      <c r="K475" s="13"/>
      <c r="L475" s="13"/>
      <c r="M475" s="13"/>
      <c r="N475" s="13"/>
      <c r="O475" s="13"/>
      <c r="P475" s="2"/>
      <c r="Q475" s="2"/>
    </row>
    <row r="476" spans="1:17" ht="12.75">
      <c r="A476" s="1" t="s">
        <v>1162</v>
      </c>
      <c r="B476" s="12" t="s">
        <v>1189</v>
      </c>
      <c r="C476" s="165" t="s">
        <v>1190</v>
      </c>
      <c r="D476" s="171" t="s">
        <v>139</v>
      </c>
      <c r="E476" s="13">
        <f>37648314+1005117+630671</f>
        <v>39284102</v>
      </c>
      <c r="F476" s="18">
        <v>41661689</v>
      </c>
      <c r="G476" s="13"/>
      <c r="H476" s="18"/>
      <c r="I476" s="13"/>
      <c r="J476" s="18"/>
      <c r="K476" s="13"/>
      <c r="L476" s="13"/>
      <c r="M476" s="13"/>
      <c r="N476" s="13"/>
      <c r="O476" s="13"/>
      <c r="P476" s="2"/>
      <c r="Q476" s="2"/>
    </row>
    <row r="477" spans="1:17" ht="12.75">
      <c r="A477" s="1" t="s">
        <v>1162</v>
      </c>
      <c r="B477" s="12" t="s">
        <v>1191</v>
      </c>
      <c r="C477" s="165" t="s">
        <v>1192</v>
      </c>
      <c r="D477" s="171" t="s">
        <v>139</v>
      </c>
      <c r="E477" s="13">
        <f>9333891+59104+270601</f>
        <v>9663596</v>
      </c>
      <c r="F477" s="18">
        <v>12012587</v>
      </c>
      <c r="G477" s="13"/>
      <c r="H477" s="18"/>
      <c r="I477" s="13"/>
      <c r="J477" s="18"/>
      <c r="K477" s="13"/>
      <c r="L477" s="13"/>
      <c r="M477" s="13"/>
      <c r="N477" s="13"/>
      <c r="O477" s="13"/>
      <c r="P477" s="2"/>
      <c r="Q477" s="2"/>
    </row>
    <row r="478" spans="1:17" ht="12.75">
      <c r="A478" s="1" t="s">
        <v>1162</v>
      </c>
      <c r="B478" s="12" t="s">
        <v>1193</v>
      </c>
      <c r="C478" s="165" t="s">
        <v>1194</v>
      </c>
      <c r="D478" s="171" t="s">
        <v>139</v>
      </c>
      <c r="E478" s="13">
        <f>22464301+229900+84870</f>
        <v>22779071</v>
      </c>
      <c r="F478" s="18">
        <v>26254495</v>
      </c>
      <c r="G478" s="13"/>
      <c r="H478" s="18"/>
      <c r="I478" s="13"/>
      <c r="J478" s="18"/>
      <c r="K478" s="13"/>
      <c r="L478" s="13"/>
      <c r="M478" s="13"/>
      <c r="N478" s="13"/>
      <c r="O478" s="13"/>
      <c r="P478" s="2"/>
      <c r="Q478" s="2"/>
    </row>
    <row r="479" spans="1:17" ht="12.75">
      <c r="A479" s="1" t="s">
        <v>1162</v>
      </c>
      <c r="B479" s="12" t="s">
        <v>1195</v>
      </c>
      <c r="C479" s="165" t="s">
        <v>1196</v>
      </c>
      <c r="D479" s="171" t="s">
        <v>139</v>
      </c>
      <c r="E479" s="13">
        <f>24528942+1682649+35119</f>
        <v>26246710</v>
      </c>
      <c r="F479" s="18">
        <v>28214126</v>
      </c>
      <c r="G479" s="13"/>
      <c r="H479" s="18"/>
      <c r="I479" s="13"/>
      <c r="J479" s="18"/>
      <c r="K479" s="13"/>
      <c r="L479" s="13"/>
      <c r="M479" s="13"/>
      <c r="N479" s="13"/>
      <c r="O479" s="13"/>
      <c r="P479" s="2"/>
      <c r="Q479" s="2"/>
    </row>
    <row r="480" spans="1:17" ht="12.75">
      <c r="A480" s="1" t="s">
        <v>1162</v>
      </c>
      <c r="B480" s="12" t="s">
        <v>1197</v>
      </c>
      <c r="C480" s="165" t="s">
        <v>1198</v>
      </c>
      <c r="D480" s="171" t="s">
        <v>139</v>
      </c>
      <c r="E480" s="13">
        <f>35700845+91960</f>
        <v>35792805</v>
      </c>
      <c r="F480" s="18">
        <v>36450090</v>
      </c>
      <c r="G480" s="13"/>
      <c r="H480" s="18"/>
      <c r="I480" s="13"/>
      <c r="J480" s="18"/>
      <c r="K480" s="13"/>
      <c r="L480" s="13"/>
      <c r="M480" s="13"/>
      <c r="N480" s="13"/>
      <c r="O480" s="13"/>
      <c r="P480" s="2"/>
      <c r="Q480" s="2"/>
    </row>
    <row r="481" spans="1:15" ht="12.75">
      <c r="A481" s="1" t="s">
        <v>1162</v>
      </c>
      <c r="B481" s="12" t="s">
        <v>1199</v>
      </c>
      <c r="C481" s="165" t="s">
        <v>1200</v>
      </c>
      <c r="D481" s="171" t="s">
        <v>139</v>
      </c>
      <c r="E481" s="13">
        <f>19907448+328213</f>
        <v>20235661</v>
      </c>
      <c r="F481" s="18">
        <v>24551513</v>
      </c>
      <c r="G481" s="12"/>
      <c r="H481" s="18"/>
      <c r="I481" s="12"/>
      <c r="J481" s="18"/>
      <c r="K481" s="12"/>
      <c r="L481" s="12"/>
      <c r="M481" s="12"/>
      <c r="N481" s="12"/>
      <c r="O481" s="12"/>
    </row>
    <row r="482" spans="1:15" ht="12.75">
      <c r="A482" s="1" t="s">
        <v>1162</v>
      </c>
      <c r="B482" s="12" t="s">
        <v>1201</v>
      </c>
      <c r="C482" s="165" t="s">
        <v>1202</v>
      </c>
      <c r="D482" s="171" t="s">
        <v>139</v>
      </c>
      <c r="E482" s="13">
        <f>49727887+664664+1504800</f>
        <v>51897351</v>
      </c>
      <c r="F482" s="18">
        <v>54013149</v>
      </c>
      <c r="G482" s="12"/>
      <c r="H482" s="18"/>
      <c r="I482" s="12"/>
      <c r="J482" s="18"/>
      <c r="K482" s="12"/>
      <c r="L482" s="12"/>
      <c r="M482" s="12"/>
      <c r="N482" s="12"/>
      <c r="O482" s="12"/>
    </row>
    <row r="483" spans="1:15" ht="12.75">
      <c r="A483" s="1" t="s">
        <v>1162</v>
      </c>
      <c r="B483" s="12" t="s">
        <v>1203</v>
      </c>
      <c r="C483" s="165" t="s">
        <v>1204</v>
      </c>
      <c r="D483" s="171" t="s">
        <v>139</v>
      </c>
      <c r="E483" s="13">
        <f>42726983+3057817</f>
        <v>45784800</v>
      </c>
      <c r="F483" s="18">
        <v>48943652</v>
      </c>
      <c r="G483" s="12"/>
      <c r="H483" s="18"/>
      <c r="I483" s="12"/>
      <c r="J483" s="18"/>
      <c r="K483" s="12"/>
      <c r="L483" s="12"/>
      <c r="M483" s="12"/>
      <c r="N483" s="12"/>
      <c r="O483" s="12"/>
    </row>
    <row r="484" spans="1:15" ht="12.75">
      <c r="A484" s="1" t="s">
        <v>1162</v>
      </c>
      <c r="B484" s="12" t="s">
        <v>1205</v>
      </c>
      <c r="C484" s="165" t="s">
        <v>1206</v>
      </c>
      <c r="D484" s="171" t="s">
        <v>139</v>
      </c>
      <c r="E484" s="13">
        <v>13262935</v>
      </c>
      <c r="F484" s="18">
        <v>15615532</v>
      </c>
      <c r="G484" s="12"/>
      <c r="H484" s="18"/>
      <c r="I484" s="12"/>
      <c r="J484" s="18"/>
      <c r="K484" s="12"/>
      <c r="L484" s="12"/>
      <c r="M484" s="12"/>
      <c r="N484" s="12"/>
      <c r="O484" s="12"/>
    </row>
    <row r="485" spans="1:15" ht="12.75">
      <c r="A485" s="1" t="s">
        <v>1162</v>
      </c>
      <c r="B485" s="12" t="s">
        <v>1207</v>
      </c>
      <c r="C485" s="165" t="s">
        <v>1208</v>
      </c>
      <c r="D485" s="171" t="s">
        <v>139</v>
      </c>
      <c r="E485" s="13">
        <f>19824915+144058+915784</f>
        <v>20884757</v>
      </c>
      <c r="F485" s="18">
        <v>23141991</v>
      </c>
      <c r="G485" s="12"/>
      <c r="H485" s="18"/>
      <c r="I485" s="12"/>
      <c r="J485" s="18"/>
      <c r="K485" s="12"/>
      <c r="L485" s="12"/>
      <c r="M485" s="12"/>
      <c r="N485" s="12"/>
      <c r="O485" s="12"/>
    </row>
    <row r="486" spans="1:15" ht="12.75">
      <c r="A486" s="1" t="s">
        <v>1162</v>
      </c>
      <c r="B486" s="12" t="s">
        <v>1209</v>
      </c>
      <c r="C486" s="165" t="s">
        <v>1210</v>
      </c>
      <c r="D486" s="171" t="s">
        <v>148</v>
      </c>
      <c r="E486" s="13">
        <f>16675399+320451</f>
        <v>16995850</v>
      </c>
      <c r="F486" s="18">
        <v>19310410</v>
      </c>
      <c r="G486" s="12"/>
      <c r="H486" s="18"/>
      <c r="I486" s="12"/>
      <c r="J486" s="18"/>
      <c r="K486" s="12"/>
      <c r="L486" s="12"/>
      <c r="M486" s="12"/>
      <c r="N486" s="12"/>
      <c r="O486" s="12"/>
    </row>
    <row r="487" spans="1:15" ht="12.75">
      <c r="A487" s="1" t="s">
        <v>1162</v>
      </c>
      <c r="B487" s="12" t="s">
        <v>1211</v>
      </c>
      <c r="C487" s="165" t="s">
        <v>1212</v>
      </c>
      <c r="D487" s="171" t="s">
        <v>148</v>
      </c>
      <c r="E487" s="13">
        <v>15403564</v>
      </c>
      <c r="F487" s="18">
        <v>20341155</v>
      </c>
      <c r="G487" s="12"/>
      <c r="H487" s="18"/>
      <c r="I487" s="12"/>
      <c r="J487" s="18"/>
      <c r="K487" s="12"/>
      <c r="L487" s="12"/>
      <c r="M487" s="12"/>
      <c r="N487" s="12"/>
      <c r="O487" s="12"/>
    </row>
    <row r="488" spans="1:15" ht="12.75">
      <c r="A488" s="1" t="s">
        <v>1162</v>
      </c>
      <c r="B488" s="12" t="s">
        <v>1213</v>
      </c>
      <c r="C488" s="165" t="s">
        <v>1214</v>
      </c>
      <c r="D488" s="171" t="s">
        <v>148</v>
      </c>
      <c r="E488" s="13">
        <f>17117181+1362918</f>
        <v>18480099</v>
      </c>
      <c r="F488" s="18">
        <v>20684955</v>
      </c>
      <c r="G488" s="12"/>
      <c r="H488" s="18"/>
      <c r="I488" s="12"/>
      <c r="J488" s="18"/>
      <c r="K488" s="12"/>
      <c r="L488" s="12"/>
      <c r="M488" s="12"/>
      <c r="N488" s="12"/>
      <c r="O488" s="12"/>
    </row>
    <row r="489" spans="1:15" ht="12.75">
      <c r="A489" s="1" t="s">
        <v>1162</v>
      </c>
      <c r="B489" s="12" t="s">
        <v>1215</v>
      </c>
      <c r="C489" s="165" t="s">
        <v>1216</v>
      </c>
      <c r="D489" s="171" t="s">
        <v>148</v>
      </c>
      <c r="E489" s="13">
        <f>9304827+103455</f>
        <v>9408282</v>
      </c>
      <c r="F489" s="18">
        <v>14857800</v>
      </c>
      <c r="G489" s="12"/>
      <c r="H489" s="18"/>
      <c r="I489" s="12"/>
      <c r="J489" s="18"/>
      <c r="K489" s="12"/>
      <c r="L489" s="12"/>
      <c r="M489" s="12"/>
      <c r="N489" s="12"/>
      <c r="O489" s="12"/>
    </row>
    <row r="490" spans="1:15" ht="12.75">
      <c r="A490" s="1" t="s">
        <v>1162</v>
      </c>
      <c r="B490" s="12" t="s">
        <v>1217</v>
      </c>
      <c r="C490" s="165" t="s">
        <v>1218</v>
      </c>
      <c r="D490" s="171" t="s">
        <v>148</v>
      </c>
      <c r="E490" s="13">
        <f>7949499+200000</f>
        <v>8149499</v>
      </c>
      <c r="F490" s="18">
        <v>10484086</v>
      </c>
      <c r="G490" s="12"/>
      <c r="H490" s="18"/>
      <c r="I490" s="12"/>
      <c r="J490" s="18"/>
      <c r="K490" s="12"/>
      <c r="L490" s="12"/>
      <c r="M490" s="12"/>
      <c r="N490" s="12"/>
      <c r="O490" s="12"/>
    </row>
    <row r="491" spans="1:15" ht="12.75">
      <c r="A491" s="1" t="s">
        <v>1162</v>
      </c>
      <c r="B491" s="12" t="s">
        <v>1219</v>
      </c>
      <c r="C491" s="165" t="s">
        <v>1220</v>
      </c>
      <c r="D491" s="171" t="s">
        <v>148</v>
      </c>
      <c r="E491" s="13">
        <f>37091341-1237683</f>
        <v>35853658</v>
      </c>
      <c r="F491" s="18">
        <v>42259278</v>
      </c>
      <c r="G491" s="12"/>
      <c r="H491" s="18"/>
      <c r="I491" s="12"/>
      <c r="J491" s="18"/>
      <c r="K491" s="12"/>
      <c r="L491" s="12"/>
      <c r="M491" s="12"/>
      <c r="N491" s="12"/>
      <c r="O491" s="12"/>
    </row>
    <row r="492" spans="1:15" ht="12.75">
      <c r="A492" s="1" t="s">
        <v>1162</v>
      </c>
      <c r="B492" s="12" t="s">
        <v>1221</v>
      </c>
      <c r="C492" s="165" t="s">
        <v>1222</v>
      </c>
      <c r="D492" s="171" t="s">
        <v>157</v>
      </c>
      <c r="E492" s="13">
        <v>4119516</v>
      </c>
      <c r="F492" s="18">
        <v>4664699</v>
      </c>
      <c r="G492" s="12"/>
      <c r="H492" s="18"/>
      <c r="I492" s="12"/>
      <c r="J492" s="18"/>
      <c r="K492" s="12"/>
      <c r="L492" s="12"/>
      <c r="M492" s="12"/>
      <c r="N492" s="12"/>
      <c r="O492" s="12"/>
    </row>
    <row r="493" spans="1:15" ht="12.75">
      <c r="A493" s="1" t="s">
        <v>1162</v>
      </c>
      <c r="B493" s="12" t="s">
        <v>1223</v>
      </c>
      <c r="C493" s="1"/>
      <c r="D493" s="171" t="s">
        <v>157</v>
      </c>
      <c r="E493" s="13">
        <v>2585416</v>
      </c>
      <c r="F493" s="18">
        <v>3368834</v>
      </c>
      <c r="G493" s="12"/>
      <c r="H493" s="18"/>
      <c r="I493" s="12"/>
      <c r="J493" s="18"/>
      <c r="K493" s="12"/>
      <c r="L493" s="12"/>
      <c r="M493" s="12"/>
      <c r="N493" s="12"/>
      <c r="O493" s="12"/>
    </row>
    <row r="494" spans="1:15" ht="12.75">
      <c r="A494" s="1" t="s">
        <v>1162</v>
      </c>
      <c r="B494" s="12" t="s">
        <v>1224</v>
      </c>
      <c r="C494" s="165" t="s">
        <v>1225</v>
      </c>
      <c r="D494" s="171" t="s">
        <v>157</v>
      </c>
      <c r="E494" s="13">
        <f>4419623-65312</f>
        <v>4354311</v>
      </c>
      <c r="F494" s="18">
        <v>5943831</v>
      </c>
      <c r="G494" s="12"/>
      <c r="H494" s="18"/>
      <c r="I494" s="12"/>
      <c r="J494" s="18"/>
      <c r="K494" s="12"/>
      <c r="L494" s="12"/>
      <c r="M494" s="12"/>
      <c r="N494" s="12"/>
      <c r="O494" s="12"/>
    </row>
    <row r="495" spans="1:15" ht="12.75">
      <c r="A495" s="1" t="s">
        <v>1162</v>
      </c>
      <c r="B495" s="12" t="s">
        <v>1226</v>
      </c>
      <c r="C495" s="165" t="s">
        <v>1227</v>
      </c>
      <c r="D495" s="171" t="s">
        <v>157</v>
      </c>
      <c r="E495" s="13">
        <v>9065335</v>
      </c>
      <c r="F495" s="18">
        <v>13448908</v>
      </c>
      <c r="G495" s="12"/>
      <c r="H495" s="18"/>
      <c r="I495" s="12"/>
      <c r="J495" s="18"/>
      <c r="K495" s="12"/>
      <c r="L495" s="12"/>
      <c r="M495" s="12"/>
      <c r="N495" s="12"/>
      <c r="O495" s="12"/>
    </row>
    <row r="496" spans="1:15" ht="12.75">
      <c r="A496" s="1" t="s">
        <v>1162</v>
      </c>
      <c r="B496" s="12" t="s">
        <v>1228</v>
      </c>
      <c r="C496" s="165" t="s">
        <v>1229</v>
      </c>
      <c r="D496" s="171" t="s">
        <v>166</v>
      </c>
      <c r="E496" s="13">
        <v>8800204</v>
      </c>
      <c r="F496" s="18">
        <v>8609421</v>
      </c>
      <c r="G496" s="12"/>
      <c r="H496" s="18"/>
      <c r="I496" s="12"/>
      <c r="J496" s="18"/>
      <c r="K496" s="12"/>
      <c r="L496" s="12"/>
      <c r="M496" s="12"/>
      <c r="N496" s="12"/>
      <c r="O496" s="12"/>
    </row>
    <row r="497" spans="1:15" ht="12.75">
      <c r="A497" s="1" t="s">
        <v>1162</v>
      </c>
      <c r="B497" s="12" t="s">
        <v>1230</v>
      </c>
      <c r="C497" s="165" t="s">
        <v>1231</v>
      </c>
      <c r="D497" s="171" t="s">
        <v>166</v>
      </c>
      <c r="E497" s="13">
        <v>15126076</v>
      </c>
      <c r="F497" s="18">
        <v>16575986</v>
      </c>
      <c r="G497" s="12"/>
      <c r="H497" s="18"/>
      <c r="I497" s="12"/>
      <c r="J497" s="18"/>
      <c r="K497" s="12"/>
      <c r="L497" s="12"/>
      <c r="M497" s="12"/>
      <c r="N497" s="12"/>
      <c r="O497" s="12"/>
    </row>
    <row r="498" spans="1:15" ht="12.75">
      <c r="A498" s="1" t="s">
        <v>1162</v>
      </c>
      <c r="B498" s="12" t="s">
        <v>1493</v>
      </c>
      <c r="C498" s="1"/>
      <c r="D498" s="171" t="s">
        <v>170</v>
      </c>
      <c r="E498" s="13">
        <v>52093828</v>
      </c>
      <c r="F498" s="18">
        <v>52521388</v>
      </c>
      <c r="G498" s="13">
        <v>27099888</v>
      </c>
      <c r="H498" s="18">
        <v>28323991</v>
      </c>
      <c r="I498" s="12"/>
      <c r="J498" s="18"/>
      <c r="K498" s="12"/>
      <c r="L498" s="12"/>
      <c r="M498" s="12"/>
      <c r="N498" s="12"/>
      <c r="O498" s="12"/>
    </row>
    <row r="499" spans="1:15" ht="12.75">
      <c r="A499" s="1" t="s">
        <v>1162</v>
      </c>
      <c r="B499" s="12" t="s">
        <v>1232</v>
      </c>
      <c r="C499" s="165" t="s">
        <v>1233</v>
      </c>
      <c r="D499" s="171" t="s">
        <v>170</v>
      </c>
      <c r="E499" s="13">
        <v>9666605</v>
      </c>
      <c r="F499" s="18">
        <v>9024776</v>
      </c>
      <c r="G499" s="13">
        <v>3183576</v>
      </c>
      <c r="H499" s="18">
        <v>3497293</v>
      </c>
      <c r="I499" s="12"/>
      <c r="J499" s="18"/>
      <c r="K499" s="12"/>
      <c r="L499" s="12"/>
      <c r="M499" s="12"/>
      <c r="N499" s="12"/>
      <c r="O499" s="12"/>
    </row>
    <row r="500" spans="1:15" ht="12.75">
      <c r="A500" s="1" t="s">
        <v>1162</v>
      </c>
      <c r="B500" s="12" t="s">
        <v>1234</v>
      </c>
      <c r="C500" s="165" t="s">
        <v>1235</v>
      </c>
      <c r="D500" s="171" t="s">
        <v>170</v>
      </c>
      <c r="E500" s="13">
        <v>13251467</v>
      </c>
      <c r="F500" s="18">
        <v>18304137</v>
      </c>
      <c r="G500" s="13">
        <v>5517496</v>
      </c>
      <c r="H500" s="18">
        <v>5611862</v>
      </c>
      <c r="I500" s="12"/>
      <c r="J500" s="18"/>
      <c r="K500" s="12"/>
      <c r="L500" s="12"/>
      <c r="M500" s="12"/>
      <c r="N500" s="12"/>
      <c r="O500" s="12"/>
    </row>
    <row r="501" spans="1:15" ht="12.75">
      <c r="A501" s="1" t="s">
        <v>1162</v>
      </c>
      <c r="B501" s="12" t="s">
        <v>1236</v>
      </c>
      <c r="C501" s="165" t="s">
        <v>1237</v>
      </c>
      <c r="D501" s="171" t="s">
        <v>170</v>
      </c>
      <c r="E501" s="13">
        <v>6111817</v>
      </c>
      <c r="F501" s="18">
        <v>7260633</v>
      </c>
      <c r="G501" s="13">
        <v>1378072</v>
      </c>
      <c r="H501" s="18">
        <v>1420807</v>
      </c>
      <c r="I501" s="12"/>
      <c r="J501" s="18"/>
      <c r="K501" s="12"/>
      <c r="L501" s="12"/>
      <c r="M501" s="12"/>
      <c r="N501" s="12"/>
      <c r="O501" s="12"/>
    </row>
    <row r="502" spans="1:15" ht="12.75">
      <c r="A502" s="1" t="s">
        <v>1162</v>
      </c>
      <c r="B502" s="12" t="s">
        <v>1238</v>
      </c>
      <c r="C502" s="165" t="s">
        <v>1239</v>
      </c>
      <c r="D502" s="171" t="s">
        <v>170</v>
      </c>
      <c r="E502" s="13">
        <v>32562640</v>
      </c>
      <c r="F502" s="18">
        <v>33873078</v>
      </c>
      <c r="G502" s="13">
        <v>8825959</v>
      </c>
      <c r="H502" s="18">
        <v>9824000</v>
      </c>
      <c r="I502" s="12"/>
      <c r="J502" s="18"/>
      <c r="K502" s="12"/>
      <c r="L502" s="12"/>
      <c r="M502" s="12"/>
      <c r="N502" s="12"/>
      <c r="O502" s="12"/>
    </row>
    <row r="503" spans="1:15" ht="12.75">
      <c r="A503" s="1" t="s">
        <v>1162</v>
      </c>
      <c r="B503" s="12" t="s">
        <v>1240</v>
      </c>
      <c r="C503" s="165" t="s">
        <v>1241</v>
      </c>
      <c r="D503" s="171" t="s">
        <v>170</v>
      </c>
      <c r="E503" s="13">
        <v>6616337</v>
      </c>
      <c r="F503" s="18">
        <v>6647727</v>
      </c>
      <c r="G503" s="13">
        <v>742627</v>
      </c>
      <c r="H503" s="18">
        <v>745616</v>
      </c>
      <c r="I503" s="12"/>
      <c r="J503" s="18"/>
      <c r="K503" s="12"/>
      <c r="L503" s="12"/>
      <c r="M503" s="12"/>
      <c r="N503" s="12"/>
      <c r="O503" s="12"/>
    </row>
    <row r="504" spans="1:15" ht="12.75">
      <c r="A504" s="1" t="s">
        <v>1162</v>
      </c>
      <c r="B504" s="12" t="s">
        <v>1242</v>
      </c>
      <c r="C504" s="165" t="s">
        <v>1243</v>
      </c>
      <c r="D504" s="171" t="s">
        <v>170</v>
      </c>
      <c r="E504" s="13">
        <v>13472174</v>
      </c>
      <c r="F504" s="18">
        <v>14234857</v>
      </c>
      <c r="G504" s="13">
        <v>393671</v>
      </c>
      <c r="H504" s="18">
        <v>407403</v>
      </c>
      <c r="I504" s="12"/>
      <c r="J504" s="18"/>
      <c r="K504" s="12"/>
      <c r="L504" s="12"/>
      <c r="M504" s="12"/>
      <c r="N504" s="12"/>
      <c r="O504" s="12"/>
    </row>
    <row r="505" spans="1:15" ht="12.75">
      <c r="A505" s="1" t="s">
        <v>1162</v>
      </c>
      <c r="B505" s="12" t="s">
        <v>1244</v>
      </c>
      <c r="C505" s="165" t="s">
        <v>1245</v>
      </c>
      <c r="D505" s="171" t="s">
        <v>170</v>
      </c>
      <c r="E505" s="13">
        <v>5613018</v>
      </c>
      <c r="F505" s="18">
        <v>5148453</v>
      </c>
      <c r="G505" s="13">
        <v>2835137</v>
      </c>
      <c r="H505" s="18">
        <v>2811440</v>
      </c>
      <c r="I505" s="12"/>
      <c r="J505" s="18"/>
      <c r="K505" s="12"/>
      <c r="L505" s="12"/>
      <c r="M505" s="12"/>
      <c r="N505" s="12"/>
      <c r="O505" s="12"/>
    </row>
    <row r="506" spans="1:15" ht="12.75">
      <c r="A506" s="1" t="s">
        <v>1162</v>
      </c>
      <c r="B506" s="12" t="s">
        <v>1246</v>
      </c>
      <c r="C506" s="165" t="s">
        <v>1247</v>
      </c>
      <c r="D506" s="170" t="s">
        <v>170</v>
      </c>
      <c r="E506" s="12"/>
      <c r="F506" s="15"/>
      <c r="G506" s="12"/>
      <c r="H506" s="15"/>
      <c r="I506" s="12"/>
      <c r="J506" s="15"/>
      <c r="K506" s="12"/>
      <c r="L506" s="12"/>
      <c r="M506" s="12"/>
      <c r="N506" s="12"/>
      <c r="O506" s="12"/>
    </row>
    <row r="507" spans="1:15" ht="12.75">
      <c r="A507" s="1" t="s">
        <v>1162</v>
      </c>
      <c r="B507" s="12" t="s">
        <v>1248</v>
      </c>
      <c r="C507" s="165" t="s">
        <v>1249</v>
      </c>
      <c r="D507" s="170" t="s">
        <v>170</v>
      </c>
      <c r="E507" s="12"/>
      <c r="F507" s="15"/>
      <c r="G507" s="12"/>
      <c r="H507" s="15"/>
      <c r="I507" s="12"/>
      <c r="J507" s="15"/>
      <c r="K507" s="12"/>
      <c r="L507" s="12"/>
      <c r="M507" s="12"/>
      <c r="N507" s="12"/>
      <c r="O507" s="12"/>
    </row>
    <row r="508" spans="1:15" ht="12.75">
      <c r="A508" s="1" t="s">
        <v>1162</v>
      </c>
      <c r="B508" s="12" t="s">
        <v>1250</v>
      </c>
      <c r="C508" s="165" t="s">
        <v>1251</v>
      </c>
      <c r="D508" s="171" t="s">
        <v>170</v>
      </c>
      <c r="E508" s="13">
        <v>15651404</v>
      </c>
      <c r="F508" s="18">
        <v>16367449</v>
      </c>
      <c r="G508" s="13">
        <v>3587489</v>
      </c>
      <c r="H508" s="18">
        <v>3786983</v>
      </c>
      <c r="I508" s="12"/>
      <c r="J508" s="18"/>
      <c r="K508" s="12"/>
      <c r="L508" s="12"/>
      <c r="M508" s="12"/>
      <c r="N508" s="12"/>
      <c r="O508" s="12"/>
    </row>
    <row r="509" spans="1:15" ht="12.75">
      <c r="A509" s="1" t="s">
        <v>1162</v>
      </c>
      <c r="B509" s="12" t="s">
        <v>1252</v>
      </c>
      <c r="C509" s="165" t="s">
        <v>1253</v>
      </c>
      <c r="D509" s="171" t="s">
        <v>170</v>
      </c>
      <c r="E509" s="13">
        <v>4291184</v>
      </c>
      <c r="F509" s="18">
        <v>4283253</v>
      </c>
      <c r="G509" s="13">
        <v>213889</v>
      </c>
      <c r="H509" s="18">
        <v>215536</v>
      </c>
      <c r="I509" s="12"/>
      <c r="J509" s="18"/>
      <c r="K509" s="12"/>
      <c r="L509" s="12"/>
      <c r="M509" s="12"/>
      <c r="N509" s="12"/>
      <c r="O509" s="12"/>
    </row>
    <row r="510" spans="1:15" ht="12.75">
      <c r="A510" s="1" t="s">
        <v>1162</v>
      </c>
      <c r="B510" s="12" t="s">
        <v>1254</v>
      </c>
      <c r="C510" s="165" t="s">
        <v>1255</v>
      </c>
      <c r="D510" s="171" t="s">
        <v>170</v>
      </c>
      <c r="E510" s="13">
        <v>2354686</v>
      </c>
      <c r="F510" s="18">
        <v>2288284</v>
      </c>
      <c r="G510" s="13">
        <v>202130</v>
      </c>
      <c r="H510" s="18">
        <v>212944</v>
      </c>
      <c r="I510" s="12"/>
      <c r="J510" s="18"/>
      <c r="K510" s="12"/>
      <c r="L510" s="12"/>
      <c r="M510" s="12"/>
      <c r="N510" s="12"/>
      <c r="O510" s="12"/>
    </row>
    <row r="511" spans="1:15" ht="12.75">
      <c r="A511" s="1" t="s">
        <v>1162</v>
      </c>
      <c r="B511" s="12" t="s">
        <v>1256</v>
      </c>
      <c r="C511" s="165" t="s">
        <v>1257</v>
      </c>
      <c r="D511" s="171" t="s">
        <v>170</v>
      </c>
      <c r="E511" s="13">
        <v>7490806</v>
      </c>
      <c r="F511" s="18">
        <v>7658342</v>
      </c>
      <c r="G511" s="13">
        <v>8891789</v>
      </c>
      <c r="H511" s="18">
        <v>9474948</v>
      </c>
      <c r="I511" s="12"/>
      <c r="J511" s="18"/>
      <c r="K511" s="12"/>
      <c r="L511" s="12"/>
      <c r="M511" s="12"/>
      <c r="N511" s="12"/>
      <c r="O511" s="12"/>
    </row>
    <row r="512" spans="1:15" ht="12.75">
      <c r="A512" s="1" t="s">
        <v>1162</v>
      </c>
      <c r="B512" s="12" t="s">
        <v>1258</v>
      </c>
      <c r="C512" s="165" t="s">
        <v>1259</v>
      </c>
      <c r="D512" s="171" t="s">
        <v>170</v>
      </c>
      <c r="E512" s="13">
        <v>14317074</v>
      </c>
      <c r="F512" s="18">
        <v>14889975</v>
      </c>
      <c r="G512" s="13">
        <v>8697225</v>
      </c>
      <c r="H512" s="18">
        <v>11020414</v>
      </c>
      <c r="I512" s="12"/>
      <c r="J512" s="18"/>
      <c r="K512" s="12"/>
      <c r="L512" s="12"/>
      <c r="M512" s="12"/>
      <c r="N512" s="12"/>
      <c r="O512" s="12"/>
    </row>
    <row r="513" spans="1:15" ht="12.75">
      <c r="A513" s="1" t="s">
        <v>1162</v>
      </c>
      <c r="B513" s="12" t="s">
        <v>1494</v>
      </c>
      <c r="C513" s="1"/>
      <c r="D513" s="171" t="s">
        <v>170</v>
      </c>
      <c r="E513" s="13">
        <v>81620441</v>
      </c>
      <c r="F513" s="18">
        <v>75360868</v>
      </c>
      <c r="G513" s="13">
        <v>39656895</v>
      </c>
      <c r="H513" s="18">
        <v>39108145</v>
      </c>
      <c r="I513" s="12"/>
      <c r="J513" s="18"/>
      <c r="K513" s="12"/>
      <c r="L513" s="12"/>
      <c r="M513" s="12"/>
      <c r="N513" s="12"/>
      <c r="O513" s="12"/>
    </row>
    <row r="514" spans="1:15" ht="12.75">
      <c r="A514" s="1" t="s">
        <v>1162</v>
      </c>
      <c r="B514" s="12" t="s">
        <v>1260</v>
      </c>
      <c r="C514" s="165" t="s">
        <v>1261</v>
      </c>
      <c r="D514" s="171" t="s">
        <v>170</v>
      </c>
      <c r="E514" s="13">
        <v>21659087</v>
      </c>
      <c r="F514" s="18">
        <v>20337637</v>
      </c>
      <c r="G514" s="13">
        <v>12587468</v>
      </c>
      <c r="H514" s="18">
        <v>13432953</v>
      </c>
      <c r="I514" s="12"/>
      <c r="J514" s="18"/>
      <c r="K514" s="12"/>
      <c r="L514" s="12"/>
      <c r="M514" s="12"/>
      <c r="N514" s="12"/>
      <c r="O514" s="12"/>
    </row>
    <row r="515" spans="1:15" ht="12.75">
      <c r="A515" s="1" t="s">
        <v>1162</v>
      </c>
      <c r="B515" s="12" t="s">
        <v>1262</v>
      </c>
      <c r="C515" s="165" t="s">
        <v>1263</v>
      </c>
      <c r="D515" s="170" t="s">
        <v>170</v>
      </c>
      <c r="E515" s="12"/>
      <c r="F515" s="15"/>
      <c r="G515" s="12"/>
      <c r="H515" s="15"/>
      <c r="I515" s="12"/>
      <c r="J515" s="15"/>
      <c r="K515" s="12"/>
      <c r="L515" s="12"/>
      <c r="M515" s="12"/>
      <c r="N515" s="12"/>
      <c r="O515" s="12"/>
    </row>
    <row r="516" spans="1:15" ht="12.75">
      <c r="A516" s="1" t="s">
        <v>1162</v>
      </c>
      <c r="B516" s="12" t="s">
        <v>1264</v>
      </c>
      <c r="C516" s="165" t="s">
        <v>1265</v>
      </c>
      <c r="D516" s="170" t="s">
        <v>170</v>
      </c>
      <c r="E516" s="12"/>
      <c r="F516" s="15"/>
      <c r="G516" s="12"/>
      <c r="H516" s="15"/>
      <c r="I516" s="12"/>
      <c r="J516" s="15"/>
      <c r="K516" s="12"/>
      <c r="L516" s="12"/>
      <c r="M516" s="12"/>
      <c r="N516" s="12"/>
      <c r="O516" s="12"/>
    </row>
    <row r="517" spans="1:15" ht="12.75">
      <c r="A517" s="1" t="s">
        <v>1162</v>
      </c>
      <c r="B517" s="12" t="s">
        <v>1266</v>
      </c>
      <c r="C517" s="165" t="s">
        <v>1267</v>
      </c>
      <c r="D517" s="171" t="s">
        <v>170</v>
      </c>
      <c r="E517" s="13">
        <v>30701447</v>
      </c>
      <c r="F517" s="18">
        <v>33313142</v>
      </c>
      <c r="G517" s="13">
        <v>13670244</v>
      </c>
      <c r="H517" s="18">
        <v>13783944</v>
      </c>
      <c r="I517" s="12"/>
      <c r="J517" s="18"/>
      <c r="K517" s="12"/>
      <c r="L517" s="12"/>
      <c r="M517" s="12"/>
      <c r="N517" s="12"/>
      <c r="O517" s="12"/>
    </row>
    <row r="518" spans="1:15" ht="12.75">
      <c r="A518" s="1" t="s">
        <v>1162</v>
      </c>
      <c r="B518" s="12" t="s">
        <v>1268</v>
      </c>
      <c r="C518" s="165" t="s">
        <v>1269</v>
      </c>
      <c r="D518" s="171" t="s">
        <v>170</v>
      </c>
      <c r="E518" s="13">
        <v>2634895</v>
      </c>
      <c r="F518" s="18">
        <v>2503474</v>
      </c>
      <c r="G518" s="13">
        <v>907139</v>
      </c>
      <c r="H518" s="18">
        <v>882780</v>
      </c>
      <c r="I518" s="12"/>
      <c r="J518" s="18"/>
      <c r="K518" s="12"/>
      <c r="L518" s="12"/>
      <c r="M518" s="12"/>
      <c r="N518" s="12"/>
      <c r="O518" s="12"/>
    </row>
    <row r="519" spans="1:15" ht="12.75">
      <c r="A519" s="1" t="s">
        <v>1162</v>
      </c>
      <c r="B519" s="12" t="s">
        <v>1270</v>
      </c>
      <c r="C519" s="165" t="s">
        <v>1271</v>
      </c>
      <c r="D519" s="171" t="s">
        <v>170</v>
      </c>
      <c r="E519" s="13">
        <v>4562446</v>
      </c>
      <c r="F519" s="18">
        <v>4463811</v>
      </c>
      <c r="G519" s="13">
        <v>3690164</v>
      </c>
      <c r="H519" s="18">
        <v>3632248</v>
      </c>
      <c r="I519" s="12"/>
      <c r="J519" s="18"/>
      <c r="K519" s="12"/>
      <c r="L519" s="12"/>
      <c r="M519" s="12"/>
      <c r="N519" s="12"/>
      <c r="O519" s="12"/>
    </row>
    <row r="520" spans="1:15" ht="12.75">
      <c r="A520" s="1" t="s">
        <v>1162</v>
      </c>
      <c r="B520" s="12" t="s">
        <v>1272</v>
      </c>
      <c r="C520" s="165" t="s">
        <v>1273</v>
      </c>
      <c r="D520" s="171" t="s">
        <v>170</v>
      </c>
      <c r="E520" s="13">
        <v>6544758</v>
      </c>
      <c r="F520" s="18">
        <v>6426313</v>
      </c>
      <c r="G520" s="13">
        <v>2652260</v>
      </c>
      <c r="H520" s="18">
        <v>2768490</v>
      </c>
      <c r="I520" s="12"/>
      <c r="J520" s="18"/>
      <c r="K520" s="12"/>
      <c r="L520" s="12"/>
      <c r="M520" s="12"/>
      <c r="N520" s="12"/>
      <c r="O520" s="12"/>
    </row>
    <row r="521" spans="1:15" ht="12.75">
      <c r="A521" s="1" t="s">
        <v>1162</v>
      </c>
      <c r="B521" s="12" t="s">
        <v>1274</v>
      </c>
      <c r="C521" s="165" t="s">
        <v>1275</v>
      </c>
      <c r="D521" s="171" t="s">
        <v>170</v>
      </c>
      <c r="E521" s="13">
        <v>4428189</v>
      </c>
      <c r="F521" s="18">
        <v>5264242</v>
      </c>
      <c r="G521" s="13">
        <v>436282</v>
      </c>
      <c r="H521" s="18">
        <v>458709</v>
      </c>
      <c r="I521" s="12"/>
      <c r="J521" s="18"/>
      <c r="K521" s="12"/>
      <c r="L521" s="12"/>
      <c r="M521" s="12"/>
      <c r="N521" s="12"/>
      <c r="O521" s="12"/>
    </row>
    <row r="522" spans="1:15" ht="12.75">
      <c r="A522" s="1" t="s">
        <v>1162</v>
      </c>
      <c r="B522" s="12" t="s">
        <v>1276</v>
      </c>
      <c r="C522" s="165" t="s">
        <v>1277</v>
      </c>
      <c r="D522" s="171" t="s">
        <v>170</v>
      </c>
      <c r="E522" s="13">
        <v>58981806</v>
      </c>
      <c r="F522" s="18">
        <v>61795248</v>
      </c>
      <c r="G522" s="13">
        <v>26260346</v>
      </c>
      <c r="H522" s="18">
        <v>27674925</v>
      </c>
      <c r="I522" s="12"/>
      <c r="J522" s="18"/>
      <c r="K522" s="12"/>
      <c r="L522" s="12"/>
      <c r="M522" s="12"/>
      <c r="N522" s="12"/>
      <c r="O522" s="12"/>
    </row>
    <row r="523" spans="1:15" ht="12.75">
      <c r="A523" s="1" t="s">
        <v>1162</v>
      </c>
      <c r="B523" s="12" t="s">
        <v>1278</v>
      </c>
      <c r="C523" s="165" t="s">
        <v>1279</v>
      </c>
      <c r="D523" s="171" t="s">
        <v>170</v>
      </c>
      <c r="E523" s="13">
        <v>8211819</v>
      </c>
      <c r="F523" s="18">
        <v>9525137</v>
      </c>
      <c r="G523" s="13">
        <v>2277097</v>
      </c>
      <c r="H523" s="18">
        <v>2178512</v>
      </c>
      <c r="I523" s="12"/>
      <c r="J523" s="18"/>
      <c r="K523" s="12"/>
      <c r="L523" s="12"/>
      <c r="M523" s="12"/>
      <c r="N523" s="12"/>
      <c r="O523" s="12"/>
    </row>
    <row r="524" spans="1:15" ht="12.75">
      <c r="A524" s="1" t="s">
        <v>1162</v>
      </c>
      <c r="B524" s="12" t="s">
        <v>1280</v>
      </c>
      <c r="C524" s="165" t="s">
        <v>1281</v>
      </c>
      <c r="D524" s="171" t="s">
        <v>170</v>
      </c>
      <c r="E524" s="13">
        <v>11568219</v>
      </c>
      <c r="F524" s="18">
        <v>10730393</v>
      </c>
      <c r="G524" s="13">
        <v>2901132</v>
      </c>
      <c r="H524" s="18">
        <v>2764624</v>
      </c>
      <c r="I524" s="12"/>
      <c r="J524" s="18"/>
      <c r="K524" s="12"/>
      <c r="L524" s="12"/>
      <c r="M524" s="12"/>
      <c r="N524" s="12"/>
      <c r="O524" s="12"/>
    </row>
    <row r="525" spans="1:15" ht="12.75">
      <c r="A525" s="1" t="s">
        <v>1162</v>
      </c>
      <c r="B525" s="12" t="s">
        <v>1282</v>
      </c>
      <c r="C525" s="1"/>
      <c r="D525" s="171" t="s">
        <v>170</v>
      </c>
      <c r="E525" s="13">
        <v>3181674</v>
      </c>
      <c r="F525" s="18">
        <v>3900162</v>
      </c>
      <c r="G525" s="12"/>
      <c r="H525" s="18"/>
      <c r="I525" s="12"/>
      <c r="J525" s="18"/>
      <c r="K525" s="12"/>
      <c r="L525" s="12"/>
      <c r="M525" s="12"/>
      <c r="N525" s="12"/>
      <c r="O525" s="12"/>
    </row>
    <row r="526" spans="1:15" ht="12.75">
      <c r="A526" s="1" t="s">
        <v>1162</v>
      </c>
      <c r="B526" s="12" t="s">
        <v>1283</v>
      </c>
      <c r="C526" s="165" t="s">
        <v>1284</v>
      </c>
      <c r="D526" s="171" t="s">
        <v>170</v>
      </c>
      <c r="E526" s="13">
        <v>3996466</v>
      </c>
      <c r="F526" s="18">
        <v>4146994</v>
      </c>
      <c r="G526" s="12"/>
      <c r="H526" s="18"/>
      <c r="I526" s="12"/>
      <c r="J526" s="18"/>
      <c r="K526" s="12"/>
      <c r="L526" s="12"/>
      <c r="M526" s="12"/>
      <c r="N526" s="12"/>
      <c r="O526" s="12"/>
    </row>
    <row r="527" spans="1:15" ht="12.75">
      <c r="A527" s="1" t="s">
        <v>1162</v>
      </c>
      <c r="B527" s="12" t="s">
        <v>1285</v>
      </c>
      <c r="C527" s="165" t="s">
        <v>1286</v>
      </c>
      <c r="D527" s="171" t="s">
        <v>170</v>
      </c>
      <c r="E527" s="13">
        <v>4850425</v>
      </c>
      <c r="F527" s="18">
        <v>6546494</v>
      </c>
      <c r="G527" s="12"/>
      <c r="H527" s="18"/>
      <c r="I527" s="12"/>
      <c r="J527" s="18"/>
      <c r="K527" s="12"/>
      <c r="L527" s="12"/>
      <c r="M527" s="12"/>
      <c r="N527" s="12"/>
      <c r="O527" s="12"/>
    </row>
    <row r="528" spans="1:15" ht="12.75">
      <c r="A528" s="1" t="s">
        <v>1162</v>
      </c>
      <c r="B528" s="12" t="s">
        <v>1287</v>
      </c>
      <c r="C528" s="165" t="s">
        <v>1288</v>
      </c>
      <c r="D528" s="171" t="s">
        <v>170</v>
      </c>
      <c r="E528" s="13">
        <v>12179785</v>
      </c>
      <c r="F528" s="18">
        <v>13130451</v>
      </c>
      <c r="G528" s="13">
        <v>4864122</v>
      </c>
      <c r="H528" s="18">
        <v>5394552</v>
      </c>
      <c r="I528" s="12"/>
      <c r="J528" s="18"/>
      <c r="K528" s="12"/>
      <c r="L528" s="12"/>
      <c r="M528" s="12"/>
      <c r="N528" s="12"/>
      <c r="O528" s="12"/>
    </row>
    <row r="529" spans="1:15" ht="12.75">
      <c r="A529" s="1" t="s">
        <v>1162</v>
      </c>
      <c r="B529" s="12" t="s">
        <v>1289</v>
      </c>
      <c r="C529" s="165" t="s">
        <v>1290</v>
      </c>
      <c r="D529" s="171" t="s">
        <v>170</v>
      </c>
      <c r="E529" s="13">
        <v>11273003</v>
      </c>
      <c r="F529" s="18">
        <v>11168988</v>
      </c>
      <c r="G529" s="13">
        <v>7603624</v>
      </c>
      <c r="H529" s="18">
        <v>7591970</v>
      </c>
      <c r="I529" s="12"/>
      <c r="J529" s="18"/>
      <c r="K529" s="12"/>
      <c r="L529" s="12"/>
      <c r="M529" s="12"/>
      <c r="N529" s="12"/>
      <c r="O529" s="12"/>
    </row>
    <row r="530" spans="1:15" ht="12.75">
      <c r="A530" s="1" t="s">
        <v>1162</v>
      </c>
      <c r="B530" s="12" t="s">
        <v>1291</v>
      </c>
      <c r="C530" s="165" t="s">
        <v>1292</v>
      </c>
      <c r="D530" s="171" t="s">
        <v>170</v>
      </c>
      <c r="E530" s="13">
        <v>12436271</v>
      </c>
      <c r="F530" s="18">
        <v>11890184</v>
      </c>
      <c r="G530" s="13">
        <v>2812078</v>
      </c>
      <c r="H530" s="18">
        <v>3040628</v>
      </c>
      <c r="I530" s="12"/>
      <c r="J530" s="18"/>
      <c r="K530" s="12"/>
      <c r="L530" s="12"/>
      <c r="M530" s="12"/>
      <c r="N530" s="12"/>
      <c r="O530" s="12"/>
    </row>
    <row r="531" spans="1:15" ht="12.75">
      <c r="A531" s="1" t="s">
        <v>1162</v>
      </c>
      <c r="B531" s="12" t="s">
        <v>1293</v>
      </c>
      <c r="C531" s="165" t="s">
        <v>1294</v>
      </c>
      <c r="D531" s="171" t="s">
        <v>170</v>
      </c>
      <c r="E531" s="13">
        <v>7263322</v>
      </c>
      <c r="F531" s="18">
        <v>7025550</v>
      </c>
      <c r="G531" s="13">
        <v>3752027</v>
      </c>
      <c r="H531" s="18">
        <v>3913206</v>
      </c>
      <c r="I531" s="12"/>
      <c r="J531" s="18"/>
      <c r="K531" s="12"/>
      <c r="L531" s="12"/>
      <c r="M531" s="12"/>
      <c r="N531" s="12"/>
      <c r="O531" s="12"/>
    </row>
    <row r="532" spans="1:15" ht="12.75">
      <c r="A532" s="1" t="s">
        <v>1162</v>
      </c>
      <c r="B532" s="12" t="s">
        <v>1295</v>
      </c>
      <c r="C532" s="165" t="s">
        <v>1296</v>
      </c>
      <c r="D532" s="170" t="s">
        <v>170</v>
      </c>
      <c r="E532" s="12"/>
      <c r="F532" s="15"/>
      <c r="G532" s="12"/>
      <c r="H532" s="15"/>
      <c r="I532" s="12"/>
      <c r="J532" s="15"/>
      <c r="K532" s="12"/>
      <c r="L532" s="12"/>
      <c r="M532" s="12"/>
      <c r="N532" s="12"/>
      <c r="O532" s="12"/>
    </row>
    <row r="533" spans="1:15" ht="12.75">
      <c r="A533" s="1" t="s">
        <v>1162</v>
      </c>
      <c r="B533" s="12" t="s">
        <v>1297</v>
      </c>
      <c r="C533" s="165" t="s">
        <v>1298</v>
      </c>
      <c r="D533" s="171" t="s">
        <v>170</v>
      </c>
      <c r="E533" s="13">
        <v>6650986</v>
      </c>
      <c r="F533" s="18">
        <v>6663830</v>
      </c>
      <c r="G533" s="13">
        <v>1292362</v>
      </c>
      <c r="H533" s="18">
        <v>1291047</v>
      </c>
      <c r="I533" s="12"/>
      <c r="J533" s="18"/>
      <c r="K533" s="12"/>
      <c r="L533" s="12"/>
      <c r="M533" s="12"/>
      <c r="N533" s="12"/>
      <c r="O533" s="12"/>
    </row>
    <row r="534" spans="1:15" ht="12.75">
      <c r="A534" s="1" t="s">
        <v>1162</v>
      </c>
      <c r="B534" s="12" t="s">
        <v>1299</v>
      </c>
      <c r="C534" s="165" t="s">
        <v>1300</v>
      </c>
      <c r="D534" s="171" t="s">
        <v>170</v>
      </c>
      <c r="E534" s="13">
        <v>5649437</v>
      </c>
      <c r="F534" s="18">
        <v>5759811</v>
      </c>
      <c r="G534" s="13">
        <v>904649</v>
      </c>
      <c r="H534" s="18">
        <v>956477</v>
      </c>
      <c r="I534" s="12"/>
      <c r="J534" s="18"/>
      <c r="K534" s="12"/>
      <c r="L534" s="12"/>
      <c r="M534" s="12"/>
      <c r="N534" s="12"/>
      <c r="O534" s="12"/>
    </row>
    <row r="535" spans="1:15" ht="12.75">
      <c r="A535" s="1" t="s">
        <v>1162</v>
      </c>
      <c r="B535" s="12" t="s">
        <v>1301</v>
      </c>
      <c r="C535" s="165" t="s">
        <v>1302</v>
      </c>
      <c r="D535" s="171" t="s">
        <v>170</v>
      </c>
      <c r="E535" s="13">
        <v>27348179</v>
      </c>
      <c r="F535" s="18">
        <v>27757155</v>
      </c>
      <c r="G535" s="13">
        <v>12114606</v>
      </c>
      <c r="H535" s="18">
        <v>12820177</v>
      </c>
      <c r="I535" s="12"/>
      <c r="J535" s="18"/>
      <c r="K535" s="12"/>
      <c r="L535" s="12"/>
      <c r="M535" s="12"/>
      <c r="N535" s="12"/>
      <c r="O535" s="12"/>
    </row>
    <row r="536" spans="1:15" ht="12.75">
      <c r="A536" s="1" t="s">
        <v>1162</v>
      </c>
      <c r="B536" s="12" t="s">
        <v>1303</v>
      </c>
      <c r="C536" s="165" t="s">
        <v>1304</v>
      </c>
      <c r="D536" s="170" t="s">
        <v>170</v>
      </c>
      <c r="E536" s="12"/>
      <c r="F536" s="15"/>
      <c r="G536" s="12"/>
      <c r="H536" s="15"/>
      <c r="I536" s="12"/>
      <c r="J536" s="15"/>
      <c r="K536" s="12"/>
      <c r="L536" s="12"/>
      <c r="M536" s="12"/>
      <c r="N536" s="12"/>
      <c r="O536" s="12"/>
    </row>
    <row r="537" spans="1:15" ht="12.75">
      <c r="A537" s="1" t="s">
        <v>1162</v>
      </c>
      <c r="B537" s="12" t="s">
        <v>1305</v>
      </c>
      <c r="C537" s="165" t="s">
        <v>1306</v>
      </c>
      <c r="D537" s="171" t="s">
        <v>170</v>
      </c>
      <c r="E537" s="13">
        <v>3869134</v>
      </c>
      <c r="F537" s="18">
        <v>4013250</v>
      </c>
      <c r="G537" s="13">
        <v>1259751</v>
      </c>
      <c r="H537" s="18">
        <v>1333265</v>
      </c>
      <c r="I537" s="12"/>
      <c r="J537" s="18"/>
      <c r="K537" s="12"/>
      <c r="L537" s="12"/>
      <c r="M537" s="12"/>
      <c r="N537" s="12"/>
      <c r="O537" s="12"/>
    </row>
    <row r="538" spans="1:15" ht="12.75">
      <c r="A538" s="1" t="s">
        <v>1162</v>
      </c>
      <c r="B538" s="12" t="s">
        <v>1307</v>
      </c>
      <c r="C538" s="165" t="s">
        <v>1308</v>
      </c>
      <c r="D538" s="171" t="s">
        <v>170</v>
      </c>
      <c r="E538" s="13">
        <v>10401762</v>
      </c>
      <c r="F538" s="18">
        <v>8993249</v>
      </c>
      <c r="G538" s="13">
        <v>7174129</v>
      </c>
      <c r="H538" s="18">
        <v>7694878</v>
      </c>
      <c r="I538" s="12"/>
      <c r="J538" s="18"/>
      <c r="K538" s="12"/>
      <c r="L538" s="12"/>
      <c r="M538" s="12"/>
      <c r="N538" s="12"/>
      <c r="O538" s="12"/>
    </row>
    <row r="539" spans="1:15" ht="12.75">
      <c r="A539" s="1" t="s">
        <v>1162</v>
      </c>
      <c r="B539" s="12" t="s">
        <v>1309</v>
      </c>
      <c r="C539" s="165" t="s">
        <v>1310</v>
      </c>
      <c r="D539" s="170" t="s">
        <v>170</v>
      </c>
      <c r="E539" s="12"/>
      <c r="F539" s="15"/>
      <c r="G539" s="12"/>
      <c r="H539" s="15"/>
      <c r="I539" s="12"/>
      <c r="J539" s="15"/>
      <c r="K539" s="12"/>
      <c r="L539" s="12"/>
      <c r="M539" s="12"/>
      <c r="N539" s="12"/>
      <c r="O539" s="12"/>
    </row>
    <row r="540" spans="1:15" ht="12.75">
      <c r="A540" s="1" t="s">
        <v>1162</v>
      </c>
      <c r="B540" s="12" t="s">
        <v>1311</v>
      </c>
      <c r="C540" s="165" t="s">
        <v>1312</v>
      </c>
      <c r="D540" s="171" t="s">
        <v>170</v>
      </c>
      <c r="E540" s="13">
        <v>3417426</v>
      </c>
      <c r="F540" s="18">
        <v>3591853</v>
      </c>
      <c r="G540" s="13">
        <v>2393599</v>
      </c>
      <c r="H540" s="18">
        <v>2491307</v>
      </c>
      <c r="I540" s="12"/>
      <c r="J540" s="18"/>
      <c r="K540" s="12"/>
      <c r="L540" s="12"/>
      <c r="M540" s="12"/>
      <c r="N540" s="12"/>
      <c r="O540" s="12"/>
    </row>
    <row r="541" spans="1:15" ht="12.75">
      <c r="A541" s="1" t="s">
        <v>1162</v>
      </c>
      <c r="B541" s="12" t="s">
        <v>1313</v>
      </c>
      <c r="C541" s="165" t="s">
        <v>1314</v>
      </c>
      <c r="D541" s="171" t="s">
        <v>170</v>
      </c>
      <c r="E541" s="13">
        <v>6187856</v>
      </c>
      <c r="F541" s="18">
        <v>6016669</v>
      </c>
      <c r="G541" s="13">
        <v>982305</v>
      </c>
      <c r="H541" s="18">
        <v>1079915</v>
      </c>
      <c r="I541" s="12"/>
      <c r="J541" s="18"/>
      <c r="K541" s="12"/>
      <c r="L541" s="12"/>
      <c r="M541" s="12"/>
      <c r="N541" s="12"/>
      <c r="O541" s="12"/>
    </row>
    <row r="542" spans="1:15" ht="12.75">
      <c r="A542" s="1" t="s">
        <v>1162</v>
      </c>
      <c r="B542" s="12" t="s">
        <v>1315</v>
      </c>
      <c r="C542" s="165" t="s">
        <v>1316</v>
      </c>
      <c r="D542" s="171" t="s">
        <v>170</v>
      </c>
      <c r="E542" s="13">
        <v>2397337</v>
      </c>
      <c r="F542" s="18">
        <v>2322644</v>
      </c>
      <c r="G542" s="13">
        <v>127204</v>
      </c>
      <c r="H542" s="18">
        <v>126667</v>
      </c>
      <c r="I542" s="12"/>
      <c r="J542" s="18"/>
      <c r="K542" s="12"/>
      <c r="L542" s="12"/>
      <c r="M542" s="12"/>
      <c r="N542" s="12"/>
      <c r="O542" s="12"/>
    </row>
    <row r="543" spans="1:15" ht="12.75">
      <c r="A543" s="1" t="s">
        <v>1162</v>
      </c>
      <c r="B543" s="12" t="s">
        <v>1317</v>
      </c>
      <c r="C543" s="165" t="s">
        <v>1318</v>
      </c>
      <c r="D543" s="170" t="s">
        <v>170</v>
      </c>
      <c r="E543" s="12"/>
      <c r="F543" s="15"/>
      <c r="G543" s="12"/>
      <c r="H543" s="15"/>
      <c r="I543" s="12"/>
      <c r="J543" s="15"/>
      <c r="K543" s="12"/>
      <c r="L543" s="12"/>
      <c r="M543" s="12"/>
      <c r="N543" s="12"/>
      <c r="O543" s="12"/>
    </row>
    <row r="544" spans="1:15" ht="12.75">
      <c r="A544" s="1" t="s">
        <v>1162</v>
      </c>
      <c r="B544" s="12" t="s">
        <v>1319</v>
      </c>
      <c r="C544" s="165" t="s">
        <v>1320</v>
      </c>
      <c r="D544" s="170" t="s">
        <v>170</v>
      </c>
      <c r="E544" s="12"/>
      <c r="F544" s="15"/>
      <c r="G544" s="12"/>
      <c r="H544" s="15"/>
      <c r="I544" s="12"/>
      <c r="J544" s="15"/>
      <c r="K544" s="12"/>
      <c r="L544" s="12"/>
      <c r="M544" s="12"/>
      <c r="N544" s="12"/>
      <c r="O544" s="12"/>
    </row>
    <row r="545" spans="1:15" ht="12.75">
      <c r="A545" s="1" t="s">
        <v>1162</v>
      </c>
      <c r="B545" s="12" t="s">
        <v>1321</v>
      </c>
      <c r="C545" s="165" t="s">
        <v>1322</v>
      </c>
      <c r="D545" s="171" t="s">
        <v>170</v>
      </c>
      <c r="E545" s="13">
        <v>32282347</v>
      </c>
      <c r="F545" s="18">
        <v>30455897</v>
      </c>
      <c r="G545" s="13">
        <v>15525619</v>
      </c>
      <c r="H545" s="18">
        <v>16012563</v>
      </c>
      <c r="I545" s="12"/>
      <c r="J545" s="18"/>
      <c r="K545" s="12"/>
      <c r="L545" s="12"/>
      <c r="M545" s="12"/>
      <c r="N545" s="12"/>
      <c r="O545" s="12"/>
    </row>
    <row r="546" spans="1:15" ht="12.75">
      <c r="A546" s="1" t="s">
        <v>1162</v>
      </c>
      <c r="B546" s="12" t="s">
        <v>1323</v>
      </c>
      <c r="C546" s="165" t="s">
        <v>1324</v>
      </c>
      <c r="D546" s="171" t="s">
        <v>170</v>
      </c>
      <c r="E546" s="13">
        <v>12356488</v>
      </c>
      <c r="F546" s="18">
        <v>12555591</v>
      </c>
      <c r="G546" s="13">
        <v>4857610</v>
      </c>
      <c r="H546" s="18">
        <v>4752694</v>
      </c>
      <c r="I546" s="12"/>
      <c r="J546" s="18"/>
      <c r="K546" s="12"/>
      <c r="L546" s="12"/>
      <c r="M546" s="12"/>
      <c r="N546" s="12"/>
      <c r="O546" s="12"/>
    </row>
    <row r="547" spans="1:15" ht="12.75">
      <c r="A547" s="1" t="s">
        <v>1162</v>
      </c>
      <c r="B547" s="12" t="s">
        <v>1325</v>
      </c>
      <c r="C547" s="165" t="s">
        <v>1326</v>
      </c>
      <c r="D547" s="171" t="s">
        <v>170</v>
      </c>
      <c r="E547" s="12"/>
      <c r="F547" s="18">
        <v>6134113</v>
      </c>
      <c r="G547" s="12"/>
      <c r="H547" s="18"/>
      <c r="I547" s="12"/>
      <c r="J547" s="18"/>
      <c r="K547" s="12"/>
      <c r="L547" s="12"/>
      <c r="M547" s="12"/>
      <c r="N547" s="12"/>
      <c r="O547" s="12"/>
    </row>
    <row r="548" spans="1:15" ht="12.75">
      <c r="A548" s="1" t="s">
        <v>1162</v>
      </c>
      <c r="B548" s="12" t="s">
        <v>1327</v>
      </c>
      <c r="C548" s="165" t="s">
        <v>1328</v>
      </c>
      <c r="D548" s="171" t="s">
        <v>170</v>
      </c>
      <c r="E548" s="13">
        <v>5136281</v>
      </c>
      <c r="F548" s="18">
        <v>5674633</v>
      </c>
      <c r="G548" s="13">
        <v>366827</v>
      </c>
      <c r="H548" s="18">
        <v>366196</v>
      </c>
      <c r="I548" s="12"/>
      <c r="J548" s="18"/>
      <c r="K548" s="12"/>
      <c r="L548" s="12"/>
      <c r="M548" s="12"/>
      <c r="N548" s="12"/>
      <c r="O548" s="12"/>
    </row>
    <row r="549" spans="1:15" ht="12.75">
      <c r="A549" s="1" t="s">
        <v>1162</v>
      </c>
      <c r="B549" s="12" t="s">
        <v>1329</v>
      </c>
      <c r="C549" s="165" t="s">
        <v>1330</v>
      </c>
      <c r="D549" s="170" t="s">
        <v>170</v>
      </c>
      <c r="E549" s="12"/>
      <c r="F549" s="15"/>
      <c r="G549" s="12"/>
      <c r="H549" s="15"/>
      <c r="I549" s="12"/>
      <c r="J549" s="15"/>
      <c r="K549" s="12"/>
      <c r="L549" s="12"/>
      <c r="M549" s="12"/>
      <c r="N549" s="12"/>
      <c r="O549" s="12"/>
    </row>
    <row r="550" spans="1:15" ht="12.75">
      <c r="A550" s="1" t="s">
        <v>1162</v>
      </c>
      <c r="B550" s="12" t="s">
        <v>1331</v>
      </c>
      <c r="C550" s="165" t="s">
        <v>1332</v>
      </c>
      <c r="D550" s="171" t="s">
        <v>170</v>
      </c>
      <c r="E550" s="13">
        <v>40807579</v>
      </c>
      <c r="F550" s="18">
        <v>37641406</v>
      </c>
      <c r="G550" s="13">
        <v>13847957</v>
      </c>
      <c r="H550" s="18">
        <v>14963454</v>
      </c>
      <c r="I550" s="12"/>
      <c r="J550" s="18"/>
      <c r="K550" s="12"/>
      <c r="L550" s="12"/>
      <c r="M550" s="12"/>
      <c r="N550" s="12"/>
      <c r="O550" s="12"/>
    </row>
    <row r="551" spans="1:15" ht="12.75">
      <c r="A551" s="1" t="s">
        <v>1162</v>
      </c>
      <c r="B551" s="12" t="s">
        <v>1333</v>
      </c>
      <c r="C551" s="165" t="s">
        <v>1334</v>
      </c>
      <c r="D551" s="171" t="s">
        <v>170</v>
      </c>
      <c r="E551" s="13">
        <v>4567656</v>
      </c>
      <c r="F551" s="18">
        <v>4701488</v>
      </c>
      <c r="G551" s="13">
        <v>2592068</v>
      </c>
      <c r="H551" s="18">
        <v>2785218</v>
      </c>
      <c r="I551" s="12"/>
      <c r="J551" s="18"/>
      <c r="K551" s="12"/>
      <c r="L551" s="12"/>
      <c r="M551" s="12"/>
      <c r="N551" s="12"/>
      <c r="O551" s="12"/>
    </row>
    <row r="552" spans="1:15" ht="12.75">
      <c r="A552" s="1" t="s">
        <v>1162</v>
      </c>
      <c r="B552" s="12" t="s">
        <v>1335</v>
      </c>
      <c r="C552" s="165" t="s">
        <v>1336</v>
      </c>
      <c r="D552" s="171" t="s">
        <v>170</v>
      </c>
      <c r="E552" s="13">
        <v>9139160</v>
      </c>
      <c r="F552" s="18">
        <v>8475471</v>
      </c>
      <c r="G552" s="13">
        <v>571553</v>
      </c>
      <c r="H552" s="18">
        <v>581925</v>
      </c>
      <c r="I552" s="12"/>
      <c r="J552" s="18"/>
      <c r="K552" s="12"/>
      <c r="L552" s="12"/>
      <c r="M552" s="12"/>
      <c r="N552" s="12"/>
      <c r="O552" s="12"/>
    </row>
    <row r="553" spans="1:15" ht="12.75">
      <c r="A553" s="1" t="s">
        <v>1162</v>
      </c>
      <c r="B553" s="12" t="s">
        <v>1337</v>
      </c>
      <c r="C553" s="165" t="s">
        <v>1338</v>
      </c>
      <c r="D553" s="171" t="s">
        <v>170</v>
      </c>
      <c r="E553" s="13">
        <v>10571514</v>
      </c>
      <c r="F553" s="18">
        <v>10362929</v>
      </c>
      <c r="G553" s="13">
        <v>1879907</v>
      </c>
      <c r="H553" s="18">
        <v>1938934</v>
      </c>
      <c r="I553" s="12"/>
      <c r="J553" s="18"/>
      <c r="K553" s="12"/>
      <c r="L553" s="12"/>
      <c r="M553" s="12"/>
      <c r="N553" s="12"/>
      <c r="O553" s="12"/>
    </row>
    <row r="554" spans="1:15" ht="12.75">
      <c r="A554" s="1" t="s">
        <v>1162</v>
      </c>
      <c r="B554" s="12" t="s">
        <v>1339</v>
      </c>
      <c r="C554" s="165" t="s">
        <v>1340</v>
      </c>
      <c r="D554" s="171" t="s">
        <v>170</v>
      </c>
      <c r="E554" s="13">
        <v>6303182</v>
      </c>
      <c r="F554" s="18">
        <v>810830</v>
      </c>
      <c r="G554" s="12"/>
      <c r="H554" s="18"/>
      <c r="I554" s="12"/>
      <c r="J554" s="18"/>
      <c r="K554" s="12"/>
      <c r="L554" s="12"/>
      <c r="M554" s="12"/>
      <c r="N554" s="12"/>
      <c r="O554" s="12"/>
    </row>
    <row r="555" spans="1:15" ht="12.75">
      <c r="A555" s="1" t="s">
        <v>1162</v>
      </c>
      <c r="B555" s="12" t="s">
        <v>1341</v>
      </c>
      <c r="C555" s="165" t="s">
        <v>1342</v>
      </c>
      <c r="D555" s="171" t="s">
        <v>170</v>
      </c>
      <c r="E555" s="13">
        <v>16385468</v>
      </c>
      <c r="F555" s="18">
        <v>13480871</v>
      </c>
      <c r="G555" s="12"/>
      <c r="H555" s="18"/>
      <c r="I555" s="12"/>
      <c r="J555" s="18"/>
      <c r="K555" s="12"/>
      <c r="L555" s="12"/>
      <c r="M555" s="12"/>
      <c r="N555" s="12"/>
      <c r="O555" s="12"/>
    </row>
    <row r="556" spans="1:15" ht="12.75">
      <c r="A556" s="1" t="s">
        <v>1162</v>
      </c>
      <c r="B556" s="12" t="s">
        <v>1343</v>
      </c>
      <c r="C556" s="165" t="s">
        <v>1344</v>
      </c>
      <c r="D556" s="171" t="s">
        <v>170</v>
      </c>
      <c r="E556" s="13">
        <v>8255399</v>
      </c>
      <c r="F556" s="18">
        <v>9046014</v>
      </c>
      <c r="G556" s="12"/>
      <c r="H556" s="18"/>
      <c r="I556" s="12"/>
      <c r="J556" s="18"/>
      <c r="K556" s="12"/>
      <c r="L556" s="12"/>
      <c r="M556" s="12"/>
      <c r="N556" s="12"/>
      <c r="O556" s="12"/>
    </row>
    <row r="557" spans="1:15" ht="12.75">
      <c r="A557" s="1" t="s">
        <v>1162</v>
      </c>
      <c r="B557" s="12" t="s">
        <v>1345</v>
      </c>
      <c r="C557" s="165" t="s">
        <v>1346</v>
      </c>
      <c r="D557" s="171" t="s">
        <v>170</v>
      </c>
      <c r="E557" s="13">
        <v>28501946</v>
      </c>
      <c r="F557" s="18">
        <v>24705102</v>
      </c>
      <c r="G557" s="12"/>
      <c r="H557" s="18"/>
      <c r="I557" s="12"/>
      <c r="J557" s="18"/>
      <c r="K557" s="12"/>
      <c r="L557" s="12"/>
      <c r="M557" s="12"/>
      <c r="N557" s="12"/>
      <c r="O557" s="12"/>
    </row>
    <row r="558" spans="1:15" ht="12.75">
      <c r="A558" s="1" t="s">
        <v>1162</v>
      </c>
      <c r="B558" s="12" t="s">
        <v>1347</v>
      </c>
      <c r="C558" s="165" t="s">
        <v>1348</v>
      </c>
      <c r="D558" s="171" t="s">
        <v>170</v>
      </c>
      <c r="E558" s="13">
        <v>10205423</v>
      </c>
      <c r="F558" s="18">
        <v>10125450</v>
      </c>
      <c r="G558" s="13">
        <v>2283883</v>
      </c>
      <c r="H558" s="18">
        <v>2340549</v>
      </c>
      <c r="I558" s="12"/>
      <c r="J558" s="18"/>
      <c r="K558" s="12"/>
      <c r="L558" s="12"/>
      <c r="M558" s="12"/>
      <c r="N558" s="12"/>
      <c r="O558" s="12"/>
    </row>
    <row r="559" spans="1:15" ht="12.75">
      <c r="A559" s="1" t="s">
        <v>1162</v>
      </c>
      <c r="B559" s="12" t="s">
        <v>1349</v>
      </c>
      <c r="C559" s="165" t="s">
        <v>1350</v>
      </c>
      <c r="D559" s="171" t="s">
        <v>170</v>
      </c>
      <c r="E559" s="13">
        <v>15270483</v>
      </c>
      <c r="F559" s="18">
        <v>14195001</v>
      </c>
      <c r="G559" s="13">
        <v>5261474</v>
      </c>
      <c r="H559" s="18">
        <v>5532528</v>
      </c>
      <c r="I559" s="12"/>
      <c r="J559" s="18"/>
      <c r="K559" s="12"/>
      <c r="L559" s="12"/>
      <c r="M559" s="12"/>
      <c r="N559" s="12"/>
      <c r="O559" s="12"/>
    </row>
    <row r="560" spans="1:15" ht="12.75">
      <c r="A560" s="1" t="s">
        <v>1162</v>
      </c>
      <c r="B560" s="12" t="s">
        <v>1351</v>
      </c>
      <c r="C560" s="166" t="s">
        <v>1352</v>
      </c>
      <c r="D560" s="171" t="s">
        <v>170</v>
      </c>
      <c r="E560" s="13">
        <v>4110020</v>
      </c>
      <c r="F560" s="18">
        <v>3850711</v>
      </c>
      <c r="G560" s="13">
        <v>1567474</v>
      </c>
      <c r="H560" s="18">
        <v>1697035</v>
      </c>
      <c r="I560" s="12"/>
      <c r="J560" s="18"/>
      <c r="K560" s="12"/>
      <c r="L560" s="12"/>
      <c r="M560" s="12"/>
      <c r="N560" s="12"/>
      <c r="O560" s="12"/>
    </row>
    <row r="561" spans="1:15" ht="12.75">
      <c r="A561" s="1" t="s">
        <v>1162</v>
      </c>
      <c r="B561" s="12" t="s">
        <v>1353</v>
      </c>
      <c r="C561" s="165" t="s">
        <v>1354</v>
      </c>
      <c r="D561" s="171" t="s">
        <v>170</v>
      </c>
      <c r="E561" s="13">
        <v>6834854</v>
      </c>
      <c r="F561" s="18">
        <v>6654465</v>
      </c>
      <c r="G561" s="13">
        <v>2801700</v>
      </c>
      <c r="H561" s="18">
        <v>2837620</v>
      </c>
      <c r="I561" s="12"/>
      <c r="J561" s="18"/>
      <c r="K561" s="12"/>
      <c r="L561" s="12"/>
      <c r="M561" s="12"/>
      <c r="N561" s="12"/>
      <c r="O561" s="12"/>
    </row>
    <row r="562" spans="1:15" ht="12.75">
      <c r="A562" s="1" t="s">
        <v>1162</v>
      </c>
      <c r="B562" s="12" t="s">
        <v>1355</v>
      </c>
      <c r="C562" s="165" t="s">
        <v>1356</v>
      </c>
      <c r="D562" s="171" t="s">
        <v>170</v>
      </c>
      <c r="E562" s="13">
        <v>4103317</v>
      </c>
      <c r="F562" s="18">
        <v>4478908</v>
      </c>
      <c r="G562" s="13">
        <v>1087923</v>
      </c>
      <c r="H562" s="18">
        <v>1123827</v>
      </c>
      <c r="I562" s="12"/>
      <c r="J562" s="18"/>
      <c r="K562" s="12"/>
      <c r="L562" s="12"/>
      <c r="M562" s="12"/>
      <c r="N562" s="12"/>
      <c r="O562" s="12"/>
    </row>
    <row r="563" spans="1:15" ht="12.75">
      <c r="A563" s="1" t="s">
        <v>1162</v>
      </c>
      <c r="B563" s="12" t="s">
        <v>1357</v>
      </c>
      <c r="C563" s="165" t="s">
        <v>1358</v>
      </c>
      <c r="D563" s="171" t="s">
        <v>170</v>
      </c>
      <c r="E563" s="13">
        <v>2902346</v>
      </c>
      <c r="F563" s="18">
        <v>3220000</v>
      </c>
      <c r="G563" s="13">
        <v>1957564</v>
      </c>
      <c r="H563" s="18">
        <v>1952818</v>
      </c>
      <c r="I563" s="12"/>
      <c r="J563" s="18"/>
      <c r="K563" s="12"/>
      <c r="L563" s="12"/>
      <c r="M563" s="12"/>
      <c r="N563" s="12"/>
      <c r="O563" s="12"/>
    </row>
    <row r="564" spans="1:15" ht="12.75">
      <c r="A564" s="1" t="s">
        <v>1162</v>
      </c>
      <c r="B564" s="12" t="s">
        <v>1359</v>
      </c>
      <c r="C564" s="165" t="s">
        <v>1360</v>
      </c>
      <c r="D564" s="171" t="s">
        <v>170</v>
      </c>
      <c r="E564" s="13">
        <v>6824874</v>
      </c>
      <c r="F564" s="18">
        <v>7102545</v>
      </c>
      <c r="G564" s="13">
        <v>2689921</v>
      </c>
      <c r="H564" s="18">
        <v>2705216</v>
      </c>
      <c r="I564" s="12"/>
      <c r="J564" s="18"/>
      <c r="K564" s="12"/>
      <c r="L564" s="12"/>
      <c r="M564" s="12"/>
      <c r="N564" s="12"/>
      <c r="O564" s="12"/>
    </row>
    <row r="565" spans="1:16" ht="12.75">
      <c r="A565" s="1" t="s">
        <v>1162</v>
      </c>
      <c r="B565" s="12" t="s">
        <v>1495</v>
      </c>
      <c r="C565" s="1"/>
      <c r="D565" s="170" t="s">
        <v>305</v>
      </c>
      <c r="E565" s="12"/>
      <c r="F565" s="15"/>
      <c r="G565" s="12"/>
      <c r="H565" s="15"/>
      <c r="I565" s="12"/>
      <c r="J565" s="15"/>
      <c r="K565" s="12"/>
      <c r="L565" s="12"/>
      <c r="M565" s="12"/>
      <c r="N565" s="12"/>
      <c r="O565" s="12"/>
      <c r="P565" s="13">
        <v>1508029</v>
      </c>
    </row>
    <row r="566" spans="1:17" ht="12.75">
      <c r="A566" s="1" t="s">
        <v>1162</v>
      </c>
      <c r="B566" s="12" t="s">
        <v>1496</v>
      </c>
      <c r="C566" s="1"/>
      <c r="D566" s="170" t="s">
        <v>305</v>
      </c>
      <c r="E566" s="12"/>
      <c r="F566" s="15"/>
      <c r="G566" s="12"/>
      <c r="H566" s="15"/>
      <c r="I566" s="12"/>
      <c r="J566" s="15"/>
      <c r="K566" s="12"/>
      <c r="L566" s="12"/>
      <c r="M566" s="12"/>
      <c r="N566" s="12"/>
      <c r="O566" s="12"/>
      <c r="P566" s="13">
        <f>19602941+39264750</f>
        <v>58867691</v>
      </c>
      <c r="Q566" s="13">
        <f>33431142+13797793</f>
        <v>47228935</v>
      </c>
    </row>
    <row r="567" spans="1:16" ht="12.75">
      <c r="A567" s="1" t="s">
        <v>1162</v>
      </c>
      <c r="B567" s="12" t="s">
        <v>1497</v>
      </c>
      <c r="C567" s="1"/>
      <c r="D567" s="170" t="s">
        <v>305</v>
      </c>
      <c r="E567" s="12"/>
      <c r="F567" s="15"/>
      <c r="G567" s="12"/>
      <c r="H567" s="15"/>
      <c r="I567" s="12"/>
      <c r="J567" s="15"/>
      <c r="K567" s="12"/>
      <c r="L567" s="12"/>
      <c r="M567" s="12"/>
      <c r="N567" s="12"/>
      <c r="O567" s="12"/>
      <c r="P567" s="13">
        <v>208347</v>
      </c>
    </row>
    <row r="568" spans="1:15" ht="12.75">
      <c r="A568" s="1" t="s">
        <v>1162</v>
      </c>
      <c r="B568" s="12" t="s">
        <v>1361</v>
      </c>
      <c r="C568" s="165" t="s">
        <v>1362</v>
      </c>
      <c r="D568" s="170" t="s">
        <v>305</v>
      </c>
      <c r="E568" s="12"/>
      <c r="F568" s="15"/>
      <c r="G568" s="12"/>
      <c r="H568" s="15"/>
      <c r="I568" s="12"/>
      <c r="J568" s="18">
        <v>71966639</v>
      </c>
      <c r="K568" s="12"/>
      <c r="L568" s="12"/>
      <c r="M568" s="12"/>
      <c r="N568" s="12"/>
      <c r="O568" s="12"/>
    </row>
    <row r="569" spans="1:15" ht="12.75">
      <c r="A569" s="1" t="s">
        <v>1162</v>
      </c>
      <c r="B569" s="12" t="s">
        <v>1498</v>
      </c>
      <c r="C569" s="1"/>
      <c r="D569" s="170" t="s">
        <v>305</v>
      </c>
      <c r="E569" s="12"/>
      <c r="F569" s="15"/>
      <c r="G569" s="12"/>
      <c r="H569" s="15"/>
      <c r="I569" s="12"/>
      <c r="J569" s="18">
        <v>26758355</v>
      </c>
      <c r="K569" s="12"/>
      <c r="L569" s="12"/>
      <c r="M569" s="12"/>
      <c r="N569" s="12"/>
      <c r="O569" s="12"/>
    </row>
    <row r="570" spans="1:15" ht="12.75">
      <c r="A570" s="1" t="s">
        <v>1162</v>
      </c>
      <c r="B570" s="12" t="s">
        <v>1363</v>
      </c>
      <c r="C570" s="165" t="s">
        <v>1364</v>
      </c>
      <c r="D570" s="170" t="s">
        <v>305</v>
      </c>
      <c r="E570" s="12"/>
      <c r="F570" s="15"/>
      <c r="G570" s="12"/>
      <c r="H570" s="15"/>
      <c r="I570" s="12"/>
      <c r="J570" s="18">
        <v>141209561</v>
      </c>
      <c r="K570" s="12"/>
      <c r="L570" s="12"/>
      <c r="M570" s="12"/>
      <c r="N570" s="12"/>
      <c r="O570" s="12"/>
    </row>
    <row r="571" spans="1:15" ht="12.75">
      <c r="A571" s="1" t="s">
        <v>1162</v>
      </c>
      <c r="B571" s="12" t="s">
        <v>1365</v>
      </c>
      <c r="C571" s="165" t="s">
        <v>1366</v>
      </c>
      <c r="D571" s="170" t="s">
        <v>305</v>
      </c>
      <c r="E571" s="12"/>
      <c r="F571" s="15"/>
      <c r="G571" s="12"/>
      <c r="H571" s="15"/>
      <c r="I571" s="12"/>
      <c r="J571" s="18">
        <v>123531077</v>
      </c>
      <c r="K571" s="12"/>
      <c r="L571" s="12"/>
      <c r="M571" s="12"/>
      <c r="N571" s="12"/>
      <c r="O571" s="12"/>
    </row>
    <row r="572" spans="1:15" ht="12.75">
      <c r="A572" s="1" t="s">
        <v>1162</v>
      </c>
      <c r="B572" s="12" t="s">
        <v>1499</v>
      </c>
      <c r="C572" s="1"/>
      <c r="D572" s="170" t="s">
        <v>305</v>
      </c>
      <c r="E572" s="12"/>
      <c r="F572" s="15"/>
      <c r="G572" s="12"/>
      <c r="H572" s="15"/>
      <c r="I572" s="12"/>
      <c r="J572" s="18">
        <v>140497231</v>
      </c>
      <c r="K572" s="12"/>
      <c r="L572" s="12"/>
      <c r="M572" s="12"/>
      <c r="N572" s="12"/>
      <c r="O572" s="12"/>
    </row>
    <row r="573" spans="1:15" ht="12.75">
      <c r="A573" s="1" t="s">
        <v>1162</v>
      </c>
      <c r="B573" s="12" t="s">
        <v>1367</v>
      </c>
      <c r="C573" s="165" t="s">
        <v>1368</v>
      </c>
      <c r="D573" s="170" t="s">
        <v>305</v>
      </c>
      <c r="E573" s="12"/>
      <c r="F573" s="15"/>
      <c r="G573" s="12"/>
      <c r="H573" s="15"/>
      <c r="I573" s="12"/>
      <c r="J573" s="18">
        <v>247422779</v>
      </c>
      <c r="K573" s="12"/>
      <c r="L573" s="12"/>
      <c r="M573" s="12"/>
      <c r="N573" s="12"/>
      <c r="O573" s="12"/>
    </row>
    <row r="574" spans="1:15" ht="12.75">
      <c r="A574" s="1" t="s">
        <v>1162</v>
      </c>
      <c r="B574" s="12" t="s">
        <v>1369</v>
      </c>
      <c r="C574" s="165" t="s">
        <v>1370</v>
      </c>
      <c r="D574" s="170" t="s">
        <v>305</v>
      </c>
      <c r="E574" s="12"/>
      <c r="F574" s="15"/>
      <c r="G574" s="12"/>
      <c r="H574" s="15"/>
      <c r="I574" s="12"/>
      <c r="J574" s="18">
        <v>97392359</v>
      </c>
      <c r="K574" s="12"/>
      <c r="L574" s="12"/>
      <c r="M574" s="12"/>
      <c r="N574" s="12"/>
      <c r="O574" s="12"/>
    </row>
    <row r="575" spans="1:15" ht="12.75">
      <c r="A575" s="1" t="s">
        <v>1162</v>
      </c>
      <c r="B575" s="12" t="s">
        <v>1371</v>
      </c>
      <c r="C575" s="165" t="s">
        <v>1372</v>
      </c>
      <c r="D575" s="170" t="s">
        <v>305</v>
      </c>
      <c r="E575" s="12"/>
      <c r="F575" s="15"/>
      <c r="G575" s="12"/>
      <c r="H575" s="15"/>
      <c r="I575" s="12"/>
      <c r="J575" s="18">
        <v>37351302</v>
      </c>
      <c r="K575" s="12"/>
      <c r="L575" s="12"/>
      <c r="M575" s="12"/>
      <c r="N575" s="12"/>
      <c r="O575" s="12"/>
    </row>
    <row r="576" spans="1:12" ht="12.75">
      <c r="A576" s="1" t="s">
        <v>1373</v>
      </c>
      <c r="B576" s="12" t="s">
        <v>1374</v>
      </c>
      <c r="C576" s="165" t="s">
        <v>1375</v>
      </c>
      <c r="D576" s="171" t="s">
        <v>131</v>
      </c>
      <c r="E576" s="13">
        <v>89575993</v>
      </c>
      <c r="F576" s="18">
        <v>86779841</v>
      </c>
      <c r="G576" s="13"/>
      <c r="H576" s="18"/>
      <c r="I576" s="12"/>
      <c r="J576" s="18">
        <v>15477035</v>
      </c>
      <c r="K576" s="12"/>
      <c r="L576" s="12"/>
    </row>
    <row r="577" spans="1:14" ht="12.75">
      <c r="A577" s="1" t="s">
        <v>1373</v>
      </c>
      <c r="B577" s="12" t="s">
        <v>1376</v>
      </c>
      <c r="C577" s="165" t="s">
        <v>1377</v>
      </c>
      <c r="D577" s="171" t="s">
        <v>131</v>
      </c>
      <c r="E577" s="13">
        <v>106761660</v>
      </c>
      <c r="F577" s="18">
        <v>103565591</v>
      </c>
      <c r="G577" s="13"/>
      <c r="H577" s="18"/>
      <c r="I577" s="13">
        <v>8557299</v>
      </c>
      <c r="J577" s="18"/>
      <c r="K577" s="12"/>
      <c r="L577" s="12"/>
      <c r="M577" s="13">
        <v>21680008</v>
      </c>
      <c r="N577" s="13">
        <v>19185985</v>
      </c>
    </row>
    <row r="578" spans="1:16" ht="12.75">
      <c r="A578" s="1" t="s">
        <v>1373</v>
      </c>
      <c r="B578" s="12" t="s">
        <v>1378</v>
      </c>
      <c r="C578" s="165" t="s">
        <v>1379</v>
      </c>
      <c r="D578" s="171" t="s">
        <v>136</v>
      </c>
      <c r="E578" s="13">
        <v>28242045</v>
      </c>
      <c r="F578" s="18">
        <v>27626750</v>
      </c>
      <c r="G578" s="13"/>
      <c r="H578" s="18"/>
      <c r="I578" s="12"/>
      <c r="J578" s="18"/>
      <c r="K578" s="12"/>
      <c r="L578" s="12"/>
      <c r="M578" s="1"/>
      <c r="N578" s="1"/>
      <c r="O578" s="1"/>
      <c r="P578" s="13">
        <v>11478535</v>
      </c>
    </row>
    <row r="579" spans="1:12" ht="12.75">
      <c r="A579" s="1" t="s">
        <v>1373</v>
      </c>
      <c r="B579" s="12" t="s">
        <v>1380</v>
      </c>
      <c r="C579" s="165" t="s">
        <v>1381</v>
      </c>
      <c r="D579" s="171" t="s">
        <v>136</v>
      </c>
      <c r="E579" s="13">
        <v>53412513</v>
      </c>
      <c r="F579" s="18">
        <v>56417227</v>
      </c>
      <c r="G579" s="13"/>
      <c r="H579" s="18"/>
      <c r="I579" s="12"/>
      <c r="J579" s="18"/>
      <c r="K579" s="12"/>
      <c r="L579" s="12"/>
    </row>
    <row r="580" spans="1:12" ht="12.75">
      <c r="A580" s="1" t="s">
        <v>1373</v>
      </c>
      <c r="B580" s="12" t="s">
        <v>1382</v>
      </c>
      <c r="C580" s="165" t="s">
        <v>1383</v>
      </c>
      <c r="D580" s="171" t="s">
        <v>136</v>
      </c>
      <c r="E580" s="13">
        <v>47250508</v>
      </c>
      <c r="F580" s="18">
        <v>46602914</v>
      </c>
      <c r="G580" s="12"/>
      <c r="H580" s="18"/>
      <c r="I580" s="12"/>
      <c r="J580" s="18"/>
      <c r="K580" s="12"/>
      <c r="L580" s="12"/>
    </row>
    <row r="581" spans="1:12" ht="12.75">
      <c r="A581" s="1" t="s">
        <v>1373</v>
      </c>
      <c r="B581" s="12" t="s">
        <v>1384</v>
      </c>
      <c r="C581" s="165" t="s">
        <v>1385</v>
      </c>
      <c r="D581" s="171" t="s">
        <v>136</v>
      </c>
      <c r="E581" s="13">
        <v>80199514</v>
      </c>
      <c r="F581" s="18">
        <v>80116334</v>
      </c>
      <c r="G581" s="12"/>
      <c r="H581" s="18"/>
      <c r="I581" s="12"/>
      <c r="J581" s="18">
        <v>27778813</v>
      </c>
      <c r="K581" s="12"/>
      <c r="L581" s="12"/>
    </row>
    <row r="582" spans="1:12" ht="12.75">
      <c r="A582" s="1" t="s">
        <v>1373</v>
      </c>
      <c r="B582" s="12" t="s">
        <v>1386</v>
      </c>
      <c r="C582" s="165" t="s">
        <v>1387</v>
      </c>
      <c r="D582" s="171" t="s">
        <v>139</v>
      </c>
      <c r="E582" s="13">
        <v>31870651</v>
      </c>
      <c r="F582" s="18">
        <v>32290208</v>
      </c>
      <c r="G582" s="12"/>
      <c r="H582" s="18"/>
      <c r="I582" s="12"/>
      <c r="J582" s="18"/>
      <c r="K582" s="12"/>
      <c r="L582" s="12"/>
    </row>
    <row r="583" spans="1:12" ht="12.75">
      <c r="A583" s="1" t="s">
        <v>1373</v>
      </c>
      <c r="B583" s="12" t="s">
        <v>1388</v>
      </c>
      <c r="C583" s="165" t="s">
        <v>1389</v>
      </c>
      <c r="D583" s="171" t="s">
        <v>148</v>
      </c>
      <c r="E583" s="13">
        <v>21070423</v>
      </c>
      <c r="F583" s="18">
        <v>20902430</v>
      </c>
      <c r="G583" s="12"/>
      <c r="H583" s="18"/>
      <c r="I583" s="12"/>
      <c r="J583" s="18"/>
      <c r="K583" s="12"/>
      <c r="L583" s="12"/>
    </row>
    <row r="584" spans="1:12" ht="12.75">
      <c r="A584" s="1" t="s">
        <v>1373</v>
      </c>
      <c r="B584" s="12" t="s">
        <v>1390</v>
      </c>
      <c r="C584" s="165" t="s">
        <v>1391</v>
      </c>
      <c r="D584" s="171" t="s">
        <v>148</v>
      </c>
      <c r="E584" s="13">
        <v>26581597</v>
      </c>
      <c r="F584" s="18">
        <v>25255559</v>
      </c>
      <c r="G584" s="13"/>
      <c r="H584" s="18"/>
      <c r="I584" s="12"/>
      <c r="J584" s="18"/>
      <c r="K584" s="12"/>
      <c r="L584" s="12"/>
    </row>
    <row r="585" spans="1:12" ht="12.75">
      <c r="A585" s="1" t="s">
        <v>1373</v>
      </c>
      <c r="B585" s="12" t="s">
        <v>1392</v>
      </c>
      <c r="C585" s="165" t="s">
        <v>1393</v>
      </c>
      <c r="D585" s="171" t="s">
        <v>148</v>
      </c>
      <c r="E585" s="13">
        <v>14173364</v>
      </c>
      <c r="F585" s="18">
        <v>14105515</v>
      </c>
      <c r="G585" s="13"/>
      <c r="H585" s="18"/>
      <c r="I585" s="12"/>
      <c r="J585" s="18"/>
      <c r="K585" s="12"/>
      <c r="L585" s="12"/>
    </row>
    <row r="586" spans="1:12" ht="12.75">
      <c r="A586" s="1" t="s">
        <v>1373</v>
      </c>
      <c r="B586" s="12" t="s">
        <v>1394</v>
      </c>
      <c r="C586" s="165" t="s">
        <v>1395</v>
      </c>
      <c r="D586" s="171" t="s">
        <v>157</v>
      </c>
      <c r="E586" s="13">
        <v>10822861</v>
      </c>
      <c r="F586" s="18">
        <v>10748022</v>
      </c>
      <c r="G586" s="13"/>
      <c r="H586" s="18"/>
      <c r="I586" s="12"/>
      <c r="J586" s="18"/>
      <c r="K586" s="12"/>
      <c r="L586" s="12"/>
    </row>
    <row r="587" spans="1:12" ht="12.75">
      <c r="A587" s="1" t="s">
        <v>1373</v>
      </c>
      <c r="B587" s="12" t="s">
        <v>1396</v>
      </c>
      <c r="C587" s="165" t="s">
        <v>1397</v>
      </c>
      <c r="D587" s="171" t="s">
        <v>166</v>
      </c>
      <c r="E587" s="13">
        <v>10552678</v>
      </c>
      <c r="F587" s="18">
        <v>11354271</v>
      </c>
      <c r="G587" s="13"/>
      <c r="H587" s="18"/>
      <c r="I587" s="12"/>
      <c r="J587" s="18"/>
      <c r="K587" s="12"/>
      <c r="L587" s="12"/>
    </row>
    <row r="588" spans="1:12" ht="12.75">
      <c r="A588" s="1" t="s">
        <v>1373</v>
      </c>
      <c r="B588" s="12" t="s">
        <v>1398</v>
      </c>
      <c r="C588" s="165" t="s">
        <v>1399</v>
      </c>
      <c r="D588" s="171" t="s">
        <v>166</v>
      </c>
      <c r="E588" s="13">
        <v>5333930</v>
      </c>
      <c r="F588" s="18">
        <v>5360822</v>
      </c>
      <c r="G588" s="13"/>
      <c r="H588" s="18"/>
      <c r="I588" s="12"/>
      <c r="J588" s="18"/>
      <c r="K588" s="12"/>
      <c r="L588" s="12"/>
    </row>
    <row r="589" spans="1:12" ht="12.75">
      <c r="A589" s="1" t="s">
        <v>1373</v>
      </c>
      <c r="B589" s="12" t="s">
        <v>1400</v>
      </c>
      <c r="C589" s="165" t="s">
        <v>1401</v>
      </c>
      <c r="D589" s="171" t="s">
        <v>166</v>
      </c>
      <c r="E589" s="13">
        <v>10068273</v>
      </c>
      <c r="F589" s="18">
        <v>9766029</v>
      </c>
      <c r="G589" s="13"/>
      <c r="H589" s="18"/>
      <c r="I589" s="12"/>
      <c r="J589" s="18"/>
      <c r="K589" s="12"/>
      <c r="L589" s="12"/>
    </row>
    <row r="590" spans="1:10" ht="12.75">
      <c r="A590" s="1" t="s">
        <v>1373</v>
      </c>
      <c r="B590" s="13" t="s">
        <v>1402</v>
      </c>
      <c r="C590" s="166" t="s">
        <v>1403</v>
      </c>
      <c r="D590" s="171" t="s">
        <v>170</v>
      </c>
      <c r="E590" s="13">
        <v>174035720</v>
      </c>
      <c r="F590" s="18">
        <v>178882383</v>
      </c>
      <c r="G590" s="13">
        <v>1972220</v>
      </c>
      <c r="H590" s="18">
        <v>1000000</v>
      </c>
      <c r="I590" s="1"/>
      <c r="J590" s="18"/>
    </row>
    <row r="591" spans="1:12" ht="12.75">
      <c r="A591" s="1" t="s">
        <v>1373</v>
      </c>
      <c r="B591" s="12" t="s">
        <v>1404</v>
      </c>
      <c r="C591" s="165" t="s">
        <v>1405</v>
      </c>
      <c r="D591" s="171" t="s">
        <v>170</v>
      </c>
      <c r="E591" s="13">
        <v>2933934</v>
      </c>
      <c r="F591" s="18">
        <v>2786742</v>
      </c>
      <c r="G591" s="13"/>
      <c r="H591" s="18"/>
      <c r="I591" s="12"/>
      <c r="J591" s="18"/>
      <c r="K591" s="12"/>
      <c r="L591" s="12"/>
    </row>
    <row r="592" spans="1:10" ht="12.75">
      <c r="A592" s="1" t="s">
        <v>1373</v>
      </c>
      <c r="B592" s="12" t="s">
        <v>1406</v>
      </c>
      <c r="C592" s="165" t="s">
        <v>1407</v>
      </c>
      <c r="D592" s="170" t="s">
        <v>305</v>
      </c>
      <c r="E592" s="13">
        <v>9226218</v>
      </c>
      <c r="F592" s="18">
        <v>9930467</v>
      </c>
      <c r="G592" s="2"/>
      <c r="H592" s="18"/>
      <c r="I592" s="2"/>
      <c r="J592" s="18"/>
    </row>
    <row r="593" spans="1:17" ht="12.75">
      <c r="A593" s="1" t="s">
        <v>1408</v>
      </c>
      <c r="B593" s="12" t="s">
        <v>1409</v>
      </c>
      <c r="C593" s="165" t="s">
        <v>1410</v>
      </c>
      <c r="D593" s="170" t="s">
        <v>131</v>
      </c>
      <c r="E593" s="13">
        <v>75730297</v>
      </c>
      <c r="F593" s="18">
        <v>79395448</v>
      </c>
      <c r="G593" s="2"/>
      <c r="H593" s="18"/>
      <c r="I593" s="2"/>
      <c r="J593" s="18">
        <v>58656213</v>
      </c>
      <c r="K593" s="13">
        <v>1192381</v>
      </c>
      <c r="L593" s="1"/>
      <c r="M593" s="13">
        <v>9103632</v>
      </c>
      <c r="N593" s="13">
        <v>6600798</v>
      </c>
      <c r="O593" s="13">
        <v>1920422</v>
      </c>
      <c r="P593" s="13">
        <f>2265354+558192</f>
        <v>2823546</v>
      </c>
      <c r="Q593" s="13">
        <v>2048351</v>
      </c>
    </row>
    <row r="594" spans="1:16" ht="12.75">
      <c r="A594" s="1" t="s">
        <v>1408</v>
      </c>
      <c r="B594" s="12" t="s">
        <v>1411</v>
      </c>
      <c r="C594" s="165" t="s">
        <v>1412</v>
      </c>
      <c r="D594" s="170" t="s">
        <v>139</v>
      </c>
      <c r="E594" s="13">
        <v>31176382</v>
      </c>
      <c r="F594" s="18">
        <v>33367847</v>
      </c>
      <c r="G594" s="2"/>
      <c r="H594" s="18"/>
      <c r="I594" s="2"/>
      <c r="J594" s="18">
        <v>12915650</v>
      </c>
      <c r="K594" s="13">
        <f>698054+159069</f>
        <v>857123</v>
      </c>
      <c r="L594" s="1"/>
      <c r="M594" s="1"/>
      <c r="N594" s="1"/>
      <c r="O594" s="1"/>
      <c r="P594" s="13">
        <v>1222420</v>
      </c>
    </row>
    <row r="595" spans="1:10" ht="12.75">
      <c r="A595" s="1" t="s">
        <v>1408</v>
      </c>
      <c r="B595" s="12" t="s">
        <v>1413</v>
      </c>
      <c r="C595" s="165" t="s">
        <v>1414</v>
      </c>
      <c r="D595" s="170" t="s">
        <v>166</v>
      </c>
      <c r="E595" s="13">
        <v>5828121</v>
      </c>
      <c r="F595" s="18">
        <v>6226860</v>
      </c>
      <c r="G595" s="2"/>
      <c r="H595" s="18"/>
      <c r="I595" s="2"/>
      <c r="J595" s="18"/>
    </row>
    <row r="596" spans="1:10" ht="12.75">
      <c r="A596" s="1" t="s">
        <v>1408</v>
      </c>
      <c r="B596" s="12" t="s">
        <v>1415</v>
      </c>
      <c r="C596" s="165" t="s">
        <v>1416</v>
      </c>
      <c r="D596" s="170" t="s">
        <v>166</v>
      </c>
      <c r="E596" s="13">
        <v>7083673</v>
      </c>
      <c r="F596" s="18">
        <v>7311145</v>
      </c>
      <c r="G596" s="2"/>
      <c r="H596" s="18"/>
      <c r="I596" s="2"/>
      <c r="J596" s="18"/>
    </row>
    <row r="597" spans="1:10" ht="12.75">
      <c r="A597" s="1" t="s">
        <v>1408</v>
      </c>
      <c r="B597" s="12" t="s">
        <v>1417</v>
      </c>
      <c r="C597" s="165" t="s">
        <v>1418</v>
      </c>
      <c r="D597" s="170" t="s">
        <v>166</v>
      </c>
      <c r="E597" s="13">
        <v>14381610</v>
      </c>
      <c r="F597" s="18">
        <v>15716700</v>
      </c>
      <c r="G597" s="2"/>
      <c r="H597" s="18"/>
      <c r="I597" s="2"/>
      <c r="J597" s="18"/>
    </row>
    <row r="598" spans="1:10" ht="12.75">
      <c r="A598" s="1" t="s">
        <v>1408</v>
      </c>
      <c r="B598" s="12" t="s">
        <v>1419</v>
      </c>
      <c r="C598" s="165" t="s">
        <v>1420</v>
      </c>
      <c r="D598" s="170" t="s">
        <v>166</v>
      </c>
      <c r="E598" s="13">
        <v>5964056</v>
      </c>
      <c r="F598" s="18">
        <v>6353423</v>
      </c>
      <c r="G598" s="2"/>
      <c r="H598" s="18"/>
      <c r="I598" s="2"/>
      <c r="J598" s="18"/>
    </row>
    <row r="599" spans="1:10" ht="12.75">
      <c r="A599" s="1" t="s">
        <v>1408</v>
      </c>
      <c r="B599" s="12" t="s">
        <v>1421</v>
      </c>
      <c r="C599" s="165" t="s">
        <v>1422</v>
      </c>
      <c r="D599" s="170" t="s">
        <v>166</v>
      </c>
      <c r="E599" s="13">
        <v>8315952</v>
      </c>
      <c r="F599" s="18">
        <v>8822651</v>
      </c>
      <c r="G599" s="2"/>
      <c r="H599" s="18"/>
      <c r="I599" s="2"/>
      <c r="J599" s="18"/>
    </row>
    <row r="600" spans="1:10" ht="12.75">
      <c r="A600" s="1" t="s">
        <v>1408</v>
      </c>
      <c r="B600" s="12" t="s">
        <v>1423</v>
      </c>
      <c r="C600" s="165" t="s">
        <v>1424</v>
      </c>
      <c r="D600" s="170" t="s">
        <v>166</v>
      </c>
      <c r="E600" s="13">
        <v>8152680</v>
      </c>
      <c r="F600" s="18">
        <v>8301853</v>
      </c>
      <c r="G600" s="2"/>
      <c r="H600" s="18"/>
      <c r="I600" s="2"/>
      <c r="J600" s="18"/>
    </row>
    <row r="601" spans="1:10" ht="12.75">
      <c r="A601" s="1" t="s">
        <v>1408</v>
      </c>
      <c r="B601" s="12" t="s">
        <v>1425</v>
      </c>
      <c r="C601" s="165" t="s">
        <v>1426</v>
      </c>
      <c r="D601" s="170" t="s">
        <v>166</v>
      </c>
      <c r="E601" s="13">
        <v>9760071</v>
      </c>
      <c r="F601" s="18">
        <v>9906780</v>
      </c>
      <c r="G601" s="2"/>
      <c r="H601" s="18"/>
      <c r="I601" s="2"/>
      <c r="J601" s="18"/>
    </row>
    <row r="602" spans="1:10" ht="12.75">
      <c r="A602" s="1" t="s">
        <v>1408</v>
      </c>
      <c r="B602" s="12" t="s">
        <v>1427</v>
      </c>
      <c r="C602" s="165" t="s">
        <v>1428</v>
      </c>
      <c r="D602" s="170" t="s">
        <v>166</v>
      </c>
      <c r="E602" s="13">
        <v>10780267</v>
      </c>
      <c r="F602" s="18">
        <v>11275300</v>
      </c>
      <c r="G602" s="2"/>
      <c r="H602" s="18"/>
      <c r="I602" s="2"/>
      <c r="J602" s="18"/>
    </row>
    <row r="603" spans="1:10" ht="12.75">
      <c r="A603" s="1" t="s">
        <v>1408</v>
      </c>
      <c r="B603" s="12" t="s">
        <v>1429</v>
      </c>
      <c r="C603" s="165" t="s">
        <v>1430</v>
      </c>
      <c r="D603" s="170" t="s">
        <v>170</v>
      </c>
      <c r="E603" s="13">
        <v>3428654</v>
      </c>
      <c r="F603" s="18">
        <v>3611270</v>
      </c>
      <c r="G603" s="2"/>
      <c r="H603" s="18"/>
      <c r="I603" s="2"/>
      <c r="J603" s="18"/>
    </row>
    <row r="604" spans="1:10" ht="12.75">
      <c r="A604" s="1" t="s">
        <v>1408</v>
      </c>
      <c r="B604" s="12" t="s">
        <v>1431</v>
      </c>
      <c r="C604" s="165" t="s">
        <v>1432</v>
      </c>
      <c r="D604" s="170" t="s">
        <v>170</v>
      </c>
      <c r="E604" s="13">
        <v>4845654</v>
      </c>
      <c r="F604" s="18">
        <v>5545309</v>
      </c>
      <c r="G604" s="2"/>
      <c r="H604" s="18"/>
      <c r="I604" s="2"/>
      <c r="J604" s="18"/>
    </row>
    <row r="605" spans="1:10" ht="12.75">
      <c r="A605" s="1" t="s">
        <v>1408</v>
      </c>
      <c r="B605" s="12" t="s">
        <v>1433</v>
      </c>
      <c r="C605" s="165" t="s">
        <v>1434</v>
      </c>
      <c r="D605" s="170" t="s">
        <v>170</v>
      </c>
      <c r="E605" s="13">
        <v>4403868</v>
      </c>
      <c r="F605" s="18">
        <v>4677740</v>
      </c>
      <c r="G605" s="2"/>
      <c r="H605" s="18"/>
      <c r="I605" s="2"/>
      <c r="J605" s="18"/>
    </row>
    <row r="606" spans="1:10" ht="12.75">
      <c r="A606" s="1" t="s">
        <v>1408</v>
      </c>
      <c r="B606" s="12" t="s">
        <v>1435</v>
      </c>
      <c r="C606" s="165" t="s">
        <v>1436</v>
      </c>
      <c r="D606" s="170" t="s">
        <v>170</v>
      </c>
      <c r="E606" s="13">
        <v>5622928</v>
      </c>
      <c r="F606" s="18">
        <v>5922416</v>
      </c>
      <c r="G606" s="2"/>
      <c r="H606" s="18"/>
      <c r="I606" s="2"/>
      <c r="J606" s="18"/>
    </row>
    <row r="607" spans="1:10" ht="12.75">
      <c r="A607" s="1" t="s">
        <v>1408</v>
      </c>
      <c r="B607" s="12" t="s">
        <v>1437</v>
      </c>
      <c r="C607" s="165" t="s">
        <v>1438</v>
      </c>
      <c r="D607" s="170" t="s">
        <v>305</v>
      </c>
      <c r="E607" s="13">
        <v>6191288</v>
      </c>
      <c r="F607" s="18">
        <v>6399152</v>
      </c>
      <c r="G607" s="2"/>
      <c r="H607" s="18"/>
      <c r="I607" s="2"/>
      <c r="J607" s="18"/>
    </row>
    <row r="608" spans="1:10" ht="12.75">
      <c r="A608" s="1" t="s">
        <v>1408</v>
      </c>
      <c r="B608" s="12" t="s">
        <v>1439</v>
      </c>
      <c r="C608" s="165" t="s">
        <v>1440</v>
      </c>
      <c r="D608" s="170" t="s">
        <v>305</v>
      </c>
      <c r="E608" s="1"/>
      <c r="F608" s="18"/>
      <c r="G608" s="2"/>
      <c r="H608" s="18"/>
      <c r="I608" s="2"/>
      <c r="J608" s="18">
        <v>6195632</v>
      </c>
    </row>
    <row r="609" spans="1:8" ht="12.75">
      <c r="A609" s="1"/>
      <c r="B609" s="1"/>
      <c r="C609" s="1"/>
      <c r="D609" s="18"/>
      <c r="E609" s="1"/>
      <c r="F609" s="18"/>
      <c r="G609" s="1"/>
      <c r="H609" s="18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296"/>
  <sheetViews>
    <sheetView showGridLines="0" defaultGridColor="0" zoomScale="87" zoomScaleNormal="87" colorId="22" workbookViewId="0" topLeftCell="A1">
      <selection activeCell="E16" sqref="E16"/>
    </sheetView>
  </sheetViews>
  <sheetFormatPr defaultColWidth="9.7109375" defaultRowHeight="12.75"/>
  <sheetData>
    <row r="1" spans="1:5" ht="12.75">
      <c r="A1" s="13" t="s">
        <v>127</v>
      </c>
      <c r="B1" s="13"/>
      <c r="C1" s="2" t="s">
        <v>1500</v>
      </c>
      <c r="D1" s="2"/>
      <c r="E1" s="2"/>
    </row>
    <row r="2" spans="1:5" ht="12.75">
      <c r="A2" s="2"/>
      <c r="B2" s="2" t="s">
        <v>306</v>
      </c>
      <c r="C2" s="2" t="s">
        <v>1501</v>
      </c>
      <c r="D2" s="2"/>
      <c r="E2" s="2"/>
    </row>
    <row r="3" spans="1:5" ht="12.75">
      <c r="A3" s="2"/>
      <c r="B3" s="2"/>
      <c r="C3" s="173" t="s">
        <v>1502</v>
      </c>
      <c r="D3" s="173" t="s">
        <v>1502</v>
      </c>
      <c r="E3" s="173" t="s">
        <v>1502</v>
      </c>
    </row>
    <row r="4" spans="1:5" ht="12.75">
      <c r="A4" s="2" t="s">
        <v>127</v>
      </c>
      <c r="B4" s="2"/>
      <c r="C4" s="2" t="s">
        <v>1503</v>
      </c>
      <c r="E4" s="2" t="s">
        <v>1504</v>
      </c>
    </row>
    <row r="5" spans="1:5" ht="12.75">
      <c r="A5" s="2"/>
      <c r="B5" s="2"/>
      <c r="C5" s="97" t="s">
        <v>1505</v>
      </c>
      <c r="D5" s="174" t="s">
        <v>1506</v>
      </c>
      <c r="E5" s="97" t="s">
        <v>1505</v>
      </c>
    </row>
    <row r="7" spans="1:5" ht="12.75">
      <c r="A7" s="2"/>
      <c r="B7" s="2" t="s">
        <v>1507</v>
      </c>
      <c r="C7" s="13">
        <f>SUM('SCH Database'!J6:J7)</f>
        <v>992840</v>
      </c>
      <c r="D7" s="173" t="s">
        <v>1508</v>
      </c>
      <c r="E7" s="13">
        <f>SUM('SCH Database'!T6:T7)</f>
        <v>127042</v>
      </c>
    </row>
    <row r="8" spans="1:5" ht="12.75">
      <c r="A8" s="2"/>
      <c r="B8" s="2" t="s">
        <v>1509</v>
      </c>
      <c r="C8" s="13">
        <f>'SCH Database'!J8</f>
        <v>271170</v>
      </c>
      <c r="D8" s="173" t="s">
        <v>1508</v>
      </c>
      <c r="E8" s="13">
        <f>'SCH Database'!T8</f>
        <v>59173</v>
      </c>
    </row>
    <row r="9" spans="1:5" ht="12.75">
      <c r="A9" s="2"/>
      <c r="B9" s="2" t="s">
        <v>1510</v>
      </c>
      <c r="C9" s="13">
        <f>SUM('SCH Database'!J9:J12)</f>
        <v>677102</v>
      </c>
      <c r="D9" s="173" t="s">
        <v>1508</v>
      </c>
      <c r="E9" s="13">
        <f>SUM('SCH Database'!T9:T12)</f>
        <v>86442</v>
      </c>
    </row>
    <row r="10" spans="1:5" ht="12.75">
      <c r="A10" s="2"/>
      <c r="B10" s="2" t="s">
        <v>1511</v>
      </c>
      <c r="C10" s="13">
        <f>SUM('SCH Database'!J13:J16)</f>
        <v>441352</v>
      </c>
      <c r="D10" s="173" t="s">
        <v>1508</v>
      </c>
      <c r="E10" s="13">
        <f>SUM('SCH Database'!T13:T16)</f>
        <v>60489</v>
      </c>
    </row>
    <row r="11" spans="1:5" ht="12.75">
      <c r="A11" s="2"/>
      <c r="B11" s="2" t="s">
        <v>1512</v>
      </c>
      <c r="C11" s="13">
        <f>SUM('SCH Database'!J17:J20)</f>
        <v>381567</v>
      </c>
      <c r="D11" s="173" t="s">
        <v>1508</v>
      </c>
      <c r="E11" s="13">
        <f>SUM('SCH Database'!T17:T20)</f>
        <v>35278</v>
      </c>
    </row>
    <row r="12" spans="1:5" ht="12.75">
      <c r="A12" s="2"/>
      <c r="B12" s="2" t="s">
        <v>1513</v>
      </c>
      <c r="C12" s="13">
        <f>'SCH Database'!J21</f>
        <v>80729</v>
      </c>
      <c r="D12" s="173" t="s">
        <v>1508</v>
      </c>
      <c r="E12" s="13">
        <f>'SCH Database'!T21</f>
        <v>0</v>
      </c>
    </row>
    <row r="13" spans="1:5" ht="12.75">
      <c r="A13" s="2"/>
      <c r="B13" s="2" t="s">
        <v>1514</v>
      </c>
      <c r="C13" s="13">
        <f>SUM('SCH Database'!J22:J43)-C14</f>
        <v>2608775</v>
      </c>
      <c r="D13" s="13">
        <v>0</v>
      </c>
      <c r="E13" s="173" t="s">
        <v>1508</v>
      </c>
    </row>
    <row r="14" spans="1:5" ht="12.75">
      <c r="A14" s="2"/>
      <c r="B14" s="2" t="s">
        <v>1515</v>
      </c>
      <c r="C14" s="13">
        <f>SUM('SCH Database'!J39)</f>
        <v>212972</v>
      </c>
      <c r="D14" s="13"/>
      <c r="E14" s="2"/>
    </row>
    <row r="15" spans="2:5" ht="12.75">
      <c r="B15" s="2" t="s">
        <v>1516</v>
      </c>
      <c r="C15" s="13">
        <f>SUM('SCH Database'!J44:J56)</f>
        <v>376700</v>
      </c>
      <c r="D15" s="13">
        <v>0</v>
      </c>
      <c r="E15" s="173" t="s">
        <v>1508</v>
      </c>
    </row>
    <row r="16" spans="2:5" ht="12.75">
      <c r="B16" t="s">
        <v>1517</v>
      </c>
      <c r="C16" s="13"/>
      <c r="D16" s="173" t="s">
        <v>1508</v>
      </c>
      <c r="E16" s="13"/>
    </row>
    <row r="17" spans="2:5" ht="12.75">
      <c r="B17" s="2"/>
      <c r="C17" s="13"/>
      <c r="D17" s="13"/>
      <c r="E17" s="13"/>
    </row>
    <row r="18" spans="2:5" ht="12.75">
      <c r="B18" s="2" t="s">
        <v>1518</v>
      </c>
      <c r="C18" s="2">
        <f>SUM(C7:C16)</f>
        <v>6043207</v>
      </c>
      <c r="D18" s="2">
        <f>SUM(D7:D16)</f>
        <v>0</v>
      </c>
      <c r="E18" s="2">
        <f>SUM(E7:E16)</f>
        <v>368424</v>
      </c>
    </row>
    <row r="19" spans="1:5" ht="12.75">
      <c r="A19" s="2"/>
      <c r="B19" s="173" t="s">
        <v>1502</v>
      </c>
      <c r="C19" s="173" t="s">
        <v>1502</v>
      </c>
      <c r="D19" s="173" t="s">
        <v>1502</v>
      </c>
      <c r="E19" s="173" t="s">
        <v>1502</v>
      </c>
    </row>
    <row r="20" spans="1:5" ht="12.75">
      <c r="A20" s="2"/>
      <c r="B20" s="2" t="s">
        <v>306</v>
      </c>
      <c r="C20" s="2"/>
      <c r="D20" s="2"/>
      <c r="E20" s="2"/>
    </row>
    <row r="21" spans="1:5" ht="12.75">
      <c r="A21" s="13" t="s">
        <v>239</v>
      </c>
      <c r="B21" s="13"/>
      <c r="C21" s="2" t="s">
        <v>1500</v>
      </c>
      <c r="D21" s="2"/>
      <c r="E21" s="2"/>
    </row>
    <row r="22" spans="1:5" ht="12.75">
      <c r="A22" s="2"/>
      <c r="B22" s="2" t="s">
        <v>306</v>
      </c>
      <c r="C22" s="2" t="s">
        <v>1501</v>
      </c>
      <c r="D22" s="2"/>
      <c r="E22" s="2"/>
    </row>
    <row r="23" spans="2:5" ht="12.75">
      <c r="B23" s="2"/>
      <c r="C23" s="173" t="s">
        <v>1502</v>
      </c>
      <c r="D23" s="173" t="s">
        <v>1502</v>
      </c>
      <c r="E23" s="173" t="s">
        <v>1502</v>
      </c>
    </row>
    <row r="24" spans="1:5" ht="12.75">
      <c r="A24" s="2"/>
      <c r="B24" s="2"/>
      <c r="C24" s="2" t="s">
        <v>1503</v>
      </c>
      <c r="D24" s="2"/>
      <c r="E24" s="2" t="s">
        <v>1504</v>
      </c>
    </row>
    <row r="25" spans="1:5" ht="12.75">
      <c r="A25" s="2"/>
      <c r="B25" s="2"/>
      <c r="C25" s="97" t="s">
        <v>1505</v>
      </c>
      <c r="D25" s="97" t="s">
        <v>1506</v>
      </c>
      <c r="E25" s="97" t="s">
        <v>1505</v>
      </c>
    </row>
    <row r="26" spans="3:5" ht="12.75">
      <c r="C26" s="2"/>
      <c r="D26" s="2"/>
      <c r="E26" s="2"/>
    </row>
    <row r="27" spans="1:5" ht="12.75">
      <c r="A27" s="2" t="s">
        <v>239</v>
      </c>
      <c r="B27" s="2" t="s">
        <v>1507</v>
      </c>
      <c r="C27" s="13">
        <f>'SCH Database'!J57</f>
        <v>331796</v>
      </c>
      <c r="D27" s="173" t="s">
        <v>1508</v>
      </c>
      <c r="E27" s="13">
        <f>'SCH Database'!T57</f>
        <v>53906</v>
      </c>
    </row>
    <row r="28" spans="1:5" ht="12.75">
      <c r="A28" s="2"/>
      <c r="B28" s="2" t="s">
        <v>1509</v>
      </c>
      <c r="C28" s="13">
        <v>0</v>
      </c>
      <c r="D28" s="173" t="s">
        <v>1508</v>
      </c>
      <c r="E28" s="13">
        <v>0</v>
      </c>
    </row>
    <row r="29" spans="1:5" ht="12.75">
      <c r="A29" s="2"/>
      <c r="B29" s="2" t="s">
        <v>1510</v>
      </c>
      <c r="C29" s="13">
        <f>SUM('SCH Database'!J58:J60)</f>
        <v>664839</v>
      </c>
      <c r="D29" s="173" t="s">
        <v>1508</v>
      </c>
      <c r="E29" s="13">
        <f>SUM('SCH Database'!T58:T60)</f>
        <v>69151</v>
      </c>
    </row>
    <row r="30" spans="1:5" ht="12.75">
      <c r="A30" s="2"/>
      <c r="B30" s="2" t="s">
        <v>1511</v>
      </c>
      <c r="C30" s="2">
        <v>0</v>
      </c>
      <c r="D30" s="173" t="s">
        <v>1508</v>
      </c>
      <c r="E30" s="13">
        <v>0</v>
      </c>
    </row>
    <row r="31" spans="1:5" ht="12.75">
      <c r="A31" s="2"/>
      <c r="B31" s="2" t="s">
        <v>1512</v>
      </c>
      <c r="C31" s="13">
        <f>SUM('SCH Database'!J61:J62)</f>
        <v>214867</v>
      </c>
      <c r="D31" s="173" t="s">
        <v>1508</v>
      </c>
      <c r="E31" s="13">
        <f>SUM('SCH Database'!T61:T62)</f>
        <v>7211</v>
      </c>
    </row>
    <row r="32" spans="1:5" ht="12.75">
      <c r="A32" s="2"/>
      <c r="B32" s="2" t="s">
        <v>1513</v>
      </c>
      <c r="C32" s="13">
        <f>SUM('SCH Database'!J63:J65)</f>
        <v>225366</v>
      </c>
      <c r="D32" s="173" t="s">
        <v>1508</v>
      </c>
      <c r="E32" s="13">
        <f>SUM('SCH Database'!T63:T65)</f>
        <v>5143</v>
      </c>
    </row>
    <row r="33" spans="1:5" ht="12.75">
      <c r="A33" s="2"/>
      <c r="B33" s="2" t="s">
        <v>1519</v>
      </c>
      <c r="C33" s="13">
        <f>SUM('SCH Database'!J66:J88)</f>
        <v>561804</v>
      </c>
      <c r="D33" s="13">
        <v>0</v>
      </c>
      <c r="E33" s="173" t="s">
        <v>1508</v>
      </c>
    </row>
    <row r="34" spans="1:5" ht="12.75">
      <c r="A34" s="2"/>
      <c r="B34" s="2" t="s">
        <v>1520</v>
      </c>
      <c r="C34" s="175" t="s">
        <v>1521</v>
      </c>
      <c r="D34" s="69"/>
      <c r="E34" s="173" t="s">
        <v>1508</v>
      </c>
    </row>
    <row r="35" spans="1:5" ht="12.75">
      <c r="A35" s="2"/>
      <c r="B35" t="s">
        <v>1517</v>
      </c>
      <c r="C35" s="13"/>
      <c r="D35" s="173" t="s">
        <v>1508</v>
      </c>
      <c r="E35" s="13"/>
    </row>
    <row r="36" spans="2:5" ht="12.75">
      <c r="B36" s="2"/>
      <c r="C36" s="2"/>
      <c r="D36" s="2"/>
      <c r="E36" s="2"/>
    </row>
    <row r="37" spans="2:5" ht="12.75">
      <c r="B37" s="2" t="s">
        <v>1518</v>
      </c>
      <c r="C37" s="2">
        <f>SUM(C27:C35)</f>
        <v>1998672</v>
      </c>
      <c r="D37" s="2">
        <f>SUM(D27:D35)</f>
        <v>0</v>
      </c>
      <c r="E37" s="2">
        <f>SUM(E27:E35)</f>
        <v>135411</v>
      </c>
    </row>
    <row r="38" spans="2:5" ht="12.75">
      <c r="B38" s="173" t="s">
        <v>1502</v>
      </c>
      <c r="C38" s="173" t="s">
        <v>1502</v>
      </c>
      <c r="D38" s="173" t="s">
        <v>1502</v>
      </c>
      <c r="E38" s="173" t="s">
        <v>1502</v>
      </c>
    </row>
    <row r="39" spans="2:5" ht="12.75">
      <c r="B39" s="2" t="s">
        <v>306</v>
      </c>
      <c r="C39" s="2"/>
      <c r="D39" s="2"/>
      <c r="E39" s="2"/>
    </row>
    <row r="40" spans="1:5" ht="12.75">
      <c r="A40" s="13" t="s">
        <v>307</v>
      </c>
      <c r="B40" s="13"/>
      <c r="C40" s="2" t="s">
        <v>1500</v>
      </c>
      <c r="D40" s="2"/>
      <c r="E40" s="2"/>
    </row>
    <row r="41" spans="1:5" ht="12.75">
      <c r="A41" s="2"/>
      <c r="B41" s="2" t="s">
        <v>306</v>
      </c>
      <c r="C41" s="2" t="s">
        <v>1501</v>
      </c>
      <c r="D41" s="2"/>
      <c r="E41" s="2"/>
    </row>
    <row r="42" spans="1:5" ht="12.75">
      <c r="A42" s="2"/>
      <c r="B42" s="2"/>
      <c r="C42" s="173" t="s">
        <v>1502</v>
      </c>
      <c r="D42" s="173" t="s">
        <v>1502</v>
      </c>
      <c r="E42" s="173" t="s">
        <v>1502</v>
      </c>
    </row>
    <row r="43" spans="1:5" ht="12.75">
      <c r="A43" s="2" t="s">
        <v>307</v>
      </c>
      <c r="B43" s="2"/>
      <c r="C43" s="2" t="s">
        <v>1503</v>
      </c>
      <c r="D43" s="2"/>
      <c r="E43" s="2" t="s">
        <v>1504</v>
      </c>
    </row>
    <row r="44" spans="1:5" ht="12.75">
      <c r="A44" s="2"/>
      <c r="B44" s="2" t="s">
        <v>306</v>
      </c>
      <c r="C44" s="97" t="s">
        <v>1505</v>
      </c>
      <c r="D44" s="97" t="s">
        <v>1506</v>
      </c>
      <c r="E44" s="97" t="s">
        <v>1505</v>
      </c>
    </row>
    <row r="45" spans="3:5" ht="12.75">
      <c r="C45" s="2"/>
      <c r="D45" s="2"/>
      <c r="E45" s="2"/>
    </row>
    <row r="46" spans="1:5" ht="12.75">
      <c r="A46" s="2"/>
      <c r="B46" s="2" t="s">
        <v>1507</v>
      </c>
      <c r="C46" s="13">
        <f>SUM('SCH Database'!J90:J92)</f>
        <v>2051250</v>
      </c>
      <c r="D46" s="173" t="s">
        <v>1508</v>
      </c>
      <c r="E46" s="13">
        <f>SUM('SCH Database'!T90:T92)</f>
        <v>378551</v>
      </c>
    </row>
    <row r="47" spans="1:5" ht="12.75">
      <c r="A47" s="2"/>
      <c r="B47" s="2" t="s">
        <v>1509</v>
      </c>
      <c r="C47" s="13">
        <f>SUM('SCH Database'!J93:J94)</f>
        <v>864702</v>
      </c>
      <c r="D47" s="173" t="s">
        <v>1508</v>
      </c>
      <c r="E47" s="13">
        <f>SUM('SCH Database'!T93:T94)</f>
        <v>106816</v>
      </c>
    </row>
    <row r="48" spans="1:5" ht="12.75">
      <c r="A48" s="2"/>
      <c r="B48" s="2" t="s">
        <v>1510</v>
      </c>
      <c r="C48" s="13">
        <f>SUM('SCH Database'!J95:J96)</f>
        <v>685482</v>
      </c>
      <c r="D48" s="173" t="s">
        <v>1508</v>
      </c>
      <c r="E48" s="13">
        <f>SUM('SCH Database'!T95:T96)</f>
        <v>98404</v>
      </c>
    </row>
    <row r="49" spans="1:5" ht="12.75">
      <c r="A49" s="2"/>
      <c r="B49" s="2" t="s">
        <v>1511</v>
      </c>
      <c r="C49" s="13">
        <f>SUM('SCH Database'!J97:J98)</f>
        <v>456317</v>
      </c>
      <c r="D49" s="173" t="s">
        <v>1508</v>
      </c>
      <c r="E49" s="13">
        <f>SUM('SCH Database'!T97:T98)</f>
        <v>38973</v>
      </c>
    </row>
    <row r="50" spans="1:5" ht="12.75">
      <c r="A50" s="2"/>
      <c r="B50" s="2" t="s">
        <v>1512</v>
      </c>
      <c r="C50" s="13">
        <v>0</v>
      </c>
      <c r="D50" s="173" t="s">
        <v>1508</v>
      </c>
      <c r="E50" s="13">
        <v>0</v>
      </c>
    </row>
    <row r="51" spans="1:5" ht="12.75">
      <c r="A51" s="2"/>
      <c r="B51" s="2" t="s">
        <v>1513</v>
      </c>
      <c r="C51" s="13">
        <v>0</v>
      </c>
      <c r="D51" s="173" t="s">
        <v>1508</v>
      </c>
      <c r="E51" s="13">
        <v>0</v>
      </c>
    </row>
    <row r="52" spans="1:5" ht="12.75">
      <c r="A52" s="2"/>
      <c r="B52" s="2" t="s">
        <v>1519</v>
      </c>
      <c r="C52" s="13">
        <f>SUM('SCH Database'!J99:J126)</f>
        <v>5617742</v>
      </c>
      <c r="D52" s="13">
        <f>SUM('SCH Database'!O99:O126)</f>
        <v>47025773</v>
      </c>
      <c r="E52" s="173" t="s">
        <v>1508</v>
      </c>
    </row>
    <row r="53" spans="2:5" ht="12.75">
      <c r="B53" s="2" t="s">
        <v>1520</v>
      </c>
      <c r="C53" s="13">
        <v>0</v>
      </c>
      <c r="D53" s="13">
        <v>0</v>
      </c>
      <c r="E53" s="173" t="s">
        <v>1508</v>
      </c>
    </row>
    <row r="54" spans="2:5" ht="12.75">
      <c r="B54" t="s">
        <v>1517</v>
      </c>
      <c r="C54" s="13">
        <v>0</v>
      </c>
      <c r="D54" s="173" t="s">
        <v>1508</v>
      </c>
      <c r="E54" s="13"/>
    </row>
    <row r="55" spans="2:5" ht="12.75">
      <c r="B55" s="2"/>
      <c r="C55" s="2"/>
      <c r="D55" s="2"/>
      <c r="E55" s="2"/>
    </row>
    <row r="56" spans="2:5" ht="12.75">
      <c r="B56" s="2" t="s">
        <v>1518</v>
      </c>
      <c r="C56" s="2">
        <f>SUM(C46:C54)</f>
        <v>9675493</v>
      </c>
      <c r="D56" s="2">
        <f>SUM(D46:D54)</f>
        <v>47025773</v>
      </c>
      <c r="E56" s="2">
        <f>SUM(E46:E54)</f>
        <v>622744</v>
      </c>
    </row>
    <row r="57" spans="1:5" ht="12.75">
      <c r="A57" s="2"/>
      <c r="B57" s="173" t="s">
        <v>1502</v>
      </c>
      <c r="C57" s="173" t="s">
        <v>1502</v>
      </c>
      <c r="D57" s="173" t="s">
        <v>1502</v>
      </c>
      <c r="E57" s="173" t="s">
        <v>1502</v>
      </c>
    </row>
    <row r="58" spans="1:5" ht="12.75">
      <c r="A58" s="2"/>
      <c r="B58" s="2" t="s">
        <v>306</v>
      </c>
      <c r="C58" s="2"/>
      <c r="D58" s="2"/>
      <c r="E58" s="2"/>
    </row>
    <row r="59" spans="1:5" ht="12.75">
      <c r="A59" s="13" t="s">
        <v>382</v>
      </c>
      <c r="B59" s="13"/>
      <c r="C59" s="2" t="s">
        <v>1500</v>
      </c>
      <c r="D59" s="2"/>
      <c r="E59" s="2"/>
    </row>
    <row r="60" spans="1:5" ht="12.75">
      <c r="A60" s="2"/>
      <c r="B60" s="2" t="s">
        <v>306</v>
      </c>
      <c r="C60" s="2" t="s">
        <v>1501</v>
      </c>
      <c r="D60" s="2"/>
      <c r="E60" s="2"/>
    </row>
    <row r="61" spans="1:5" ht="12.75">
      <c r="A61" s="2"/>
      <c r="B61" s="2"/>
      <c r="C61" s="173" t="s">
        <v>1502</v>
      </c>
      <c r="D61" s="173" t="s">
        <v>1502</v>
      </c>
      <c r="E61" s="173" t="s">
        <v>1502</v>
      </c>
    </row>
    <row r="62" spans="1:5" ht="12.75">
      <c r="A62" s="2"/>
      <c r="B62" s="2"/>
      <c r="C62" s="2" t="s">
        <v>1503</v>
      </c>
      <c r="D62" s="2"/>
      <c r="E62" s="2" t="s">
        <v>1504</v>
      </c>
    </row>
    <row r="63" spans="1:5" ht="12.75">
      <c r="A63" s="2"/>
      <c r="B63" s="2" t="s">
        <v>306</v>
      </c>
      <c r="C63" s="97" t="s">
        <v>1505</v>
      </c>
      <c r="D63" s="97" t="s">
        <v>1506</v>
      </c>
      <c r="E63" s="97" t="s">
        <v>1505</v>
      </c>
    </row>
    <row r="64" spans="3:5" ht="12.75">
      <c r="C64" s="2"/>
      <c r="D64" s="2"/>
      <c r="E64" s="2"/>
    </row>
    <row r="65" spans="1:5" ht="12.75">
      <c r="A65" s="2" t="s">
        <v>382</v>
      </c>
      <c r="B65" s="2" t="s">
        <v>1507</v>
      </c>
      <c r="C65" s="13">
        <f>'SCH Database'!J127</f>
        <v>1065147</v>
      </c>
      <c r="D65" s="173" t="s">
        <v>1508</v>
      </c>
      <c r="E65" s="13">
        <f>'SCH Database'!T127</f>
        <v>236167</v>
      </c>
    </row>
    <row r="66" spans="1:5" ht="12.75">
      <c r="A66" s="2"/>
      <c r="B66" s="2" t="s">
        <v>1509</v>
      </c>
      <c r="C66" s="13">
        <f>SUM('SCH Database'!J128:J129)</f>
        <v>1121836</v>
      </c>
      <c r="D66" s="173" t="s">
        <v>1508</v>
      </c>
      <c r="E66" s="13">
        <f>SUM('SCH Database'!T128:T129)</f>
        <v>383909</v>
      </c>
    </row>
    <row r="67" spans="1:5" ht="12.75">
      <c r="A67" s="2"/>
      <c r="B67" s="2" t="s">
        <v>1510</v>
      </c>
      <c r="C67" s="13">
        <f>'SCH Database'!J130</f>
        <v>567029</v>
      </c>
      <c r="D67" s="173" t="s">
        <v>1508</v>
      </c>
      <c r="E67" s="13">
        <f>'SCH Database'!T130</f>
        <v>50320</v>
      </c>
    </row>
    <row r="68" spans="1:5" ht="12.75">
      <c r="A68" s="2"/>
      <c r="B68" s="2" t="s">
        <v>1511</v>
      </c>
      <c r="C68" s="13">
        <f>SUM('SCH Database'!J131:J133)</f>
        <v>820168</v>
      </c>
      <c r="D68" s="173" t="s">
        <v>1508</v>
      </c>
      <c r="E68" s="13">
        <f>SUM('SCH Database'!T131:T133)</f>
        <v>137807</v>
      </c>
    </row>
    <row r="69" spans="1:5" ht="12.75">
      <c r="A69" s="2"/>
      <c r="B69" s="2" t="s">
        <v>1512</v>
      </c>
      <c r="C69" s="13">
        <f>SUM('SCH Database'!J134:J140)</f>
        <v>1270011</v>
      </c>
      <c r="D69" s="173" t="s">
        <v>1508</v>
      </c>
      <c r="E69" s="13">
        <f>SUM('SCH Database'!T134:T140)</f>
        <v>105039</v>
      </c>
    </row>
    <row r="70" spans="1:5" ht="12.75">
      <c r="A70" s="2"/>
      <c r="B70" s="2" t="s">
        <v>1513</v>
      </c>
      <c r="C70" s="13">
        <f>SUM('SCH Database'!J141:J143)</f>
        <v>504136</v>
      </c>
      <c r="D70" s="173" t="s">
        <v>1508</v>
      </c>
      <c r="E70" s="13">
        <f>SUM('SCH Database'!T141:T143)</f>
        <v>9736</v>
      </c>
    </row>
    <row r="71" spans="1:5" ht="12.75">
      <c r="A71" s="2"/>
      <c r="B71" s="2" t="s">
        <v>1519</v>
      </c>
      <c r="C71" s="13">
        <f>SUM('SCH Database'!J144:J158)</f>
        <v>1582426</v>
      </c>
      <c r="D71" s="13">
        <v>0</v>
      </c>
      <c r="E71" s="173" t="s">
        <v>1508</v>
      </c>
    </row>
    <row r="72" spans="2:5" ht="12.75">
      <c r="B72" s="2" t="s">
        <v>1520</v>
      </c>
      <c r="C72" s="13">
        <f>SUM('SCH Database'!J159:J191)</f>
        <v>1489667</v>
      </c>
      <c r="D72" s="13">
        <v>0</v>
      </c>
      <c r="E72" s="173" t="s">
        <v>1508</v>
      </c>
    </row>
    <row r="73" spans="2:5" ht="12.75">
      <c r="B73" t="s">
        <v>1517</v>
      </c>
      <c r="C73" s="13"/>
      <c r="D73" s="173" t="s">
        <v>1508</v>
      </c>
      <c r="E73" s="13"/>
    </row>
    <row r="74" spans="2:5" ht="12.75">
      <c r="B74" s="2"/>
      <c r="C74" s="13"/>
      <c r="D74" s="13"/>
      <c r="E74" s="13"/>
    </row>
    <row r="75" spans="2:5" ht="12.75">
      <c r="B75" s="2" t="s">
        <v>1518</v>
      </c>
      <c r="C75" s="2">
        <f>SUM(C65:C73)</f>
        <v>8420420</v>
      </c>
      <c r="D75" s="2">
        <f>SUM(D65:D73)</f>
        <v>0</v>
      </c>
      <c r="E75" s="2">
        <f>SUM(E65:E73)</f>
        <v>922978</v>
      </c>
    </row>
    <row r="76" spans="1:5" ht="12.75">
      <c r="A76" s="2"/>
      <c r="B76" s="173" t="s">
        <v>1502</v>
      </c>
      <c r="C76" s="173" t="s">
        <v>1502</v>
      </c>
      <c r="D76" s="173" t="s">
        <v>1502</v>
      </c>
      <c r="E76" s="173" t="s">
        <v>1502</v>
      </c>
    </row>
    <row r="77" spans="1:5" ht="12.75">
      <c r="A77" s="2"/>
      <c r="B77" s="2" t="s">
        <v>306</v>
      </c>
      <c r="C77" s="2"/>
      <c r="D77" s="2"/>
      <c r="E77" s="2"/>
    </row>
    <row r="78" spans="1:5" ht="12.75">
      <c r="A78" s="13" t="s">
        <v>517</v>
      </c>
      <c r="B78" s="13"/>
      <c r="C78" s="2" t="s">
        <v>1500</v>
      </c>
      <c r="D78" s="2"/>
      <c r="E78" s="2"/>
    </row>
    <row r="79" spans="1:5" ht="12.75">
      <c r="A79" s="2"/>
      <c r="B79" s="2" t="s">
        <v>306</v>
      </c>
      <c r="C79" s="2" t="s">
        <v>1501</v>
      </c>
      <c r="D79" s="2"/>
      <c r="E79" s="2"/>
    </row>
    <row r="80" spans="1:5" ht="12.75">
      <c r="A80" s="2"/>
      <c r="B80" s="2"/>
      <c r="C80" s="173" t="s">
        <v>1502</v>
      </c>
      <c r="D80" s="173" t="s">
        <v>1502</v>
      </c>
      <c r="E80" s="173" t="s">
        <v>1502</v>
      </c>
    </row>
    <row r="81" spans="1:5" ht="12.75">
      <c r="A81" s="2"/>
      <c r="B81" s="2"/>
      <c r="C81" s="2" t="s">
        <v>1503</v>
      </c>
      <c r="D81" s="2"/>
      <c r="E81" s="2" t="s">
        <v>1504</v>
      </c>
    </row>
    <row r="82" spans="1:5" ht="12.75">
      <c r="A82" s="2"/>
      <c r="B82" s="2"/>
      <c r="C82" s="97" t="s">
        <v>1505</v>
      </c>
      <c r="D82" s="97" t="s">
        <v>1506</v>
      </c>
      <c r="E82" s="97" t="s">
        <v>1505</v>
      </c>
    </row>
    <row r="83" spans="3:5" ht="12.75">
      <c r="C83" s="2"/>
      <c r="D83" s="2"/>
      <c r="E83" s="2"/>
    </row>
    <row r="84" spans="1:5" ht="12.75">
      <c r="A84" s="2" t="s">
        <v>517</v>
      </c>
      <c r="B84" s="2" t="s">
        <v>1507</v>
      </c>
      <c r="C84" s="13">
        <f>'SCH Database'!J194</f>
        <v>461389</v>
      </c>
      <c r="D84" s="173" t="s">
        <v>1508</v>
      </c>
      <c r="E84" s="13">
        <f>'SCH Database'!T194</f>
        <v>78378</v>
      </c>
    </row>
    <row r="85" spans="1:5" ht="12.75">
      <c r="A85" s="2"/>
      <c r="B85" s="2" t="s">
        <v>1509</v>
      </c>
      <c r="C85" s="13">
        <f>'SCH Database'!J195</f>
        <v>340406</v>
      </c>
      <c r="D85" s="173" t="s">
        <v>1508</v>
      </c>
      <c r="E85" s="13">
        <f>'SCH Database'!T195</f>
        <v>68441</v>
      </c>
    </row>
    <row r="86" spans="1:5" ht="12.75">
      <c r="A86" s="2"/>
      <c r="B86" s="2" t="s">
        <v>1510</v>
      </c>
      <c r="C86" s="13">
        <f>SUM('SCH Database'!J196:J198)</f>
        <v>889978</v>
      </c>
      <c r="D86" s="173" t="s">
        <v>1508</v>
      </c>
      <c r="E86" s="13">
        <f>SUM('SCH Database'!T196:T198)</f>
        <v>85613</v>
      </c>
    </row>
    <row r="87" spans="1:5" ht="12.75">
      <c r="A87" s="2"/>
      <c r="B87" s="2" t="s">
        <v>1511</v>
      </c>
      <c r="C87" s="13">
        <f>'SCH Database'!J199</f>
        <v>193594</v>
      </c>
      <c r="D87" s="173" t="s">
        <v>1508</v>
      </c>
      <c r="E87" s="13">
        <f>'SCH Database'!T199</f>
        <v>21972</v>
      </c>
    </row>
    <row r="88" spans="1:5" ht="12.75">
      <c r="A88" s="2"/>
      <c r="B88" s="2" t="s">
        <v>1512</v>
      </c>
      <c r="C88" s="13">
        <f>'SCH Database'!J200</f>
        <v>245520</v>
      </c>
      <c r="D88" s="173" t="s">
        <v>1508</v>
      </c>
      <c r="E88" s="13">
        <f>'SCH Database'!T200</f>
        <v>19402</v>
      </c>
    </row>
    <row r="89" spans="1:5" ht="12.75">
      <c r="A89" s="2"/>
      <c r="B89" s="2" t="s">
        <v>1513</v>
      </c>
      <c r="C89" s="13">
        <f>'SCH Database'!J201</f>
        <v>62816</v>
      </c>
      <c r="D89" s="173" t="s">
        <v>1508</v>
      </c>
      <c r="E89" s="13">
        <f>'SCH Database'!T201</f>
        <v>1159</v>
      </c>
    </row>
    <row r="90" spans="1:5" ht="12.75">
      <c r="A90" s="2"/>
      <c r="B90" s="2" t="s">
        <v>1519</v>
      </c>
      <c r="C90" s="13">
        <f>'SCH Database'!J202</f>
        <v>839222</v>
      </c>
      <c r="D90" s="13">
        <v>0</v>
      </c>
      <c r="E90" s="173" t="s">
        <v>1508</v>
      </c>
    </row>
    <row r="91" spans="2:5" ht="12.75">
      <c r="B91" s="2" t="s">
        <v>1520</v>
      </c>
      <c r="C91" s="69"/>
      <c r="D91" s="69"/>
      <c r="E91" s="173" t="s">
        <v>1508</v>
      </c>
    </row>
    <row r="92" spans="2:5" ht="12.75">
      <c r="B92" t="s">
        <v>1517</v>
      </c>
      <c r="C92" s="13"/>
      <c r="D92" s="173" t="s">
        <v>1508</v>
      </c>
      <c r="E92" s="13"/>
    </row>
    <row r="93" spans="2:5" ht="12.75">
      <c r="B93" s="2"/>
      <c r="C93" s="13"/>
      <c r="D93" s="2"/>
      <c r="E93" s="13"/>
    </row>
    <row r="94" spans="2:5" ht="12.75">
      <c r="B94" s="2" t="s">
        <v>1518</v>
      </c>
      <c r="C94" s="2">
        <f>SUM(C84:C92)</f>
        <v>3032925</v>
      </c>
      <c r="D94" s="2"/>
      <c r="E94" s="2"/>
    </row>
    <row r="95" spans="1:5" ht="12.75">
      <c r="A95" s="2"/>
      <c r="B95" s="173" t="s">
        <v>1502</v>
      </c>
      <c r="C95" s="173" t="s">
        <v>1502</v>
      </c>
      <c r="D95" s="173" t="s">
        <v>1502</v>
      </c>
      <c r="E95" s="173" t="s">
        <v>1502</v>
      </c>
    </row>
    <row r="96" spans="1:5" ht="12.75">
      <c r="A96" s="2"/>
      <c r="B96" s="2" t="s">
        <v>306</v>
      </c>
      <c r="C96" s="2"/>
      <c r="D96" s="2"/>
      <c r="E96" s="2"/>
    </row>
    <row r="97" spans="1:5" ht="12.75">
      <c r="A97" s="13" t="s">
        <v>536</v>
      </c>
      <c r="B97" s="13"/>
      <c r="C97" s="2" t="s">
        <v>1500</v>
      </c>
      <c r="D97" s="2"/>
      <c r="E97" s="2"/>
    </row>
    <row r="98" spans="1:5" ht="12.75">
      <c r="A98" s="2"/>
      <c r="B98" s="2" t="s">
        <v>306</v>
      </c>
      <c r="C98" s="2" t="s">
        <v>1501</v>
      </c>
      <c r="D98" s="2"/>
      <c r="E98" s="2"/>
    </row>
    <row r="99" spans="1:5" ht="12.75">
      <c r="A99" s="2"/>
      <c r="B99" s="2"/>
      <c r="C99" s="173" t="s">
        <v>1502</v>
      </c>
      <c r="D99" s="173" t="s">
        <v>1502</v>
      </c>
      <c r="E99" s="173" t="s">
        <v>1502</v>
      </c>
    </row>
    <row r="100" spans="1:5" ht="12.75">
      <c r="A100" s="2" t="s">
        <v>536</v>
      </c>
      <c r="B100" s="2"/>
      <c r="C100" s="2" t="s">
        <v>1503</v>
      </c>
      <c r="D100" s="2"/>
      <c r="E100" s="2" t="s">
        <v>1504</v>
      </c>
    </row>
    <row r="101" spans="1:5" ht="12.75">
      <c r="A101" s="2"/>
      <c r="B101" s="2"/>
      <c r="C101" s="97" t="s">
        <v>1505</v>
      </c>
      <c r="D101" s="97" t="s">
        <v>1506</v>
      </c>
      <c r="E101" s="97" t="s">
        <v>1505</v>
      </c>
    </row>
    <row r="102" spans="3:5" ht="12.75">
      <c r="C102" s="2"/>
      <c r="D102" s="2"/>
      <c r="E102" s="2"/>
    </row>
    <row r="103" spans="1:5" ht="12.75">
      <c r="A103" s="2"/>
      <c r="B103" s="2" t="s">
        <v>1507</v>
      </c>
      <c r="C103" s="64">
        <f>'SCH Database'!J203</f>
        <v>567914</v>
      </c>
      <c r="D103" s="176" t="s">
        <v>1508</v>
      </c>
      <c r="E103" s="64">
        <f>'SCH Database'!T203</f>
        <v>100262</v>
      </c>
    </row>
    <row r="104" spans="1:5" ht="12.75">
      <c r="A104" s="2"/>
      <c r="B104" s="2" t="s">
        <v>1509</v>
      </c>
      <c r="C104" s="64">
        <f>SUM('SCH Database'!J204:J205)</f>
        <v>727389</v>
      </c>
      <c r="D104" s="176" t="s">
        <v>1508</v>
      </c>
      <c r="E104" s="64">
        <f>SUM('SCH Database'!T204:T205)</f>
        <v>79625</v>
      </c>
    </row>
    <row r="105" spans="1:5" ht="12.75">
      <c r="A105" s="2"/>
      <c r="B105" s="2" t="s">
        <v>1510</v>
      </c>
      <c r="C105" s="64">
        <f>SUM('SCH Database'!J206:J209)</f>
        <v>975943</v>
      </c>
      <c r="D105" s="176" t="s">
        <v>1508</v>
      </c>
      <c r="E105" s="64">
        <f>SUM('SCH Database'!T206:T209)</f>
        <v>86699</v>
      </c>
    </row>
    <row r="106" spans="1:5" ht="12.75">
      <c r="A106" s="2"/>
      <c r="B106" s="2" t="s">
        <v>1511</v>
      </c>
      <c r="C106" s="64">
        <f>SUM('SCH Database'!J210:J212)</f>
        <v>819192</v>
      </c>
      <c r="D106" s="176" t="s">
        <v>1508</v>
      </c>
      <c r="E106" s="64">
        <f>SUM('SCH Database'!T210:T212)</f>
        <v>49184</v>
      </c>
    </row>
    <row r="107" spans="1:5" ht="12.75">
      <c r="A107" s="2"/>
      <c r="B107" s="2" t="s">
        <v>1512</v>
      </c>
      <c r="C107" s="64">
        <f>SUM('SCH Database'!J213:J215)</f>
        <v>391795</v>
      </c>
      <c r="D107" s="176" t="s">
        <v>1508</v>
      </c>
      <c r="E107" s="64">
        <f>SUM('SCH Database'!T213:T215)</f>
        <v>26321</v>
      </c>
    </row>
    <row r="108" spans="1:5" ht="12.75">
      <c r="A108" s="2"/>
      <c r="B108" s="2" t="s">
        <v>1513</v>
      </c>
      <c r="C108" s="64">
        <v>0</v>
      </c>
      <c r="D108" s="176" t="s">
        <v>1508</v>
      </c>
      <c r="E108" s="64">
        <v>0</v>
      </c>
    </row>
    <row r="109" spans="1:5" ht="12.75">
      <c r="A109" s="2"/>
      <c r="B109" s="2" t="s">
        <v>1519</v>
      </c>
      <c r="C109" s="64">
        <f>SUM('SCH Database'!J216:J221)</f>
        <v>468821</v>
      </c>
      <c r="D109" s="64">
        <v>0</v>
      </c>
      <c r="E109" s="176" t="s">
        <v>1508</v>
      </c>
    </row>
    <row r="110" spans="2:5" ht="12.75">
      <c r="B110" s="2" t="s">
        <v>1520</v>
      </c>
      <c r="C110" s="177" t="s">
        <v>1521</v>
      </c>
      <c r="D110" s="2"/>
      <c r="E110" s="176" t="s">
        <v>1508</v>
      </c>
    </row>
    <row r="111" spans="2:5" ht="12.75">
      <c r="B111" t="s">
        <v>1517</v>
      </c>
      <c r="C111" s="64">
        <v>20773</v>
      </c>
      <c r="D111" s="176" t="s">
        <v>1508</v>
      </c>
      <c r="E111" s="64"/>
    </row>
    <row r="112" spans="2:5" ht="12.75">
      <c r="B112" s="2"/>
      <c r="C112" s="13"/>
      <c r="D112" s="2"/>
      <c r="E112" s="13"/>
    </row>
    <row r="113" spans="2:5" ht="12.75">
      <c r="B113" s="2" t="s">
        <v>1518</v>
      </c>
      <c r="C113" s="2">
        <f>SUM(C103:C111)</f>
        <v>3971827</v>
      </c>
      <c r="D113" s="2">
        <f>SUM(D103:D111)</f>
        <v>0</v>
      </c>
      <c r="E113" s="2">
        <f>SUM(E103:E111)</f>
        <v>342091</v>
      </c>
    </row>
    <row r="114" spans="1:5" ht="12.75">
      <c r="A114" s="2"/>
      <c r="B114" s="173" t="s">
        <v>1502</v>
      </c>
      <c r="C114" s="173" t="s">
        <v>1502</v>
      </c>
      <c r="D114" s="173" t="s">
        <v>1502</v>
      </c>
      <c r="E114" s="173" t="s">
        <v>1502</v>
      </c>
    </row>
    <row r="115" spans="1:5" ht="12.75">
      <c r="A115" s="2"/>
      <c r="B115" s="2" t="s">
        <v>306</v>
      </c>
      <c r="C115" s="2"/>
      <c r="D115" s="2"/>
      <c r="E115" s="2"/>
    </row>
    <row r="116" spans="1:5" ht="12.75">
      <c r="A116" s="13" t="s">
        <v>661</v>
      </c>
      <c r="B116" s="13"/>
      <c r="C116" s="2" t="s">
        <v>1500</v>
      </c>
      <c r="D116" s="2"/>
      <c r="E116" s="2"/>
    </row>
    <row r="117" spans="1:5" ht="12.75">
      <c r="A117" s="2"/>
      <c r="B117" s="2" t="s">
        <v>306</v>
      </c>
      <c r="C117" s="2" t="s">
        <v>1501</v>
      </c>
      <c r="D117" s="2"/>
      <c r="E117" s="2"/>
    </row>
    <row r="118" spans="1:5" ht="12.75">
      <c r="A118" s="2"/>
      <c r="B118" s="2"/>
      <c r="C118" s="173" t="s">
        <v>1502</v>
      </c>
      <c r="D118" s="173" t="s">
        <v>1502</v>
      </c>
      <c r="E118" s="173" t="s">
        <v>1502</v>
      </c>
    </row>
    <row r="119" spans="1:5" ht="12.75">
      <c r="A119" s="2" t="s">
        <v>661</v>
      </c>
      <c r="B119" s="2"/>
      <c r="C119" s="2" t="s">
        <v>1503</v>
      </c>
      <c r="D119" s="2"/>
      <c r="E119" s="2" t="s">
        <v>1504</v>
      </c>
    </row>
    <row r="120" spans="1:5" ht="12.75">
      <c r="A120" s="2"/>
      <c r="B120" s="2"/>
      <c r="C120" s="97" t="s">
        <v>1505</v>
      </c>
      <c r="D120" s="97" t="s">
        <v>1506</v>
      </c>
      <c r="E120" s="97" t="s">
        <v>1505</v>
      </c>
    </row>
    <row r="121" spans="3:5" ht="12.75">
      <c r="C121" s="2"/>
      <c r="D121" s="2"/>
      <c r="E121" s="2"/>
    </row>
    <row r="122" spans="1:5" ht="12.75">
      <c r="A122" s="2"/>
      <c r="B122" s="2" t="s">
        <v>1507</v>
      </c>
      <c r="C122" s="13">
        <f>'SCH Database'!J267</f>
        <v>659141</v>
      </c>
      <c r="D122" s="173" t="s">
        <v>1508</v>
      </c>
      <c r="E122" s="13">
        <f>'SCH Database'!T267</f>
        <v>103880</v>
      </c>
    </row>
    <row r="123" spans="1:5" ht="12.75">
      <c r="A123" s="2"/>
      <c r="B123" s="2" t="s">
        <v>1509</v>
      </c>
      <c r="C123" s="13">
        <f>'SCH Database'!J268</f>
        <v>230102</v>
      </c>
      <c r="D123" s="173" t="s">
        <v>1508</v>
      </c>
      <c r="E123" s="13">
        <f>'SCH Database'!T268</f>
        <v>17142</v>
      </c>
    </row>
    <row r="124" spans="1:5" ht="12.75">
      <c r="A124" s="2"/>
      <c r="B124" s="2" t="s">
        <v>1510</v>
      </c>
      <c r="C124" s="13">
        <v>0</v>
      </c>
      <c r="D124" s="173" t="s">
        <v>1508</v>
      </c>
      <c r="E124" s="13">
        <v>0</v>
      </c>
    </row>
    <row r="125" spans="1:5" ht="12.75">
      <c r="A125" s="2"/>
      <c r="B125" s="2" t="s">
        <v>1511</v>
      </c>
      <c r="C125" s="13">
        <f>SUM('SCH Database'!J269:J274)</f>
        <v>876422</v>
      </c>
      <c r="D125" s="173" t="s">
        <v>1508</v>
      </c>
      <c r="E125" s="13">
        <f>SUM('SCH Database'!T269:T274)</f>
        <v>115810</v>
      </c>
    </row>
    <row r="126" spans="1:5" ht="12.75">
      <c r="A126" s="2"/>
      <c r="B126" s="2" t="s">
        <v>1512</v>
      </c>
      <c r="C126" s="13">
        <f>SUM('SCH Database'!J275:J276)</f>
        <v>150120</v>
      </c>
      <c r="D126" s="173" t="s">
        <v>1508</v>
      </c>
      <c r="E126" s="13">
        <f>SUM('SCH Database'!T275:T276)</f>
        <v>12129</v>
      </c>
    </row>
    <row r="127" spans="1:5" ht="12.75">
      <c r="A127" s="2"/>
      <c r="B127" s="2" t="s">
        <v>1513</v>
      </c>
      <c r="C127" s="13">
        <f>'SCH Database'!J277</f>
        <v>47331</v>
      </c>
      <c r="D127" s="173" t="s">
        <v>1508</v>
      </c>
      <c r="E127" s="13">
        <v>0</v>
      </c>
    </row>
    <row r="128" spans="1:5" ht="12.75">
      <c r="A128" s="2"/>
      <c r="B128" s="2" t="s">
        <v>1519</v>
      </c>
      <c r="C128" s="13">
        <f>SUM('SCH Database'!J278:J297)</f>
        <v>1852160</v>
      </c>
      <c r="D128" s="13">
        <v>0</v>
      </c>
      <c r="E128" s="173" t="s">
        <v>1508</v>
      </c>
    </row>
    <row r="129" spans="2:5" ht="12.75">
      <c r="B129" s="2" t="s">
        <v>1520</v>
      </c>
      <c r="C129" s="13">
        <v>0</v>
      </c>
      <c r="D129" s="13">
        <v>0</v>
      </c>
      <c r="E129" s="173" t="s">
        <v>1508</v>
      </c>
    </row>
    <row r="130" spans="2:5" ht="12.75">
      <c r="B130" t="s">
        <v>1517</v>
      </c>
      <c r="C130" s="13"/>
      <c r="D130" s="173" t="s">
        <v>1508</v>
      </c>
      <c r="E130" s="13"/>
    </row>
    <row r="131" spans="2:5" ht="12.75">
      <c r="B131" s="2"/>
      <c r="C131" s="13"/>
      <c r="D131" s="2"/>
      <c r="E131" s="13"/>
    </row>
    <row r="132" spans="2:5" ht="12.75">
      <c r="B132" s="2" t="s">
        <v>1518</v>
      </c>
      <c r="C132" s="2">
        <f>SUM(C122:C130)</f>
        <v>3815276</v>
      </c>
      <c r="D132" s="2">
        <f>SUM(D122:D130)</f>
        <v>0</v>
      </c>
      <c r="E132" s="2">
        <f>SUM(E122:E130)</f>
        <v>248961</v>
      </c>
    </row>
    <row r="133" spans="1:5" ht="12.75">
      <c r="A133" s="2"/>
      <c r="B133" s="173" t="s">
        <v>1502</v>
      </c>
      <c r="C133" s="173" t="s">
        <v>1502</v>
      </c>
      <c r="D133" s="173" t="s">
        <v>1502</v>
      </c>
      <c r="E133" s="173" t="s">
        <v>1502</v>
      </c>
    </row>
    <row r="134" spans="1:5" ht="12.75">
      <c r="A134" s="2"/>
      <c r="B134" s="2" t="s">
        <v>306</v>
      </c>
      <c r="C134" s="2"/>
      <c r="D134" s="2"/>
      <c r="E134" s="2"/>
    </row>
    <row r="135" spans="1:5" ht="12.75">
      <c r="A135" s="13" t="s">
        <v>731</v>
      </c>
      <c r="B135" s="13"/>
      <c r="C135" s="2" t="s">
        <v>1500</v>
      </c>
      <c r="D135" s="2"/>
      <c r="E135" s="2"/>
    </row>
    <row r="136" spans="1:5" ht="12.75">
      <c r="A136" s="2"/>
      <c r="B136" s="2" t="s">
        <v>306</v>
      </c>
      <c r="C136" s="2" t="s">
        <v>1501</v>
      </c>
      <c r="D136" s="2"/>
      <c r="E136" s="2"/>
    </row>
    <row r="137" spans="1:5" ht="12.75">
      <c r="A137" s="2"/>
      <c r="B137" s="2"/>
      <c r="C137" s="173" t="s">
        <v>1502</v>
      </c>
      <c r="D137" s="173" t="s">
        <v>1502</v>
      </c>
      <c r="E137" s="173" t="s">
        <v>1502</v>
      </c>
    </row>
    <row r="138" spans="1:5" ht="12.75">
      <c r="A138" s="2" t="s">
        <v>731</v>
      </c>
      <c r="B138" s="2"/>
      <c r="C138" s="2" t="s">
        <v>1503</v>
      </c>
      <c r="D138" s="2"/>
      <c r="E138" s="2" t="s">
        <v>1504</v>
      </c>
    </row>
    <row r="139" spans="1:5" ht="12.75">
      <c r="A139" s="2"/>
      <c r="B139" s="2"/>
      <c r="C139" s="97" t="s">
        <v>1505</v>
      </c>
      <c r="D139" s="97" t="s">
        <v>1506</v>
      </c>
      <c r="E139" s="97" t="s">
        <v>1505</v>
      </c>
    </row>
    <row r="140" spans="3:5" ht="12.75">
      <c r="C140" s="2"/>
      <c r="D140" s="2"/>
      <c r="E140" s="2"/>
    </row>
    <row r="141" spans="1:5" ht="12.75">
      <c r="A141" s="2"/>
      <c r="B141" s="2" t="s">
        <v>1507</v>
      </c>
      <c r="C141" s="13">
        <f>'SCH Database'!J300</f>
        <v>329600</v>
      </c>
      <c r="D141" s="173" t="s">
        <v>1508</v>
      </c>
      <c r="E141" s="13">
        <f>'SCH Database'!T300</f>
        <v>48521</v>
      </c>
    </row>
    <row r="142" spans="1:5" ht="12.75">
      <c r="A142" s="2"/>
      <c r="B142" s="2" t="s">
        <v>1509</v>
      </c>
      <c r="C142" s="13">
        <f>SUM('SCH Database'!J301:J302)</f>
        <v>563890</v>
      </c>
      <c r="D142" s="173" t="s">
        <v>1508</v>
      </c>
      <c r="E142" s="13">
        <f>SUM('SCH Database'!T301:T302)</f>
        <v>115913</v>
      </c>
    </row>
    <row r="143" spans="1:5" ht="12.75">
      <c r="A143" s="2"/>
      <c r="B143" s="2" t="s">
        <v>1510</v>
      </c>
      <c r="C143" s="13">
        <f>'SCH Database'!J303</f>
        <v>156052</v>
      </c>
      <c r="D143" s="173" t="s">
        <v>1508</v>
      </c>
      <c r="E143" s="13">
        <f>'SCH Database'!T303</f>
        <v>13041</v>
      </c>
    </row>
    <row r="144" spans="1:5" ht="12.75">
      <c r="A144" s="2"/>
      <c r="B144" s="2" t="s">
        <v>1511</v>
      </c>
      <c r="C144" s="13">
        <v>0</v>
      </c>
      <c r="D144" s="173" t="s">
        <v>1508</v>
      </c>
      <c r="E144" s="13">
        <v>0</v>
      </c>
    </row>
    <row r="145" spans="1:5" ht="12.75">
      <c r="A145" s="2"/>
      <c r="B145" s="2" t="s">
        <v>1512</v>
      </c>
      <c r="C145" s="13">
        <f>SUM('SCH Database'!J304:J305)</f>
        <v>184115</v>
      </c>
      <c r="D145" s="173" t="s">
        <v>1508</v>
      </c>
      <c r="E145" s="13">
        <f>SUM('SCH Database'!T304:T305)</f>
        <v>15541</v>
      </c>
    </row>
    <row r="146" spans="1:5" ht="12.75">
      <c r="A146" s="2"/>
      <c r="B146" s="2" t="s">
        <v>1513</v>
      </c>
      <c r="C146" s="13">
        <f>SUM('SCH Database'!J306:J307)</f>
        <v>126711</v>
      </c>
      <c r="D146" s="173" t="s">
        <v>1508</v>
      </c>
      <c r="E146" s="13">
        <f>SUM('SCH Database'!T306:T307)</f>
        <v>2909</v>
      </c>
    </row>
    <row r="147" spans="1:5" ht="12.75">
      <c r="A147" s="2"/>
      <c r="B147" s="2" t="s">
        <v>1519</v>
      </c>
      <c r="C147" s="13">
        <f>SUM('SCH Database'!J308:J322)</f>
        <v>563210</v>
      </c>
      <c r="D147" s="13">
        <v>0</v>
      </c>
      <c r="E147" s="173" t="s">
        <v>1508</v>
      </c>
    </row>
    <row r="148" spans="2:5" ht="12.75">
      <c r="B148" s="2" t="s">
        <v>1520</v>
      </c>
      <c r="C148" s="13">
        <v>0</v>
      </c>
      <c r="D148" s="13">
        <v>0</v>
      </c>
      <c r="E148" s="173" t="s">
        <v>1508</v>
      </c>
    </row>
    <row r="149" spans="2:5" ht="12.75">
      <c r="B149" t="s">
        <v>1517</v>
      </c>
      <c r="C149" s="13"/>
      <c r="D149" s="173" t="s">
        <v>1508</v>
      </c>
      <c r="E149" s="13"/>
    </row>
    <row r="150" spans="2:5" ht="12.75">
      <c r="B150" s="2"/>
      <c r="C150" s="2"/>
      <c r="D150" s="2"/>
      <c r="E150" s="2"/>
    </row>
    <row r="151" spans="2:5" ht="12.75">
      <c r="B151" s="2" t="s">
        <v>1518</v>
      </c>
      <c r="C151" s="2">
        <f>SUM(C141:C149)</f>
        <v>1923578</v>
      </c>
      <c r="D151" s="2">
        <f>SUM(D141:D149)</f>
        <v>0</v>
      </c>
      <c r="E151" s="2">
        <f>SUM(E141:E149)</f>
        <v>195925</v>
      </c>
    </row>
    <row r="152" spans="1:5" ht="12.75">
      <c r="A152" s="2"/>
      <c r="B152" s="173" t="s">
        <v>1502</v>
      </c>
      <c r="C152" s="173" t="s">
        <v>1502</v>
      </c>
      <c r="D152" s="173" t="s">
        <v>1502</v>
      </c>
      <c r="E152" s="173" t="s">
        <v>1502</v>
      </c>
    </row>
    <row r="153" spans="1:5" ht="12.75">
      <c r="A153" s="2"/>
      <c r="B153" s="2" t="s">
        <v>306</v>
      </c>
      <c r="C153" s="13"/>
      <c r="D153" s="2"/>
      <c r="E153" s="13"/>
    </row>
    <row r="154" spans="1:5" ht="12.75">
      <c r="A154" s="13" t="s">
        <v>781</v>
      </c>
      <c r="B154" s="13"/>
      <c r="C154" s="2" t="s">
        <v>1500</v>
      </c>
      <c r="D154" s="2"/>
      <c r="E154" s="2"/>
    </row>
    <row r="155" spans="1:5" ht="12.75">
      <c r="A155" s="2"/>
      <c r="B155" s="2" t="s">
        <v>306</v>
      </c>
      <c r="C155" s="2" t="s">
        <v>1501</v>
      </c>
      <c r="D155" s="2"/>
      <c r="E155" s="2"/>
    </row>
    <row r="156" spans="1:5" ht="12.75">
      <c r="A156" s="2"/>
      <c r="B156" s="2"/>
      <c r="C156" s="173" t="s">
        <v>1502</v>
      </c>
      <c r="D156" s="173" t="s">
        <v>1502</v>
      </c>
      <c r="E156" s="173" t="s">
        <v>1502</v>
      </c>
    </row>
    <row r="157" spans="1:5" ht="12.75">
      <c r="A157" s="2" t="s">
        <v>781</v>
      </c>
      <c r="B157" s="2"/>
      <c r="C157" s="2" t="s">
        <v>1503</v>
      </c>
      <c r="D157" s="2"/>
      <c r="E157" s="2" t="s">
        <v>1504</v>
      </c>
    </row>
    <row r="158" spans="1:5" ht="12.75">
      <c r="A158" s="2"/>
      <c r="B158" s="2"/>
      <c r="C158" s="97" t="s">
        <v>1505</v>
      </c>
      <c r="D158" s="97" t="s">
        <v>1506</v>
      </c>
      <c r="E158" s="97" t="s">
        <v>1505</v>
      </c>
    </row>
    <row r="159" spans="3:5" ht="12.75">
      <c r="C159" s="2"/>
      <c r="D159" s="2"/>
      <c r="E159" s="2"/>
    </row>
    <row r="160" spans="1:5" ht="12.75">
      <c r="A160" s="2"/>
      <c r="B160" s="2" t="s">
        <v>1507</v>
      </c>
      <c r="C160" s="13">
        <f>SUM('SCH Database'!J324:J325)</f>
        <v>1009887</v>
      </c>
      <c r="D160" s="173" t="s">
        <v>1508</v>
      </c>
      <c r="E160" s="13">
        <f>SUM('SCH Database'!T324:T325)</f>
        <v>173061</v>
      </c>
    </row>
    <row r="161" spans="1:5" ht="12.75">
      <c r="A161" s="2"/>
      <c r="B161" s="2" t="s">
        <v>1509</v>
      </c>
      <c r="C161" s="13">
        <f>'SCH Database'!J326</f>
        <v>277658</v>
      </c>
      <c r="D161" s="173" t="s">
        <v>1508</v>
      </c>
      <c r="E161" s="13">
        <f>'SCH Database'!T326</f>
        <v>43397</v>
      </c>
    </row>
    <row r="162" spans="1:6" ht="12.75">
      <c r="A162" s="2"/>
      <c r="B162" s="2" t="s">
        <v>1510</v>
      </c>
      <c r="C162" s="13">
        <f>SUM('SCH Database'!J327:J332)</f>
        <v>1628596</v>
      </c>
      <c r="D162" s="173" t="s">
        <v>1508</v>
      </c>
      <c r="E162" s="13">
        <f>SUM('SCH Database'!T327:T332)</f>
        <v>167254</v>
      </c>
      <c r="F162">
        <f>65520+33227+68547</f>
        <v>167294</v>
      </c>
    </row>
    <row r="163" spans="1:5" ht="12.75">
      <c r="A163" s="2"/>
      <c r="B163" s="2" t="s">
        <v>1511</v>
      </c>
      <c r="C163" s="13">
        <f>'SCH Database'!J333</f>
        <v>228715</v>
      </c>
      <c r="D163" s="173" t="s">
        <v>1508</v>
      </c>
      <c r="E163" s="13">
        <f>'SCH Database'!T333</f>
        <v>7563</v>
      </c>
    </row>
    <row r="164" spans="1:5" ht="12.75">
      <c r="A164" s="2"/>
      <c r="B164" s="2" t="s">
        <v>1512</v>
      </c>
      <c r="C164" s="13">
        <f>SUM('SCH Database'!J334:J335)</f>
        <v>176334</v>
      </c>
      <c r="D164" s="173" t="s">
        <v>1508</v>
      </c>
      <c r="E164" s="13">
        <f>SUM('SCH Database'!T334:T335)</f>
        <v>15796</v>
      </c>
    </row>
    <row r="165" spans="1:5" ht="12.75">
      <c r="A165" s="2"/>
      <c r="B165" s="2" t="s">
        <v>1513</v>
      </c>
      <c r="C165" s="13">
        <f>SUM('SCH Database'!J336:J338)</f>
        <v>222653</v>
      </c>
      <c r="D165" s="173" t="s">
        <v>1508</v>
      </c>
      <c r="E165" s="13">
        <f>SUM('SCH Database'!T336:T338)</f>
        <v>441</v>
      </c>
    </row>
    <row r="166" spans="1:5" ht="12.75">
      <c r="A166" s="2"/>
      <c r="B166" s="2" t="s">
        <v>1519</v>
      </c>
      <c r="C166" s="13">
        <f>SUM('SCH Database'!J339:J396)</f>
        <v>4557402</v>
      </c>
      <c r="D166" s="13">
        <v>0</v>
      </c>
      <c r="E166" s="173" t="s">
        <v>1508</v>
      </c>
    </row>
    <row r="167" spans="2:5" ht="12.75">
      <c r="B167" s="2" t="s">
        <v>1520</v>
      </c>
      <c r="C167" s="13">
        <v>0</v>
      </c>
      <c r="D167" s="13">
        <v>0</v>
      </c>
      <c r="E167" s="173" t="s">
        <v>1508</v>
      </c>
    </row>
    <row r="168" spans="2:5" ht="12.75">
      <c r="B168" t="s">
        <v>1517</v>
      </c>
      <c r="C168" s="13"/>
      <c r="D168" s="173" t="s">
        <v>1508</v>
      </c>
      <c r="E168" s="13"/>
    </row>
    <row r="169" spans="2:5" ht="12.75">
      <c r="B169" s="2"/>
      <c r="C169" s="2"/>
      <c r="D169" s="2"/>
      <c r="E169" s="2"/>
    </row>
    <row r="170" spans="2:5" ht="12.75">
      <c r="B170" s="2" t="s">
        <v>1518</v>
      </c>
      <c r="C170" s="2">
        <f>SUM(C160:C168)</f>
        <v>8101245</v>
      </c>
      <c r="D170" s="2">
        <f>SUM(D160:D168)</f>
        <v>0</v>
      </c>
      <c r="E170" s="2">
        <f>SUM(E160:E168)</f>
        <v>407512</v>
      </c>
    </row>
    <row r="171" spans="1:5" ht="12.75">
      <c r="A171" s="2"/>
      <c r="B171" s="173" t="s">
        <v>1502</v>
      </c>
      <c r="C171" s="173" t="s">
        <v>1502</v>
      </c>
      <c r="D171" s="173" t="s">
        <v>1502</v>
      </c>
      <c r="E171" s="173" t="s">
        <v>1502</v>
      </c>
    </row>
    <row r="172" spans="1:5" ht="12.75">
      <c r="A172" s="2"/>
      <c r="C172" s="2"/>
      <c r="D172" s="2"/>
      <c r="E172" s="2"/>
    </row>
    <row r="173" spans="1:5" ht="12.75">
      <c r="A173" s="13" t="s">
        <v>930</v>
      </c>
      <c r="B173" s="13"/>
      <c r="C173" s="2" t="s">
        <v>1500</v>
      </c>
      <c r="D173" s="2"/>
      <c r="E173" s="2"/>
    </row>
    <row r="174" spans="1:5" ht="12.75">
      <c r="A174" s="2"/>
      <c r="B174" s="2" t="s">
        <v>306</v>
      </c>
      <c r="C174" s="2" t="s">
        <v>1501</v>
      </c>
      <c r="D174" s="2"/>
      <c r="E174" s="2"/>
    </row>
    <row r="175" spans="1:5" ht="12.75">
      <c r="A175" s="2"/>
      <c r="B175" s="2"/>
      <c r="C175" s="173" t="s">
        <v>1502</v>
      </c>
      <c r="D175" s="173" t="s">
        <v>1502</v>
      </c>
      <c r="E175" s="173" t="s">
        <v>1502</v>
      </c>
    </row>
    <row r="176" spans="1:5" ht="12.75">
      <c r="A176" s="2" t="s">
        <v>930</v>
      </c>
      <c r="B176" s="2"/>
      <c r="C176" s="2" t="s">
        <v>1503</v>
      </c>
      <c r="D176" s="2"/>
      <c r="E176" s="2" t="s">
        <v>1504</v>
      </c>
    </row>
    <row r="177" spans="1:5" ht="12.75">
      <c r="A177" s="2"/>
      <c r="B177" s="2"/>
      <c r="C177" s="97" t="s">
        <v>1505</v>
      </c>
      <c r="D177" s="97" t="s">
        <v>1506</v>
      </c>
      <c r="E177" s="97" t="s">
        <v>1505</v>
      </c>
    </row>
    <row r="178" spans="3:5" ht="12.75">
      <c r="C178" s="2"/>
      <c r="D178" s="2"/>
      <c r="E178" s="2"/>
    </row>
    <row r="179" spans="1:5" ht="12.75">
      <c r="A179" s="2"/>
      <c r="B179" s="2" t="s">
        <v>1507</v>
      </c>
      <c r="C179" s="13">
        <f>SUM('SCH Database'!J398:J399)</f>
        <v>808582</v>
      </c>
      <c r="D179" s="173" t="s">
        <v>1508</v>
      </c>
      <c r="E179" s="13">
        <f>SUM('SCH Database'!T398:T399)</f>
        <v>162719</v>
      </c>
    </row>
    <row r="180" spans="1:5" ht="12.75">
      <c r="A180" s="2"/>
      <c r="B180" s="2" t="s">
        <v>1509</v>
      </c>
      <c r="C180" s="13">
        <v>0</v>
      </c>
      <c r="D180" s="173" t="s">
        <v>1508</v>
      </c>
      <c r="E180" s="13">
        <v>0</v>
      </c>
    </row>
    <row r="181" spans="1:5" ht="12.75">
      <c r="A181" s="2"/>
      <c r="B181" s="2" t="s">
        <v>1510</v>
      </c>
      <c r="C181" s="13">
        <f>'SCH Database'!J400</f>
        <v>285740</v>
      </c>
      <c r="D181" s="173" t="s">
        <v>1508</v>
      </c>
      <c r="E181" s="13">
        <f>'SCH Database'!T400</f>
        <v>51326</v>
      </c>
    </row>
    <row r="182" spans="1:5" ht="12.75">
      <c r="A182" s="2"/>
      <c r="B182" s="2" t="s">
        <v>1511</v>
      </c>
      <c r="C182" s="13">
        <f>SUM('SCH Database'!J401:J402)</f>
        <v>300151</v>
      </c>
      <c r="D182" s="173" t="s">
        <v>1508</v>
      </c>
      <c r="E182" s="13">
        <f>SUM('SCH Database'!T401:T402)</f>
        <v>24832</v>
      </c>
    </row>
    <row r="183" spans="1:5" ht="12.75">
      <c r="A183" s="2"/>
      <c r="B183" s="2" t="s">
        <v>1512</v>
      </c>
      <c r="C183" s="13">
        <f>SUM('SCH Database'!J403:J406)</f>
        <v>365460</v>
      </c>
      <c r="D183" s="173" t="s">
        <v>1508</v>
      </c>
      <c r="E183" s="13">
        <f>SUM('SCH Database'!T403:T406)</f>
        <v>28926</v>
      </c>
    </row>
    <row r="184" spans="1:5" ht="12.75">
      <c r="A184" s="2"/>
      <c r="B184" s="2" t="s">
        <v>1513</v>
      </c>
      <c r="C184" s="13">
        <f>SUM('SCH Database'!J407:J409)</f>
        <v>157116</v>
      </c>
      <c r="D184" s="173" t="s">
        <v>1508</v>
      </c>
      <c r="E184" s="13">
        <f>SUM('SCH Database'!T407:T409)</f>
        <v>804</v>
      </c>
    </row>
    <row r="185" spans="1:5" ht="12.75">
      <c r="A185" s="2"/>
      <c r="B185" s="2" t="s">
        <v>1519</v>
      </c>
      <c r="C185" s="13">
        <f>SUM('SCH Database'!J410:J424)</f>
        <v>1141925</v>
      </c>
      <c r="D185" s="13">
        <v>0</v>
      </c>
      <c r="E185" s="173" t="s">
        <v>1508</v>
      </c>
    </row>
    <row r="186" spans="2:5" ht="12.75">
      <c r="B186" s="2" t="s">
        <v>1520</v>
      </c>
      <c r="C186" s="69"/>
      <c r="D186" s="69"/>
      <c r="E186" s="173" t="s">
        <v>1508</v>
      </c>
    </row>
    <row r="187" spans="2:5" ht="12.75">
      <c r="B187" t="s">
        <v>1517</v>
      </c>
      <c r="C187" s="13"/>
      <c r="D187" s="173" t="s">
        <v>1508</v>
      </c>
      <c r="E187" s="13"/>
    </row>
    <row r="188" spans="2:5" ht="12.75">
      <c r="B188" s="2"/>
      <c r="C188" s="2"/>
      <c r="D188" s="2"/>
      <c r="E188" s="2"/>
    </row>
    <row r="189" spans="2:5" ht="12.75">
      <c r="B189" s="2" t="s">
        <v>1518</v>
      </c>
      <c r="C189" s="2">
        <f>SUM(C179:C187)</f>
        <v>3058974</v>
      </c>
      <c r="D189" s="2">
        <f>SUM(D179:D187)</f>
        <v>0</v>
      </c>
      <c r="E189" s="2">
        <f>SUM(E179:E187)</f>
        <v>268607</v>
      </c>
    </row>
    <row r="190" spans="1:5" ht="12.75">
      <c r="A190" s="2"/>
      <c r="B190" s="173" t="s">
        <v>1502</v>
      </c>
      <c r="C190" s="173" t="s">
        <v>1502</v>
      </c>
      <c r="D190" s="173" t="s">
        <v>1502</v>
      </c>
      <c r="E190" s="173" t="s">
        <v>1502</v>
      </c>
    </row>
    <row r="191" spans="1:5" ht="12.75">
      <c r="A191" s="2"/>
      <c r="C191" s="2"/>
      <c r="D191" s="2"/>
      <c r="E191" s="2"/>
    </row>
    <row r="192" spans="1:5" ht="12.75">
      <c r="A192" s="13" t="s">
        <v>991</v>
      </c>
      <c r="B192" s="13"/>
      <c r="C192" s="2" t="s">
        <v>1500</v>
      </c>
      <c r="D192" s="2"/>
      <c r="E192" s="2"/>
    </row>
    <row r="193" spans="1:5" ht="12.75">
      <c r="A193" s="2"/>
      <c r="B193" s="2" t="s">
        <v>306</v>
      </c>
      <c r="C193" s="2" t="s">
        <v>1501</v>
      </c>
      <c r="D193" s="2"/>
      <c r="E193" s="2"/>
    </row>
    <row r="194" spans="1:5" ht="12.75">
      <c r="A194" s="2"/>
      <c r="B194" s="2"/>
      <c r="C194" s="173" t="s">
        <v>1502</v>
      </c>
      <c r="D194" s="173" t="s">
        <v>1502</v>
      </c>
      <c r="E194" s="173" t="s">
        <v>1502</v>
      </c>
    </row>
    <row r="195" spans="1:5" ht="12.75">
      <c r="A195" s="2" t="s">
        <v>991</v>
      </c>
      <c r="B195" s="2"/>
      <c r="C195" s="2" t="s">
        <v>1503</v>
      </c>
      <c r="D195" s="2"/>
      <c r="E195" s="2" t="s">
        <v>1504</v>
      </c>
    </row>
    <row r="196" spans="1:5" ht="12.75">
      <c r="A196" s="2"/>
      <c r="B196" s="2" t="s">
        <v>306</v>
      </c>
      <c r="C196" s="97" t="s">
        <v>1505</v>
      </c>
      <c r="D196" s="97" t="s">
        <v>1506</v>
      </c>
      <c r="E196" s="97" t="s">
        <v>1505</v>
      </c>
    </row>
    <row r="197" spans="3:5" ht="12.75">
      <c r="C197" s="2"/>
      <c r="D197" s="2"/>
      <c r="E197" s="2"/>
    </row>
    <row r="198" spans="1:5" ht="12.75">
      <c r="A198" s="2"/>
      <c r="B198" s="2" t="s">
        <v>1507</v>
      </c>
      <c r="C198" s="13">
        <f>'SCH Database'!J429</f>
        <v>419340</v>
      </c>
      <c r="D198" s="173" t="s">
        <v>1508</v>
      </c>
      <c r="E198" s="13">
        <f>'SCH Database'!T429</f>
        <v>133012</v>
      </c>
    </row>
    <row r="199" spans="1:5" ht="12.75">
      <c r="A199" s="2"/>
      <c r="B199" s="2" t="s">
        <v>1509</v>
      </c>
      <c r="C199" s="13">
        <f>'SCH Database'!J430</f>
        <v>390778</v>
      </c>
      <c r="D199" s="173" t="s">
        <v>1508</v>
      </c>
      <c r="E199" s="13">
        <f>'SCH Database'!T430</f>
        <v>72138</v>
      </c>
    </row>
    <row r="200" spans="1:5" ht="12.75">
      <c r="A200" s="2"/>
      <c r="B200" s="2" t="s">
        <v>1510</v>
      </c>
      <c r="C200" s="13">
        <f>'SCH Database'!J431</f>
        <v>114982</v>
      </c>
      <c r="D200" s="173" t="s">
        <v>1508</v>
      </c>
      <c r="E200" s="13">
        <f>'SCH Database'!T431</f>
        <v>18878</v>
      </c>
    </row>
    <row r="201" spans="1:5" ht="12.75">
      <c r="A201" s="2"/>
      <c r="B201" s="2" t="s">
        <v>1511</v>
      </c>
      <c r="C201" s="13">
        <f>'SCH Database'!J432</f>
        <v>242283</v>
      </c>
      <c r="D201" s="173" t="s">
        <v>1508</v>
      </c>
      <c r="E201" s="13">
        <f>'SCH Database'!T432</f>
        <v>14393</v>
      </c>
    </row>
    <row r="202" spans="1:5" ht="12.75">
      <c r="A202" s="2"/>
      <c r="B202" s="2" t="s">
        <v>1512</v>
      </c>
      <c r="C202" s="13">
        <f>SUM('SCH Database'!J433:J435)</f>
        <v>296402</v>
      </c>
      <c r="D202" s="173" t="s">
        <v>1508</v>
      </c>
      <c r="E202" s="13">
        <f>SUM('SCH Database'!T433:T435)</f>
        <v>47118</v>
      </c>
    </row>
    <row r="203" spans="1:5" ht="12.75">
      <c r="A203" s="2"/>
      <c r="B203" s="2" t="s">
        <v>1513</v>
      </c>
      <c r="C203" s="13">
        <f>SUM('SCH Database'!J436:J439)</f>
        <v>320024</v>
      </c>
      <c r="D203" s="173" t="s">
        <v>1508</v>
      </c>
      <c r="E203" s="13">
        <f>SUM('SCH Database'!T436:T439)</f>
        <v>7805</v>
      </c>
    </row>
    <row r="204" spans="1:5" ht="12.75">
      <c r="A204" s="2"/>
      <c r="B204" s="2" t="s">
        <v>1519</v>
      </c>
      <c r="C204" s="13">
        <f>SUM('SCH Database'!J440:J460)</f>
        <v>1322780</v>
      </c>
      <c r="D204" s="13">
        <v>0</v>
      </c>
      <c r="E204" s="173" t="s">
        <v>1508</v>
      </c>
    </row>
    <row r="205" spans="2:5" ht="12.75">
      <c r="B205" s="2" t="s">
        <v>1520</v>
      </c>
      <c r="C205" s="13">
        <v>0</v>
      </c>
      <c r="D205" s="13">
        <v>0</v>
      </c>
      <c r="E205" s="173" t="s">
        <v>1508</v>
      </c>
    </row>
    <row r="206" spans="2:5" ht="12.75">
      <c r="B206" t="s">
        <v>1517</v>
      </c>
      <c r="C206" s="13"/>
      <c r="D206" s="173" t="s">
        <v>1508</v>
      </c>
      <c r="E206" s="13"/>
    </row>
    <row r="207" spans="2:5" ht="12.75">
      <c r="B207" s="2"/>
      <c r="C207" s="13"/>
      <c r="D207" s="2"/>
      <c r="E207" s="13"/>
    </row>
    <row r="208" spans="2:5" ht="12.75">
      <c r="B208" s="2" t="s">
        <v>1518</v>
      </c>
      <c r="C208" s="2">
        <f>SUM(C198:C206)</f>
        <v>3106589</v>
      </c>
      <c r="D208" s="2">
        <f>SUM(D198:D206)</f>
        <v>0</v>
      </c>
      <c r="E208" s="2">
        <f>SUM(E198:E206)</f>
        <v>293344</v>
      </c>
    </row>
    <row r="209" spans="1:5" ht="12.75">
      <c r="A209" s="2"/>
      <c r="B209" s="173" t="s">
        <v>1502</v>
      </c>
      <c r="C209" s="173" t="s">
        <v>1502</v>
      </c>
      <c r="D209" s="173" t="s">
        <v>1502</v>
      </c>
      <c r="E209" s="173" t="s">
        <v>1502</v>
      </c>
    </row>
    <row r="210" spans="1:5" ht="12.75">
      <c r="A210" s="2"/>
      <c r="B210" s="2" t="s">
        <v>306</v>
      </c>
      <c r="C210" s="2"/>
      <c r="D210" s="2"/>
      <c r="E210" s="2"/>
    </row>
    <row r="211" spans="1:5" ht="12.75">
      <c r="A211" s="13" t="s">
        <v>1058</v>
      </c>
      <c r="B211" s="13"/>
      <c r="C211" s="2" t="s">
        <v>1500</v>
      </c>
      <c r="D211" s="2"/>
      <c r="E211" s="2"/>
    </row>
    <row r="212" spans="1:5" ht="12.75">
      <c r="A212" s="2"/>
      <c r="B212" s="2" t="s">
        <v>306</v>
      </c>
      <c r="C212" s="2" t="s">
        <v>1501</v>
      </c>
      <c r="D212" s="2"/>
      <c r="E212" s="2"/>
    </row>
    <row r="213" spans="1:5" ht="12.75">
      <c r="A213" s="2"/>
      <c r="B213" s="2"/>
      <c r="C213" s="173" t="s">
        <v>1502</v>
      </c>
      <c r="D213" s="173" t="s">
        <v>1502</v>
      </c>
      <c r="E213" s="173" t="s">
        <v>1502</v>
      </c>
    </row>
    <row r="214" spans="1:5" ht="12.75">
      <c r="A214" s="2" t="s">
        <v>1058</v>
      </c>
      <c r="B214" s="2"/>
      <c r="C214" s="2" t="s">
        <v>1503</v>
      </c>
      <c r="D214" s="2"/>
      <c r="E214" s="2" t="s">
        <v>1504</v>
      </c>
    </row>
    <row r="215" spans="1:5" ht="12.75">
      <c r="A215" s="2"/>
      <c r="B215" s="2"/>
      <c r="C215" s="97" t="s">
        <v>1505</v>
      </c>
      <c r="D215" s="97" t="s">
        <v>1506</v>
      </c>
      <c r="E215" s="97" t="s">
        <v>1505</v>
      </c>
    </row>
    <row r="216" spans="3:5" ht="12.75">
      <c r="C216" s="2"/>
      <c r="D216" s="2"/>
      <c r="E216" s="2"/>
    </row>
    <row r="217" spans="1:5" ht="12.75">
      <c r="A217" s="2"/>
      <c r="B217" s="2" t="s">
        <v>1507</v>
      </c>
      <c r="C217" s="13">
        <f>'SCH Database'!J462</f>
        <v>514064</v>
      </c>
      <c r="D217" s="173" t="s">
        <v>1508</v>
      </c>
      <c r="E217" s="13">
        <f>'SCH Database'!T462</f>
        <v>133081</v>
      </c>
    </row>
    <row r="218" spans="1:5" ht="12.75">
      <c r="A218" s="2"/>
      <c r="B218" s="2" t="s">
        <v>1509</v>
      </c>
      <c r="C218" s="13">
        <f>'SCH Database'!J463</f>
        <v>397825</v>
      </c>
      <c r="D218" s="173" t="s">
        <v>1508</v>
      </c>
      <c r="E218" s="13">
        <f>'SCH Database'!T463</f>
        <v>89825</v>
      </c>
    </row>
    <row r="219" spans="1:5" ht="12.75">
      <c r="A219" s="2"/>
      <c r="B219" s="2" t="s">
        <v>1510</v>
      </c>
      <c r="C219" s="13">
        <f>SUM('SCH Database'!J464:J466)</f>
        <v>864089</v>
      </c>
      <c r="D219" s="173" t="s">
        <v>1508</v>
      </c>
      <c r="E219" s="13">
        <f>SUM('SCH Database'!T464:T466)</f>
        <v>87462</v>
      </c>
    </row>
    <row r="220" spans="1:5" ht="12.75">
      <c r="A220" s="2"/>
      <c r="B220" s="2" t="s">
        <v>1511</v>
      </c>
      <c r="C220" s="13">
        <f>SUM('SCH Database'!J467:J469)</f>
        <v>571415</v>
      </c>
      <c r="D220" s="173" t="s">
        <v>1508</v>
      </c>
      <c r="E220" s="13">
        <f>SUM('SCH Database'!T467:T469)</f>
        <v>45359</v>
      </c>
    </row>
    <row r="221" spans="1:5" ht="12.75">
      <c r="A221" s="2"/>
      <c r="B221" s="2" t="s">
        <v>1512</v>
      </c>
      <c r="C221" s="13">
        <f>'SCH Database'!J470</f>
        <v>161736</v>
      </c>
      <c r="D221" s="173" t="s">
        <v>1508</v>
      </c>
      <c r="E221" s="13">
        <f>'SCH Database'!T470</f>
        <v>5051</v>
      </c>
    </row>
    <row r="222" spans="1:5" ht="12.75">
      <c r="A222" s="2"/>
      <c r="B222" s="2" t="s">
        <v>1513</v>
      </c>
      <c r="C222" s="13">
        <v>0</v>
      </c>
      <c r="D222" s="173" t="s">
        <v>1508</v>
      </c>
      <c r="E222" s="13">
        <v>0</v>
      </c>
    </row>
    <row r="223" spans="1:5" ht="12.75">
      <c r="A223" s="2"/>
      <c r="B223" s="2" t="s">
        <v>1519</v>
      </c>
      <c r="C223" s="13">
        <f>SUM('SCH Database'!J471:J484)</f>
        <v>1433401</v>
      </c>
      <c r="D223" s="13">
        <v>0</v>
      </c>
      <c r="E223" s="173" t="s">
        <v>1508</v>
      </c>
    </row>
    <row r="224" spans="2:5" ht="12.75">
      <c r="B224" s="2" t="s">
        <v>1520</v>
      </c>
      <c r="C224" s="13">
        <v>0</v>
      </c>
      <c r="D224" s="13">
        <f>SUM('SCH Database'!O485:O511)</f>
        <v>4759786</v>
      </c>
      <c r="E224" s="173" t="s">
        <v>1508</v>
      </c>
    </row>
    <row r="225" spans="2:5" ht="12.75">
      <c r="B225" t="s">
        <v>1517</v>
      </c>
      <c r="C225" s="13"/>
      <c r="D225" s="173" t="s">
        <v>1508</v>
      </c>
      <c r="E225" s="13"/>
    </row>
    <row r="226" spans="2:5" ht="12.75">
      <c r="B226" s="2"/>
      <c r="C226" s="13"/>
      <c r="D226" s="2"/>
      <c r="E226" s="13"/>
    </row>
    <row r="227" spans="2:5" ht="12.75">
      <c r="B227" s="2" t="s">
        <v>1518</v>
      </c>
      <c r="C227" s="2">
        <f>SUM(C217:C225)</f>
        <v>3942530</v>
      </c>
      <c r="D227" s="2">
        <f>SUM(D217:D225)</f>
        <v>4759786</v>
      </c>
      <c r="E227" s="2">
        <f>SUM(E217:E225)</f>
        <v>360778</v>
      </c>
    </row>
    <row r="228" spans="1:5" ht="12.75">
      <c r="A228" s="2"/>
      <c r="B228" s="173" t="s">
        <v>1502</v>
      </c>
      <c r="C228" s="173" t="s">
        <v>1502</v>
      </c>
      <c r="D228" s="173" t="s">
        <v>1502</v>
      </c>
      <c r="E228" s="173" t="s">
        <v>1502</v>
      </c>
    </row>
    <row r="229" spans="1:5" ht="12.75">
      <c r="A229" s="2"/>
      <c r="B229" s="2" t="s">
        <v>306</v>
      </c>
      <c r="C229" s="2"/>
      <c r="D229" s="2"/>
      <c r="E229" s="2"/>
    </row>
    <row r="230" spans="1:5" ht="12.75">
      <c r="A230" s="13" t="s">
        <v>1162</v>
      </c>
      <c r="B230" s="13"/>
      <c r="C230" s="2" t="s">
        <v>1500</v>
      </c>
      <c r="D230" s="2"/>
      <c r="E230" s="2"/>
    </row>
    <row r="231" spans="1:5" ht="12.75">
      <c r="A231" s="2"/>
      <c r="B231" s="2" t="s">
        <v>306</v>
      </c>
      <c r="C231" s="2" t="s">
        <v>1501</v>
      </c>
      <c r="D231" s="2"/>
      <c r="E231" s="2"/>
    </row>
    <row r="232" spans="1:5" ht="12.75">
      <c r="A232" s="2"/>
      <c r="B232" s="2"/>
      <c r="C232" s="173" t="s">
        <v>1502</v>
      </c>
      <c r="D232" s="173" t="s">
        <v>1502</v>
      </c>
      <c r="E232" s="173" t="s">
        <v>1502</v>
      </c>
    </row>
    <row r="233" spans="1:5" ht="12.75">
      <c r="A233" s="2" t="s">
        <v>1162</v>
      </c>
      <c r="B233" s="2"/>
      <c r="C233" s="2" t="s">
        <v>1503</v>
      </c>
      <c r="D233" s="2"/>
      <c r="E233" s="2" t="s">
        <v>1504</v>
      </c>
    </row>
    <row r="234" spans="1:5" ht="12.75">
      <c r="A234" s="2"/>
      <c r="B234" s="2"/>
      <c r="C234" s="97" t="s">
        <v>1505</v>
      </c>
      <c r="D234" s="97" t="s">
        <v>1506</v>
      </c>
      <c r="E234" s="97" t="s">
        <v>1505</v>
      </c>
    </row>
    <row r="235" spans="3:5" ht="12.75">
      <c r="C235" s="2"/>
      <c r="D235" s="2"/>
      <c r="E235" s="2"/>
    </row>
    <row r="236" spans="1:5" ht="12.75">
      <c r="A236" s="2"/>
      <c r="B236" s="2" t="s">
        <v>1507</v>
      </c>
      <c r="C236" s="13">
        <f>SUM('SCH Database'!J515:J520)</f>
        <v>3752895</v>
      </c>
      <c r="D236" s="173" t="s">
        <v>1508</v>
      </c>
      <c r="E236" s="13">
        <f>SUM('SCH Database'!T515:T520)</f>
        <v>783576</v>
      </c>
    </row>
    <row r="237" spans="1:5" ht="12.75">
      <c r="A237" s="2"/>
      <c r="B237" s="2" t="s">
        <v>1509</v>
      </c>
      <c r="C237" s="13">
        <f>SUM('SCH Database'!J521:J522)</f>
        <v>551457</v>
      </c>
      <c r="D237" s="173" t="s">
        <v>1508</v>
      </c>
      <c r="E237" s="13">
        <f>SUM('SCH Database'!T521:T522)</f>
        <v>128441</v>
      </c>
    </row>
    <row r="238" spans="1:5" ht="12.75">
      <c r="A238" s="2"/>
      <c r="B238" s="2" t="s">
        <v>1510</v>
      </c>
      <c r="C238" s="13">
        <f>SUM('SCH Database'!J523:J537)</f>
        <v>3138706</v>
      </c>
      <c r="D238" s="173" t="s">
        <v>1508</v>
      </c>
      <c r="E238" s="13">
        <f>SUM('SCH Database'!T523:T537)</f>
        <v>363543</v>
      </c>
    </row>
    <row r="239" spans="1:5" ht="12.75">
      <c r="A239" s="2"/>
      <c r="B239" s="2" t="s">
        <v>1511</v>
      </c>
      <c r="C239" s="13">
        <f>SUM('SCH Database'!J538:J543)</f>
        <v>848226</v>
      </c>
      <c r="D239" s="173" t="s">
        <v>1508</v>
      </c>
      <c r="E239" s="13">
        <f>SUM('SCH Database'!T538:T543)</f>
        <v>55709</v>
      </c>
    </row>
    <row r="240" spans="1:5" ht="12.75">
      <c r="A240" s="2"/>
      <c r="B240" s="2" t="s">
        <v>1512</v>
      </c>
      <c r="C240" s="13">
        <f>SUM('SCH Database'!J544:J547)</f>
        <v>81143</v>
      </c>
      <c r="D240" s="173" t="s">
        <v>1508</v>
      </c>
      <c r="E240" s="13">
        <f>SUM('SCH Database'!T544:T547)</f>
        <v>24286</v>
      </c>
    </row>
    <row r="241" spans="1:5" ht="12.75">
      <c r="A241" s="2"/>
      <c r="B241" s="2" t="s">
        <v>1513</v>
      </c>
      <c r="C241" s="13">
        <f>SUM('SCH Database'!J548:J549)</f>
        <v>200914</v>
      </c>
      <c r="D241" s="173" t="s">
        <v>1508</v>
      </c>
      <c r="E241" s="13">
        <v>0</v>
      </c>
    </row>
    <row r="242" spans="1:5" ht="12.75">
      <c r="A242" s="2"/>
      <c r="B242" s="2" t="s">
        <v>1519</v>
      </c>
      <c r="C242" s="13">
        <f>SUM('SCH Database'!J550:J614)</f>
        <v>8559211</v>
      </c>
      <c r="D242" s="13">
        <f>SUM('SCH Database'!O550:O614)</f>
        <v>18086999</v>
      </c>
      <c r="E242" s="173" t="s">
        <v>1508</v>
      </c>
    </row>
    <row r="243" spans="2:5" ht="12.75">
      <c r="B243" s="2" t="s">
        <v>1520</v>
      </c>
      <c r="C243" s="13">
        <v>0</v>
      </c>
      <c r="D243" s="13">
        <v>0</v>
      </c>
      <c r="E243" s="173" t="s">
        <v>1508</v>
      </c>
    </row>
    <row r="244" spans="2:5" ht="12.75">
      <c r="B244" t="s">
        <v>1517</v>
      </c>
      <c r="C244" s="13"/>
      <c r="D244" s="173" t="s">
        <v>1508</v>
      </c>
      <c r="E244" s="13"/>
    </row>
    <row r="245" spans="2:5" ht="12.75">
      <c r="B245" s="2"/>
      <c r="C245" s="2"/>
      <c r="D245" s="2"/>
      <c r="E245" s="2"/>
    </row>
    <row r="246" spans="2:5" ht="12.75">
      <c r="B246" s="2" t="s">
        <v>1518</v>
      </c>
      <c r="C246" s="2">
        <f>SUM(C236:C244)</f>
        <v>17132552</v>
      </c>
      <c r="D246" s="2">
        <f>SUM(D236:D244)</f>
        <v>18086999</v>
      </c>
      <c r="E246" s="2">
        <f>SUM(E236:E244)</f>
        <v>1355555</v>
      </c>
    </row>
    <row r="247" spans="1:5" ht="12.75">
      <c r="A247" s="2"/>
      <c r="B247" s="173" t="s">
        <v>1502</v>
      </c>
      <c r="C247" s="173" t="s">
        <v>1502</v>
      </c>
      <c r="D247" s="173" t="s">
        <v>1502</v>
      </c>
      <c r="E247" s="173" t="s">
        <v>1502</v>
      </c>
    </row>
    <row r="248" spans="1:5" ht="12.75">
      <c r="A248" s="2"/>
      <c r="B248" s="2" t="s">
        <v>306</v>
      </c>
      <c r="C248" s="2"/>
      <c r="D248" s="2"/>
      <c r="E248" s="2"/>
    </row>
    <row r="249" spans="1:5" ht="12.75">
      <c r="A249" s="13" t="s">
        <v>1373</v>
      </c>
      <c r="B249" s="13"/>
      <c r="C249" s="2" t="s">
        <v>1500</v>
      </c>
      <c r="D249" s="2"/>
      <c r="E249" s="2"/>
    </row>
    <row r="250" spans="1:5" ht="12.75">
      <c r="A250" s="2"/>
      <c r="B250" s="2" t="s">
        <v>306</v>
      </c>
      <c r="C250" s="2" t="s">
        <v>1501</v>
      </c>
      <c r="D250" s="2"/>
      <c r="E250" s="2"/>
    </row>
    <row r="251" spans="1:5" ht="12.75">
      <c r="A251" s="2"/>
      <c r="B251" s="2"/>
      <c r="C251" s="173" t="s">
        <v>1502</v>
      </c>
      <c r="D251" s="173" t="s">
        <v>1502</v>
      </c>
      <c r="E251" s="173" t="s">
        <v>1502</v>
      </c>
    </row>
    <row r="252" spans="1:5" ht="12.75">
      <c r="A252" s="2" t="s">
        <v>1373</v>
      </c>
      <c r="B252" s="2"/>
      <c r="C252" s="2" t="s">
        <v>1503</v>
      </c>
      <c r="D252" s="2"/>
      <c r="E252" s="2" t="s">
        <v>1504</v>
      </c>
    </row>
    <row r="253" spans="1:5" ht="12.75">
      <c r="A253" s="2"/>
      <c r="B253" s="2" t="s">
        <v>306</v>
      </c>
      <c r="C253" s="97" t="s">
        <v>1505</v>
      </c>
      <c r="D253" s="97" t="s">
        <v>1506</v>
      </c>
      <c r="E253" s="97" t="s">
        <v>1505</v>
      </c>
    </row>
    <row r="254" spans="3:5" ht="12.75">
      <c r="C254" s="2"/>
      <c r="D254" s="2"/>
      <c r="E254" s="2"/>
    </row>
    <row r="255" spans="1:5" ht="12.75">
      <c r="A255" s="2"/>
      <c r="B255" s="2" t="s">
        <v>1507</v>
      </c>
      <c r="C255" s="13">
        <f>SUM('SCH Database'!J621:J622)</f>
        <v>985515</v>
      </c>
      <c r="D255" s="173" t="s">
        <v>1508</v>
      </c>
      <c r="E255" s="13">
        <f>SUM('SCH Database'!T621:T622)</f>
        <v>290978</v>
      </c>
    </row>
    <row r="256" spans="1:5" ht="12.75">
      <c r="A256" s="2"/>
      <c r="B256" s="2" t="s">
        <v>1509</v>
      </c>
      <c r="C256" s="13">
        <f>SUM('SCH Database'!J623:J626)</f>
        <v>1174529</v>
      </c>
      <c r="D256" s="173" t="s">
        <v>1508</v>
      </c>
      <c r="E256" s="13">
        <f>SUM('SCH Database'!T623:T626)</f>
        <v>350583</v>
      </c>
    </row>
    <row r="257" spans="1:5" ht="12.75">
      <c r="A257" s="2"/>
      <c r="B257" s="2" t="s">
        <v>1510</v>
      </c>
      <c r="C257" s="13">
        <f>'SCH Database'!J627</f>
        <v>329919</v>
      </c>
      <c r="D257" s="173" t="s">
        <v>1508</v>
      </c>
      <c r="E257" s="13">
        <f>'SCH Database'!T627</f>
        <v>18965</v>
      </c>
    </row>
    <row r="258" spans="1:5" ht="12.75">
      <c r="A258" s="2"/>
      <c r="B258" s="2" t="s">
        <v>1511</v>
      </c>
      <c r="C258" s="13">
        <f>SUM('SCH Database'!J628:J630)</f>
        <v>534917</v>
      </c>
      <c r="D258" s="173" t="s">
        <v>1508</v>
      </c>
      <c r="E258" s="13">
        <f>SUM('SCH Database'!T628:T630)</f>
        <v>41384</v>
      </c>
    </row>
    <row r="259" spans="1:5" ht="12.75">
      <c r="A259" s="2"/>
      <c r="B259" s="2" t="s">
        <v>1512</v>
      </c>
      <c r="C259" s="13">
        <f>'SCH Database'!J631</f>
        <v>92991</v>
      </c>
      <c r="D259" s="173" t="s">
        <v>1508</v>
      </c>
      <c r="E259" s="13">
        <f>'SCH Database'!T631</f>
        <v>6443</v>
      </c>
    </row>
    <row r="260" spans="1:5" ht="12.75">
      <c r="A260" s="2"/>
      <c r="B260" s="2" t="s">
        <v>1513</v>
      </c>
      <c r="C260" s="13">
        <f>SUM('SCH Database'!J632:J634)</f>
        <v>240839</v>
      </c>
      <c r="D260" s="173" t="s">
        <v>1508</v>
      </c>
      <c r="E260" s="13">
        <f>SUM('SCH Database'!T632:T634)</f>
        <v>1757</v>
      </c>
    </row>
    <row r="261" spans="1:5" ht="12.75">
      <c r="A261" s="2"/>
      <c r="B261" s="2" t="s">
        <v>1519</v>
      </c>
      <c r="C261" s="13">
        <f>SUM('SCH Database'!J635:J636)</f>
        <v>2205596</v>
      </c>
      <c r="D261" s="13">
        <v>0</v>
      </c>
      <c r="E261" s="173" t="s">
        <v>1508</v>
      </c>
    </row>
    <row r="262" spans="2:5" ht="12.75">
      <c r="B262" s="2" t="s">
        <v>1520</v>
      </c>
      <c r="C262" s="13">
        <v>0</v>
      </c>
      <c r="D262" s="13">
        <v>0</v>
      </c>
      <c r="E262" s="173" t="s">
        <v>1508</v>
      </c>
    </row>
    <row r="263" spans="2:5" ht="12.75">
      <c r="B263" t="s">
        <v>1517</v>
      </c>
      <c r="C263" s="13"/>
      <c r="D263" s="173" t="s">
        <v>1508</v>
      </c>
      <c r="E263" s="13">
        <v>0</v>
      </c>
    </row>
    <row r="264" spans="2:5" ht="12.75">
      <c r="B264" s="2"/>
      <c r="C264" s="13"/>
      <c r="D264" s="2"/>
      <c r="E264" s="13"/>
    </row>
    <row r="265" spans="2:5" ht="12.75">
      <c r="B265" s="2" t="s">
        <v>1518</v>
      </c>
      <c r="C265" s="2">
        <f>SUM(C255:C263)</f>
        <v>5564306</v>
      </c>
      <c r="D265" s="2">
        <f>SUM(D255:D263)</f>
        <v>0</v>
      </c>
      <c r="E265" s="2">
        <f>SUM(E255:E263)</f>
        <v>710110</v>
      </c>
    </row>
    <row r="266" spans="1:5" ht="12.75">
      <c r="A266" s="2"/>
      <c r="B266" s="173" t="s">
        <v>1502</v>
      </c>
      <c r="C266" s="173" t="s">
        <v>1502</v>
      </c>
      <c r="D266" s="173" t="s">
        <v>1502</v>
      </c>
      <c r="E266" s="173" t="s">
        <v>1502</v>
      </c>
    </row>
    <row r="267" spans="1:5" ht="12.75">
      <c r="A267" s="2"/>
      <c r="B267" s="2" t="s">
        <v>306</v>
      </c>
      <c r="C267" s="2"/>
      <c r="D267" s="2"/>
      <c r="E267" s="2"/>
    </row>
    <row r="268" spans="1:5" ht="12.75">
      <c r="A268" s="13" t="s">
        <v>1408</v>
      </c>
      <c r="B268" s="2"/>
      <c r="C268" s="2" t="s">
        <v>1500</v>
      </c>
      <c r="D268" s="2"/>
      <c r="E268" s="2"/>
    </row>
    <row r="269" spans="1:5" ht="12.75">
      <c r="A269" s="2"/>
      <c r="B269" s="2" t="s">
        <v>306</v>
      </c>
      <c r="C269" s="2" t="s">
        <v>1501</v>
      </c>
      <c r="D269" s="2"/>
      <c r="E269" s="2"/>
    </row>
    <row r="270" spans="1:5" ht="12.75">
      <c r="A270" s="2"/>
      <c r="B270" s="2"/>
      <c r="C270" s="173" t="s">
        <v>1502</v>
      </c>
      <c r="D270" s="173" t="s">
        <v>1502</v>
      </c>
      <c r="E270" s="173" t="s">
        <v>1502</v>
      </c>
    </row>
    <row r="271" spans="1:5" ht="12.75">
      <c r="A271" s="2" t="s">
        <v>1408</v>
      </c>
      <c r="B271" s="2"/>
      <c r="C271" s="2" t="s">
        <v>1503</v>
      </c>
      <c r="D271" s="2"/>
      <c r="E271" s="2" t="s">
        <v>1504</v>
      </c>
    </row>
    <row r="272" spans="1:5" ht="12.75">
      <c r="A272" s="2"/>
      <c r="B272" s="2"/>
      <c r="C272" s="97" t="s">
        <v>1505</v>
      </c>
      <c r="D272" s="97" t="s">
        <v>1506</v>
      </c>
      <c r="E272" s="97" t="s">
        <v>1505</v>
      </c>
    </row>
    <row r="273" spans="3:5" ht="12.75">
      <c r="C273" s="2"/>
      <c r="D273" s="2"/>
      <c r="E273" s="2"/>
    </row>
    <row r="274" spans="1:5" ht="12.75">
      <c r="A274" s="2"/>
      <c r="B274" s="2" t="s">
        <v>1507</v>
      </c>
      <c r="C274" s="13">
        <f>'SCH Database'!J638</f>
        <v>434028</v>
      </c>
      <c r="D274" s="173" t="s">
        <v>1508</v>
      </c>
      <c r="E274" s="13">
        <f>'SCH Database'!T638</f>
        <v>111103</v>
      </c>
    </row>
    <row r="275" spans="1:5" ht="12.75">
      <c r="A275" s="2"/>
      <c r="B275" s="2" t="s">
        <v>1509</v>
      </c>
      <c r="C275" s="13">
        <v>0</v>
      </c>
      <c r="D275" s="173" t="s">
        <v>1508</v>
      </c>
      <c r="E275" s="13">
        <v>0</v>
      </c>
    </row>
    <row r="276" spans="1:5" ht="12.75">
      <c r="A276" s="2"/>
      <c r="B276" s="2" t="s">
        <v>1510</v>
      </c>
      <c r="C276" s="13">
        <f>9+'SCH Database'!J639</f>
        <v>257725</v>
      </c>
      <c r="D276" s="173" t="s">
        <v>1508</v>
      </c>
      <c r="E276" s="13">
        <f>'SCH Database'!T639</f>
        <v>28652</v>
      </c>
    </row>
    <row r="277" spans="1:5" ht="12.75">
      <c r="A277" s="2"/>
      <c r="B277" s="2" t="s">
        <v>1511</v>
      </c>
      <c r="C277" s="13">
        <v>0</v>
      </c>
      <c r="D277" s="173" t="s">
        <v>1508</v>
      </c>
      <c r="E277" s="13">
        <v>0</v>
      </c>
    </row>
    <row r="278" spans="1:5" ht="12.75">
      <c r="A278" s="2"/>
      <c r="B278" s="2" t="s">
        <v>1512</v>
      </c>
      <c r="C278" s="13">
        <v>0</v>
      </c>
      <c r="D278" s="173" t="s">
        <v>1508</v>
      </c>
      <c r="E278" s="13">
        <v>0</v>
      </c>
    </row>
    <row r="279" spans="1:5" ht="12.75">
      <c r="A279" s="2"/>
      <c r="B279" s="2" t="s">
        <v>1513</v>
      </c>
      <c r="C279" s="13">
        <f>SUM('SCH Database'!J640:J647)</f>
        <v>663569</v>
      </c>
      <c r="D279" s="173" t="s">
        <v>1508</v>
      </c>
      <c r="E279" s="13">
        <f>SUM('SCH Database'!T640:T647)</f>
        <v>380</v>
      </c>
    </row>
    <row r="280" spans="1:5" ht="12.75">
      <c r="A280" s="2"/>
      <c r="B280" s="2" t="s">
        <v>1519</v>
      </c>
      <c r="C280" s="13">
        <f>SUM('SCH Database'!J648:J651)</f>
        <v>216788</v>
      </c>
      <c r="D280" s="13">
        <v>0</v>
      </c>
      <c r="E280" s="173" t="s">
        <v>1508</v>
      </c>
    </row>
    <row r="281" spans="2:5" ht="12.75">
      <c r="B281" s="2" t="s">
        <v>1520</v>
      </c>
      <c r="C281" s="69"/>
      <c r="D281" s="69"/>
      <c r="E281" s="173" t="s">
        <v>1508</v>
      </c>
    </row>
    <row r="282" spans="2:5" ht="12.75">
      <c r="B282" t="s">
        <v>1517</v>
      </c>
      <c r="C282" s="13">
        <v>0</v>
      </c>
      <c r="D282" s="173" t="s">
        <v>1508</v>
      </c>
      <c r="E282" s="13"/>
    </row>
    <row r="283" spans="2:5" ht="12.75">
      <c r="B283" s="2"/>
      <c r="C283" s="13"/>
      <c r="D283" s="2"/>
      <c r="E283" s="13"/>
    </row>
    <row r="284" spans="2:5" ht="12.75">
      <c r="B284" s="2" t="s">
        <v>1518</v>
      </c>
      <c r="C284" s="2">
        <f>SUM(C274:C282)</f>
        <v>1572110</v>
      </c>
      <c r="D284" s="2">
        <f>SUM(D274:D282)</f>
        <v>0</v>
      </c>
      <c r="E284" s="2">
        <f>SUM(E274:E282)</f>
        <v>140135</v>
      </c>
    </row>
    <row r="285" spans="1:5" ht="12.75">
      <c r="A285" s="2"/>
      <c r="B285" s="173" t="s">
        <v>1502</v>
      </c>
      <c r="C285" s="173" t="s">
        <v>1502</v>
      </c>
      <c r="D285" s="173" t="s">
        <v>1502</v>
      </c>
      <c r="E285" s="173" t="s">
        <v>1502</v>
      </c>
    </row>
    <row r="286" spans="1:5" ht="12.75">
      <c r="A286" s="178" t="s">
        <v>1522</v>
      </c>
      <c r="B286" s="178" t="s">
        <v>1522</v>
      </c>
      <c r="C286" s="173" t="s">
        <v>1522</v>
      </c>
      <c r="D286" s="173" t="s">
        <v>1522</v>
      </c>
      <c r="E286" s="173" t="s">
        <v>1522</v>
      </c>
    </row>
    <row r="287" spans="3:5" ht="12.75">
      <c r="C287" s="2"/>
      <c r="D287" s="2"/>
      <c r="E287" s="2"/>
    </row>
    <row r="288" spans="3:5" ht="12.75">
      <c r="C288" s="2"/>
      <c r="D288" s="2"/>
      <c r="E288" s="2"/>
    </row>
    <row r="289" spans="3:5" ht="12.75">
      <c r="C289" s="2"/>
      <c r="D289" s="2"/>
      <c r="E289" s="2"/>
    </row>
    <row r="290" spans="3:5" ht="12.75">
      <c r="C290" s="2"/>
      <c r="D290" s="2"/>
      <c r="E290" s="2"/>
    </row>
    <row r="291" spans="3:5" ht="12.75">
      <c r="C291" s="2"/>
      <c r="D291" s="2"/>
      <c r="E291" s="2"/>
    </row>
    <row r="292" spans="3:5" ht="12.75">
      <c r="C292" s="2"/>
      <c r="D292" s="2"/>
      <c r="E292" s="2"/>
    </row>
    <row r="293" spans="3:5" ht="12.75">
      <c r="C293" s="2"/>
      <c r="D293" s="2"/>
      <c r="E293" s="2"/>
    </row>
    <row r="294" spans="3:5" ht="12.75">
      <c r="C294" s="2"/>
      <c r="D294" s="2"/>
      <c r="E294" s="2"/>
    </row>
    <row r="295" spans="3:5" ht="12.75">
      <c r="C295" s="2"/>
      <c r="D295" s="2"/>
      <c r="E295" s="2"/>
    </row>
    <row r="296" spans="3:5" ht="12.75">
      <c r="C296" s="2"/>
      <c r="D296" s="2"/>
      <c r="E296" s="2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285"/>
  <sheetViews>
    <sheetView showGridLines="0" defaultGridColor="0" zoomScale="87" zoomScaleNormal="87" colorId="22" workbookViewId="0" topLeftCell="A1">
      <selection activeCell="C17" sqref="C17"/>
    </sheetView>
  </sheetViews>
  <sheetFormatPr defaultColWidth="9.7109375" defaultRowHeight="12.75"/>
  <sheetData>
    <row r="1" spans="1:14" ht="12.75">
      <c r="A1" s="13" t="s">
        <v>127</v>
      </c>
      <c r="B1" s="70"/>
      <c r="C1" s="70"/>
      <c r="D1" s="179" t="s">
        <v>1523</v>
      </c>
      <c r="E1" s="71"/>
      <c r="F1" s="70"/>
      <c r="G1" s="71"/>
      <c r="H1" s="72"/>
      <c r="I1" s="73"/>
      <c r="J1" s="73"/>
      <c r="K1" s="73"/>
      <c r="L1" s="73"/>
      <c r="M1" s="73"/>
      <c r="N1" s="73"/>
    </row>
    <row r="2" spans="1:14" ht="12.75">
      <c r="A2" s="2"/>
      <c r="B2" s="70"/>
      <c r="C2" s="70"/>
      <c r="D2" s="71" t="s">
        <v>1524</v>
      </c>
      <c r="E2" s="71"/>
      <c r="F2" s="70"/>
      <c r="G2" s="71"/>
      <c r="H2" s="74" t="s">
        <v>1446</v>
      </c>
      <c r="I2" s="74"/>
      <c r="J2" s="74"/>
      <c r="K2" s="74"/>
      <c r="L2" s="74"/>
      <c r="M2" s="74"/>
      <c r="N2" s="74"/>
    </row>
    <row r="3" spans="1:14" ht="12.75">
      <c r="A3" s="2"/>
      <c r="B3" s="180" t="s">
        <v>1502</v>
      </c>
      <c r="C3" s="180" t="s">
        <v>1502</v>
      </c>
      <c r="D3" s="180" t="s">
        <v>1502</v>
      </c>
      <c r="E3" s="180" t="s">
        <v>1502</v>
      </c>
      <c r="F3" s="180" t="s">
        <v>1502</v>
      </c>
      <c r="G3" s="180" t="s">
        <v>1502</v>
      </c>
      <c r="H3" s="73" t="s">
        <v>1449</v>
      </c>
      <c r="I3" s="72"/>
      <c r="J3" s="73"/>
      <c r="K3" s="72"/>
      <c r="L3" s="73"/>
      <c r="M3" s="73"/>
      <c r="N3" s="72"/>
    </row>
    <row r="4" spans="1:14" ht="12.75">
      <c r="A4" s="2"/>
      <c r="B4" s="179" t="s">
        <v>1525</v>
      </c>
      <c r="C4" s="179" t="s">
        <v>1525</v>
      </c>
      <c r="D4" s="70"/>
      <c r="E4" s="70"/>
      <c r="F4" s="70"/>
      <c r="G4" s="70"/>
      <c r="H4" s="73" t="s">
        <v>1452</v>
      </c>
      <c r="I4" s="73" t="s">
        <v>1453</v>
      </c>
      <c r="J4" s="73" t="s">
        <v>1454</v>
      </c>
      <c r="K4" s="73" t="s">
        <v>1454</v>
      </c>
      <c r="L4" s="73" t="s">
        <v>1455</v>
      </c>
      <c r="M4" s="72"/>
      <c r="N4" s="72"/>
    </row>
    <row r="5" spans="1:14" ht="12.75">
      <c r="A5" s="2"/>
      <c r="B5" s="179" t="s">
        <v>1526</v>
      </c>
      <c r="C5" s="179" t="s">
        <v>1526</v>
      </c>
      <c r="D5" s="179" t="s">
        <v>1527</v>
      </c>
      <c r="E5" s="179" t="s">
        <v>1467</v>
      </c>
      <c r="F5" s="179" t="s">
        <v>1528</v>
      </c>
      <c r="G5" s="179" t="s">
        <v>1528</v>
      </c>
      <c r="H5" s="73" t="s">
        <v>1459</v>
      </c>
      <c r="I5" s="73" t="s">
        <v>1460</v>
      </c>
      <c r="J5" s="73" t="s">
        <v>1461</v>
      </c>
      <c r="K5" s="73" t="s">
        <v>1462</v>
      </c>
      <c r="L5" s="73" t="s">
        <v>1462</v>
      </c>
      <c r="M5" s="73" t="s">
        <v>1463</v>
      </c>
      <c r="N5" s="72"/>
    </row>
    <row r="6" spans="2:14" ht="12.75">
      <c r="B6" s="181" t="s">
        <v>1529</v>
      </c>
      <c r="C6" s="181" t="s">
        <v>1447</v>
      </c>
      <c r="D6" s="75"/>
      <c r="E6" s="75"/>
      <c r="F6" s="181" t="s">
        <v>1464</v>
      </c>
      <c r="G6" s="181" t="s">
        <v>1447</v>
      </c>
      <c r="H6" s="74" t="s">
        <v>1468</v>
      </c>
      <c r="I6" s="74" t="s">
        <v>1458</v>
      </c>
      <c r="J6" s="74" t="s">
        <v>1469</v>
      </c>
      <c r="K6" s="74" t="s">
        <v>1470</v>
      </c>
      <c r="L6" s="74" t="s">
        <v>1470</v>
      </c>
      <c r="M6" s="74" t="s">
        <v>1468</v>
      </c>
      <c r="N6" s="74" t="s">
        <v>1467</v>
      </c>
    </row>
    <row r="7" spans="1:14" ht="12.75">
      <c r="A7" s="2" t="s">
        <v>1507</v>
      </c>
      <c r="B7" s="13">
        <v>208648903</v>
      </c>
      <c r="C7" s="13">
        <v>194858182</v>
      </c>
      <c r="D7" s="13">
        <v>16197562</v>
      </c>
      <c r="E7" s="13">
        <v>4425667</v>
      </c>
      <c r="F7" s="173" t="s">
        <v>1508</v>
      </c>
      <c r="G7" s="173" t="s">
        <v>1508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1:20" ht="12.75">
      <c r="A8" s="2" t="s">
        <v>1509</v>
      </c>
      <c r="B8" s="13">
        <v>41598829</v>
      </c>
      <c r="C8" s="13">
        <v>38407631</v>
      </c>
      <c r="D8" s="13">
        <v>0</v>
      </c>
      <c r="E8" s="13">
        <v>139949653</v>
      </c>
      <c r="F8" s="173" t="s">
        <v>1508</v>
      </c>
      <c r="G8" s="173" t="s">
        <v>1508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"/>
      <c r="P8" s="2"/>
      <c r="Q8" s="2"/>
      <c r="R8" s="2"/>
      <c r="S8" s="2"/>
      <c r="T8" s="2"/>
    </row>
    <row r="9" spans="1:20" ht="12.75">
      <c r="A9" s="2" t="s">
        <v>1510</v>
      </c>
      <c r="B9" s="13">
        <v>113370886</v>
      </c>
      <c r="C9" s="13">
        <v>103679811</v>
      </c>
      <c r="D9" s="13">
        <v>0</v>
      </c>
      <c r="E9" s="13">
        <v>45166878</v>
      </c>
      <c r="F9" s="173" t="s">
        <v>1508</v>
      </c>
      <c r="G9" s="173" t="s">
        <v>1508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"/>
      <c r="P9" s="2"/>
      <c r="Q9" s="2"/>
      <c r="R9" s="2"/>
      <c r="S9" s="2"/>
      <c r="T9" s="2"/>
    </row>
    <row r="10" spans="1:20" ht="12.75">
      <c r="A10" s="2" t="s">
        <v>1511</v>
      </c>
      <c r="B10" s="13">
        <v>55776356</v>
      </c>
      <c r="C10" s="13">
        <v>52626830</v>
      </c>
      <c r="D10" s="13">
        <v>0</v>
      </c>
      <c r="E10" s="13">
        <v>0</v>
      </c>
      <c r="F10" s="173" t="s">
        <v>1508</v>
      </c>
      <c r="G10" s="173" t="s">
        <v>1508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"/>
      <c r="P10" s="2"/>
      <c r="Q10" s="2"/>
      <c r="R10" s="2"/>
      <c r="S10" s="2"/>
      <c r="T10" s="2"/>
    </row>
    <row r="11" spans="1:20" ht="12.75">
      <c r="A11" s="2" t="s">
        <v>1512</v>
      </c>
      <c r="B11" s="13">
        <v>59561991</v>
      </c>
      <c r="C11" s="13">
        <v>55513716</v>
      </c>
      <c r="D11" s="13">
        <v>0</v>
      </c>
      <c r="E11" s="13">
        <v>0</v>
      </c>
      <c r="F11" s="173" t="s">
        <v>1508</v>
      </c>
      <c r="G11" s="173" t="s">
        <v>1508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"/>
      <c r="P11" s="2"/>
      <c r="Q11" s="2"/>
      <c r="R11" s="2"/>
      <c r="S11" s="2"/>
      <c r="T11" s="2"/>
    </row>
    <row r="12" spans="1:20" ht="12.75">
      <c r="A12" s="2" t="s">
        <v>1513</v>
      </c>
      <c r="B12" s="13">
        <v>7151911</v>
      </c>
      <c r="C12" s="13">
        <v>7018738</v>
      </c>
      <c r="D12" s="13">
        <v>0</v>
      </c>
      <c r="E12" s="13">
        <v>0</v>
      </c>
      <c r="F12" s="173" t="s">
        <v>1508</v>
      </c>
      <c r="G12" s="173" t="s">
        <v>1508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"/>
      <c r="P12" s="2"/>
      <c r="Q12" s="2"/>
      <c r="R12" s="2"/>
      <c r="S12" s="2"/>
      <c r="T12" s="2"/>
    </row>
    <row r="13" spans="1:20" ht="12.75">
      <c r="A13" s="2" t="s">
        <v>1519</v>
      </c>
      <c r="B13" s="13">
        <v>161115688</v>
      </c>
      <c r="C13" s="13">
        <v>157270571</v>
      </c>
      <c r="D13" s="13">
        <v>0</v>
      </c>
      <c r="E13" s="13">
        <v>0</v>
      </c>
      <c r="F13" s="13"/>
      <c r="G13" s="13"/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2"/>
      <c r="P13" s="2"/>
      <c r="Q13" s="2"/>
      <c r="R13" s="2"/>
      <c r="S13" s="2"/>
      <c r="T13" s="2"/>
    </row>
    <row r="14" spans="1:20" ht="12.75">
      <c r="A14" s="2" t="s">
        <v>1520</v>
      </c>
      <c r="B14" s="13">
        <v>36585201</v>
      </c>
      <c r="C14" s="13">
        <v>35937429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"/>
      <c r="P14" s="2"/>
      <c r="Q14" s="2"/>
      <c r="R14" s="2"/>
      <c r="S14" s="2"/>
      <c r="T14" s="2"/>
    </row>
    <row r="15" spans="1:20" ht="12.75">
      <c r="A15" t="s">
        <v>1517</v>
      </c>
      <c r="B15" s="13">
        <v>0</v>
      </c>
      <c r="C15" s="13">
        <v>0</v>
      </c>
      <c r="D15" s="13">
        <v>0</v>
      </c>
      <c r="E15" s="13">
        <v>0</v>
      </c>
      <c r="F15" s="173" t="s">
        <v>1508</v>
      </c>
      <c r="G15" s="173" t="s">
        <v>1508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13"/>
      <c r="C16" s="2"/>
      <c r="D16" s="13"/>
      <c r="E16" s="13"/>
      <c r="F16" s="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 t="s">
        <v>1518</v>
      </c>
      <c r="B17" s="2">
        <f aca="true" t="shared" si="0" ref="B17:N17">SUM(B7:B15)</f>
        <v>683809765</v>
      </c>
      <c r="C17" s="2">
        <f t="shared" si="0"/>
        <v>645312908</v>
      </c>
      <c r="D17" s="2">
        <f t="shared" si="0"/>
        <v>16197562</v>
      </c>
      <c r="E17" s="2">
        <f t="shared" si="0"/>
        <v>189542198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/>
      <c r="P17" s="2"/>
      <c r="Q17" s="2"/>
      <c r="R17" s="2"/>
      <c r="S17" s="2"/>
      <c r="T17" s="2"/>
    </row>
    <row r="18" spans="1:20" ht="12.75">
      <c r="A18" s="2"/>
      <c r="B18" s="173" t="s">
        <v>1502</v>
      </c>
      <c r="C18" s="173" t="s">
        <v>1502</v>
      </c>
      <c r="D18" s="173" t="s">
        <v>1502</v>
      </c>
      <c r="E18" s="173" t="s">
        <v>1502</v>
      </c>
      <c r="F18" s="173" t="s">
        <v>1502</v>
      </c>
      <c r="G18" s="173" t="s">
        <v>1502</v>
      </c>
      <c r="H18" s="173" t="s">
        <v>1502</v>
      </c>
      <c r="I18" s="173" t="s">
        <v>1502</v>
      </c>
      <c r="J18" s="173" t="s">
        <v>1502</v>
      </c>
      <c r="K18" s="173" t="s">
        <v>1502</v>
      </c>
      <c r="L18" s="173" t="s">
        <v>1502</v>
      </c>
      <c r="M18" s="173" t="s">
        <v>1502</v>
      </c>
      <c r="N18" s="173" t="s">
        <v>1502</v>
      </c>
      <c r="O18" s="2"/>
      <c r="P18" s="2"/>
      <c r="Q18" s="2"/>
      <c r="R18" s="2"/>
      <c r="S18" s="2"/>
      <c r="T18" s="2"/>
    </row>
    <row r="19" spans="1:7" ht="12.75">
      <c r="A19" s="2"/>
      <c r="B19" s="2"/>
      <c r="D19" s="2"/>
      <c r="E19" s="2"/>
      <c r="G19" s="2"/>
    </row>
    <row r="20" spans="1:14" ht="12.75">
      <c r="A20" s="13" t="s">
        <v>239</v>
      </c>
      <c r="B20" s="70"/>
      <c r="C20" s="70"/>
      <c r="D20" s="179" t="s">
        <v>1523</v>
      </c>
      <c r="E20" s="71"/>
      <c r="F20" s="70"/>
      <c r="G20" s="71"/>
      <c r="H20" s="72"/>
      <c r="I20" s="73"/>
      <c r="J20" s="73"/>
      <c r="K20" s="73"/>
      <c r="L20" s="73"/>
      <c r="M20" s="73"/>
      <c r="N20" s="73"/>
    </row>
    <row r="21" spans="1:14" ht="12.75">
      <c r="A21" s="2"/>
      <c r="B21" s="70"/>
      <c r="C21" s="70"/>
      <c r="D21" s="71" t="s">
        <v>1524</v>
      </c>
      <c r="E21" s="71"/>
      <c r="F21" s="70"/>
      <c r="G21" s="71"/>
      <c r="H21" s="74" t="s">
        <v>1446</v>
      </c>
      <c r="I21" s="74"/>
      <c r="J21" s="74"/>
      <c r="K21" s="74"/>
      <c r="L21" s="74"/>
      <c r="M21" s="74"/>
      <c r="N21" s="74"/>
    </row>
    <row r="22" spans="2:14" ht="12.75">
      <c r="B22" s="180" t="s">
        <v>1502</v>
      </c>
      <c r="C22" s="180" t="s">
        <v>1502</v>
      </c>
      <c r="D22" s="180" t="s">
        <v>1502</v>
      </c>
      <c r="E22" s="180" t="s">
        <v>1502</v>
      </c>
      <c r="F22" s="180" t="s">
        <v>1502</v>
      </c>
      <c r="G22" s="180" t="s">
        <v>1502</v>
      </c>
      <c r="H22" s="73" t="s">
        <v>1449</v>
      </c>
      <c r="I22" s="72"/>
      <c r="J22" s="73"/>
      <c r="K22" s="72"/>
      <c r="L22" s="73"/>
      <c r="M22" s="73"/>
      <c r="N22" s="72"/>
    </row>
    <row r="23" spans="1:14" ht="12.75">
      <c r="A23" s="2"/>
      <c r="B23" s="179" t="s">
        <v>1525</v>
      </c>
      <c r="C23" s="179" t="s">
        <v>1525</v>
      </c>
      <c r="D23" s="70"/>
      <c r="E23" s="70"/>
      <c r="F23" s="70"/>
      <c r="G23" s="70"/>
      <c r="H23" s="73" t="s">
        <v>1452</v>
      </c>
      <c r="I23" s="73" t="s">
        <v>1453</v>
      </c>
      <c r="J23" s="73" t="s">
        <v>1454</v>
      </c>
      <c r="K23" s="73" t="s">
        <v>1454</v>
      </c>
      <c r="L23" s="73" t="s">
        <v>1455</v>
      </c>
      <c r="M23" s="72"/>
      <c r="N23" s="72"/>
    </row>
    <row r="24" spans="1:14" ht="12.75">
      <c r="A24" s="2"/>
      <c r="B24" s="179" t="s">
        <v>1526</v>
      </c>
      <c r="C24" s="179" t="s">
        <v>1526</v>
      </c>
      <c r="D24" s="179" t="s">
        <v>1527</v>
      </c>
      <c r="E24" s="179" t="s">
        <v>1467</v>
      </c>
      <c r="F24" s="179" t="s">
        <v>1528</v>
      </c>
      <c r="G24" s="179" t="s">
        <v>1528</v>
      </c>
      <c r="H24" s="73" t="s">
        <v>1459</v>
      </c>
      <c r="I24" s="73" t="s">
        <v>1460</v>
      </c>
      <c r="J24" s="73" t="s">
        <v>1461</v>
      </c>
      <c r="K24" s="73" t="s">
        <v>1462</v>
      </c>
      <c r="L24" s="73" t="s">
        <v>1462</v>
      </c>
      <c r="M24" s="73" t="s">
        <v>1463</v>
      </c>
      <c r="N24" s="72"/>
    </row>
    <row r="25" spans="2:14" ht="12.75">
      <c r="B25" s="181" t="s">
        <v>1529</v>
      </c>
      <c r="C25" s="181" t="s">
        <v>1447</v>
      </c>
      <c r="D25" s="75"/>
      <c r="E25" s="75"/>
      <c r="F25" s="181" t="s">
        <v>1464</v>
      </c>
      <c r="G25" s="181" t="s">
        <v>1447</v>
      </c>
      <c r="H25" s="74" t="s">
        <v>1468</v>
      </c>
      <c r="I25" s="74" t="s">
        <v>1458</v>
      </c>
      <c r="J25" s="74" t="s">
        <v>1469</v>
      </c>
      <c r="K25" s="74" t="s">
        <v>1470</v>
      </c>
      <c r="L25" s="74" t="s">
        <v>1470</v>
      </c>
      <c r="M25" s="74" t="s">
        <v>1468</v>
      </c>
      <c r="N25" s="74" t="s">
        <v>1467</v>
      </c>
    </row>
    <row r="26" spans="1:14" ht="12.75">
      <c r="A26" s="2" t="s">
        <v>1507</v>
      </c>
      <c r="B26" s="13">
        <v>75253899</v>
      </c>
      <c r="C26" s="13">
        <v>76175554</v>
      </c>
      <c r="D26" s="13">
        <v>0</v>
      </c>
      <c r="E26" s="13">
        <v>0</v>
      </c>
      <c r="F26" s="173" t="s">
        <v>1508</v>
      </c>
      <c r="G26" s="173" t="s">
        <v>1508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ht="12.75">
      <c r="A27" s="2" t="s">
        <v>1509</v>
      </c>
      <c r="B27" s="13">
        <v>0</v>
      </c>
      <c r="C27" s="13">
        <v>0</v>
      </c>
      <c r="D27" s="13">
        <v>0</v>
      </c>
      <c r="E27" s="13">
        <v>0</v>
      </c>
      <c r="F27" s="173" t="s">
        <v>1508</v>
      </c>
      <c r="G27" s="173" t="s">
        <v>1508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2.75">
      <c r="A28" s="2" t="s">
        <v>1510</v>
      </c>
      <c r="B28" s="13">
        <v>102434321</v>
      </c>
      <c r="C28" s="13">
        <v>110281825</v>
      </c>
      <c r="D28" s="13">
        <v>0</v>
      </c>
      <c r="E28" s="13">
        <v>0</v>
      </c>
      <c r="F28" s="173" t="s">
        <v>1508</v>
      </c>
      <c r="G28" s="173" t="s">
        <v>1508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2.75">
      <c r="A29" s="2" t="s">
        <v>1511</v>
      </c>
      <c r="B29" s="13">
        <v>0</v>
      </c>
      <c r="C29" s="13">
        <v>0</v>
      </c>
      <c r="D29" s="13">
        <v>0</v>
      </c>
      <c r="E29" s="13">
        <v>0</v>
      </c>
      <c r="F29" s="173" t="s">
        <v>1508</v>
      </c>
      <c r="G29" s="173" t="s">
        <v>1508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2.75">
      <c r="A30" s="2" t="s">
        <v>1512</v>
      </c>
      <c r="B30" s="13">
        <v>27767938</v>
      </c>
      <c r="C30" s="13">
        <v>28716799</v>
      </c>
      <c r="D30" s="13">
        <v>0</v>
      </c>
      <c r="E30" s="13">
        <v>0</v>
      </c>
      <c r="F30" s="173" t="s">
        <v>1508</v>
      </c>
      <c r="G30" s="173" t="s">
        <v>1508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2.75">
      <c r="A31" s="2" t="s">
        <v>1513</v>
      </c>
      <c r="B31" s="13">
        <v>33301934</v>
      </c>
      <c r="C31" s="13">
        <v>34176415</v>
      </c>
      <c r="D31" s="13">
        <v>0</v>
      </c>
      <c r="E31" s="13">
        <v>0</v>
      </c>
      <c r="F31" s="173" t="s">
        <v>1508</v>
      </c>
      <c r="G31" s="173" t="s">
        <v>1508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2.75">
      <c r="A32" s="2" t="s">
        <v>1519</v>
      </c>
      <c r="B32" s="13">
        <v>69642424</v>
      </c>
      <c r="C32" s="13">
        <v>75377556</v>
      </c>
      <c r="D32" s="13">
        <v>0</v>
      </c>
      <c r="E32" s="13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7" ht="12.75">
      <c r="A33" s="2" t="s">
        <v>1520</v>
      </c>
      <c r="B33" s="13"/>
      <c r="C33" s="13"/>
      <c r="D33" s="13"/>
      <c r="E33" s="13"/>
      <c r="F33" s="12"/>
      <c r="G33" s="12"/>
    </row>
    <row r="34" spans="1:14" ht="12.75">
      <c r="A34" t="s">
        <v>1517</v>
      </c>
      <c r="B34" s="13">
        <v>57500520</v>
      </c>
      <c r="C34" s="13">
        <v>60132891</v>
      </c>
      <c r="D34" s="13">
        <v>0</v>
      </c>
      <c r="E34" s="13">
        <v>59274911</v>
      </c>
      <c r="F34" s="173" t="s">
        <v>1508</v>
      </c>
      <c r="G34" s="173" t="s">
        <v>1508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7" ht="12.75">
      <c r="A35" s="2"/>
      <c r="B35" s="2"/>
      <c r="D35" s="2"/>
      <c r="E35" s="2"/>
      <c r="G35" s="2"/>
    </row>
    <row r="36" spans="1:14" ht="12.75">
      <c r="A36" s="2" t="s">
        <v>1518</v>
      </c>
      <c r="B36" s="2">
        <f aca="true" t="shared" si="1" ref="B36:N36">SUM(B26:B34)</f>
        <v>365901036</v>
      </c>
      <c r="C36" s="2">
        <f t="shared" si="1"/>
        <v>384861040</v>
      </c>
      <c r="D36" s="2">
        <f t="shared" si="1"/>
        <v>0</v>
      </c>
      <c r="E36" s="2">
        <f t="shared" si="1"/>
        <v>59274911</v>
      </c>
      <c r="F36" s="2">
        <f t="shared" si="1"/>
        <v>0</v>
      </c>
      <c r="G36" s="2">
        <f t="shared" si="1"/>
        <v>0</v>
      </c>
      <c r="H36" s="2">
        <f t="shared" si="1"/>
        <v>0</v>
      </c>
      <c r="I36" s="2">
        <f t="shared" si="1"/>
        <v>0</v>
      </c>
      <c r="J36" s="2">
        <f t="shared" si="1"/>
        <v>0</v>
      </c>
      <c r="K36" s="2">
        <f t="shared" si="1"/>
        <v>0</v>
      </c>
      <c r="L36" s="2">
        <f t="shared" si="1"/>
        <v>0</v>
      </c>
      <c r="M36" s="2">
        <f t="shared" si="1"/>
        <v>0</v>
      </c>
      <c r="N36" s="2">
        <f t="shared" si="1"/>
        <v>0</v>
      </c>
    </row>
    <row r="37" spans="2:7" ht="12.75">
      <c r="B37" s="173" t="s">
        <v>1502</v>
      </c>
      <c r="C37" s="173" t="s">
        <v>1502</v>
      </c>
      <c r="D37" s="173" t="s">
        <v>1502</v>
      </c>
      <c r="E37" s="173" t="s">
        <v>1502</v>
      </c>
      <c r="F37" s="173" t="s">
        <v>1502</v>
      </c>
      <c r="G37" s="173" t="s">
        <v>1502</v>
      </c>
    </row>
    <row r="38" spans="4:14" ht="12.75">
      <c r="D38" s="2"/>
      <c r="E38" s="2"/>
      <c r="G38" s="2"/>
      <c r="H38" s="76"/>
      <c r="I38" s="77"/>
      <c r="J38" s="77"/>
      <c r="K38" s="77"/>
      <c r="L38" s="77"/>
      <c r="M38" s="77"/>
      <c r="N38" s="78"/>
    </row>
    <row r="39" spans="1:14" ht="12.75">
      <c r="A39" s="13" t="s">
        <v>307</v>
      </c>
      <c r="B39" s="70"/>
      <c r="C39" s="70"/>
      <c r="D39" s="179" t="s">
        <v>1523</v>
      </c>
      <c r="E39" s="71"/>
      <c r="F39" s="70"/>
      <c r="G39" s="71"/>
      <c r="H39" s="72"/>
      <c r="I39" s="73"/>
      <c r="J39" s="73"/>
      <c r="K39" s="73"/>
      <c r="L39" s="73"/>
      <c r="M39" s="73"/>
      <c r="N39" s="73"/>
    </row>
    <row r="40" spans="1:14" ht="12.75">
      <c r="A40" s="2"/>
      <c r="B40" s="70"/>
      <c r="C40" s="70"/>
      <c r="D40" s="71" t="s">
        <v>1524</v>
      </c>
      <c r="E40" s="71"/>
      <c r="F40" s="70"/>
      <c r="G40" s="71"/>
      <c r="H40" s="74" t="s">
        <v>1446</v>
      </c>
      <c r="I40" s="74"/>
      <c r="J40" s="74"/>
      <c r="K40" s="74"/>
      <c r="L40" s="74"/>
      <c r="M40" s="74"/>
      <c r="N40" s="74"/>
    </row>
    <row r="41" spans="1:14" ht="12.75">
      <c r="A41" s="2"/>
      <c r="B41" s="180" t="s">
        <v>1502</v>
      </c>
      <c r="C41" s="180" t="s">
        <v>1502</v>
      </c>
      <c r="D41" s="180" t="s">
        <v>1502</v>
      </c>
      <c r="E41" s="180" t="s">
        <v>1502</v>
      </c>
      <c r="F41" s="180" t="s">
        <v>1502</v>
      </c>
      <c r="G41" s="180" t="s">
        <v>1502</v>
      </c>
      <c r="H41" s="73" t="s">
        <v>1449</v>
      </c>
      <c r="I41" s="72"/>
      <c r="J41" s="73"/>
      <c r="K41" s="72"/>
      <c r="L41" s="73"/>
      <c r="M41" s="73"/>
      <c r="N41" s="72"/>
    </row>
    <row r="42" spans="1:14" ht="12.75">
      <c r="A42" s="2"/>
      <c r="B42" s="179" t="s">
        <v>1525</v>
      </c>
      <c r="C42" s="179" t="s">
        <v>1525</v>
      </c>
      <c r="D42" s="70"/>
      <c r="E42" s="70"/>
      <c r="F42" s="70"/>
      <c r="G42" s="70"/>
      <c r="H42" s="73" t="s">
        <v>1452</v>
      </c>
      <c r="I42" s="73" t="s">
        <v>1453</v>
      </c>
      <c r="J42" s="73" t="s">
        <v>1454</v>
      </c>
      <c r="K42" s="73" t="s">
        <v>1454</v>
      </c>
      <c r="L42" s="73" t="s">
        <v>1455</v>
      </c>
      <c r="M42" s="72"/>
      <c r="N42" s="72"/>
    </row>
    <row r="43" spans="1:14" ht="12.75">
      <c r="A43" s="2"/>
      <c r="B43" s="179" t="s">
        <v>1526</v>
      </c>
      <c r="C43" s="179" t="s">
        <v>1526</v>
      </c>
      <c r="D43" s="179" t="s">
        <v>1527</v>
      </c>
      <c r="E43" s="179" t="s">
        <v>1467</v>
      </c>
      <c r="F43" s="179" t="s">
        <v>1528</v>
      </c>
      <c r="G43" s="179" t="s">
        <v>1528</v>
      </c>
      <c r="H43" s="73" t="s">
        <v>1459</v>
      </c>
      <c r="I43" s="73" t="s">
        <v>1460</v>
      </c>
      <c r="J43" s="73" t="s">
        <v>1461</v>
      </c>
      <c r="K43" s="73" t="s">
        <v>1462</v>
      </c>
      <c r="L43" s="73" t="s">
        <v>1462</v>
      </c>
      <c r="M43" s="73" t="s">
        <v>1463</v>
      </c>
      <c r="N43" s="72"/>
    </row>
    <row r="44" spans="2:14" ht="12.75">
      <c r="B44" s="181" t="s">
        <v>1529</v>
      </c>
      <c r="C44" s="181" t="s">
        <v>1447</v>
      </c>
      <c r="D44" s="75"/>
      <c r="E44" s="75"/>
      <c r="F44" s="181" t="s">
        <v>1464</v>
      </c>
      <c r="G44" s="181" t="s">
        <v>1447</v>
      </c>
      <c r="H44" s="74" t="s">
        <v>1468</v>
      </c>
      <c r="I44" s="74" t="s">
        <v>1458</v>
      </c>
      <c r="J44" s="74" t="s">
        <v>1469</v>
      </c>
      <c r="K44" s="74" t="s">
        <v>1470</v>
      </c>
      <c r="L44" s="74" t="s">
        <v>1470</v>
      </c>
      <c r="M44" s="74" t="s">
        <v>1468</v>
      </c>
      <c r="N44" s="74" t="s">
        <v>1467</v>
      </c>
    </row>
    <row r="45" spans="1:14" ht="12.75">
      <c r="A45" s="2" t="s">
        <v>1507</v>
      </c>
      <c r="B45" s="13">
        <v>527555277</v>
      </c>
      <c r="C45" s="13">
        <v>549532591</v>
      </c>
      <c r="D45" s="12">
        <v>0</v>
      </c>
      <c r="E45" s="13">
        <v>144851338</v>
      </c>
      <c r="F45" s="173" t="s">
        <v>1508</v>
      </c>
      <c r="G45" s="173" t="s">
        <v>1508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ht="12.75">
      <c r="A46" s="2" t="s">
        <v>1509</v>
      </c>
      <c r="B46" s="13">
        <v>163810621</v>
      </c>
      <c r="C46" s="13">
        <v>181814673</v>
      </c>
      <c r="D46" s="13">
        <v>0</v>
      </c>
      <c r="E46" s="13">
        <v>0</v>
      </c>
      <c r="F46" s="173" t="s">
        <v>1508</v>
      </c>
      <c r="G46" s="173" t="s">
        <v>1508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12.75">
      <c r="A47" s="2" t="s">
        <v>1510</v>
      </c>
      <c r="B47" s="13">
        <v>140543979</v>
      </c>
      <c r="C47" s="13">
        <v>150225450</v>
      </c>
      <c r="D47" s="13">
        <v>0</v>
      </c>
      <c r="E47" s="13">
        <v>0</v>
      </c>
      <c r="F47" s="173" t="s">
        <v>1508</v>
      </c>
      <c r="G47" s="173" t="s">
        <v>1508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ht="12.75">
      <c r="A48" s="2" t="s">
        <v>1511</v>
      </c>
      <c r="B48" s="13">
        <v>93671236</v>
      </c>
      <c r="C48" s="13">
        <v>99578973</v>
      </c>
      <c r="D48" s="13">
        <v>0</v>
      </c>
      <c r="E48" s="13">
        <v>0</v>
      </c>
      <c r="F48" s="173" t="s">
        <v>1508</v>
      </c>
      <c r="G48" s="173" t="s">
        <v>1508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1:14" ht="12.75">
      <c r="A49" s="2" t="s">
        <v>1512</v>
      </c>
      <c r="B49" s="13">
        <v>0</v>
      </c>
      <c r="C49" s="13">
        <v>0</v>
      </c>
      <c r="D49" s="13">
        <v>0</v>
      </c>
      <c r="E49" s="13">
        <v>0</v>
      </c>
      <c r="F49" s="173" t="s">
        <v>1508</v>
      </c>
      <c r="G49" s="173" t="s">
        <v>1508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ht="12.75">
      <c r="A50" s="2" t="s">
        <v>1513</v>
      </c>
      <c r="B50" s="13">
        <v>0</v>
      </c>
      <c r="C50" s="12">
        <v>0</v>
      </c>
      <c r="D50" s="13">
        <v>0</v>
      </c>
      <c r="E50" s="13">
        <v>0</v>
      </c>
      <c r="F50" s="173" t="s">
        <v>1508</v>
      </c>
      <c r="G50" s="173" t="s">
        <v>1508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12.75">
      <c r="A51" s="2" t="s">
        <v>1519</v>
      </c>
      <c r="B51" s="13">
        <v>636312061.100006</v>
      </c>
      <c r="C51" s="13">
        <v>659218415.489943</v>
      </c>
      <c r="D51" s="13">
        <v>0</v>
      </c>
      <c r="E51" s="13">
        <v>0</v>
      </c>
      <c r="F51" s="13">
        <v>0</v>
      </c>
      <c r="G51" s="13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12.75">
      <c r="A52" s="2" t="s">
        <v>1520</v>
      </c>
      <c r="B52" s="13">
        <v>0</v>
      </c>
      <c r="C52" s="13">
        <v>0</v>
      </c>
      <c r="D52" s="13">
        <v>0</v>
      </c>
      <c r="E52" s="13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ht="12.75">
      <c r="A53" t="s">
        <v>1517</v>
      </c>
      <c r="B53" s="13">
        <v>0</v>
      </c>
      <c r="C53" s="13">
        <v>0</v>
      </c>
      <c r="D53" s="13">
        <v>0</v>
      </c>
      <c r="E53" s="13">
        <v>0</v>
      </c>
      <c r="F53" s="173" t="s">
        <v>1508</v>
      </c>
      <c r="G53" s="173" t="s">
        <v>1508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7" ht="12.75">
      <c r="A54" s="2"/>
      <c r="B54" s="2"/>
      <c r="D54" s="2"/>
      <c r="E54" s="2"/>
      <c r="G54" s="2"/>
    </row>
    <row r="55" spans="1:14" ht="12.75">
      <c r="A55" s="2" t="s">
        <v>1518</v>
      </c>
      <c r="B55" s="2">
        <f aca="true" t="shared" si="2" ref="B55:N55">SUM(B45:B53)</f>
        <v>1561893174.100006</v>
      </c>
      <c r="C55" s="2">
        <f t="shared" si="2"/>
        <v>1640370102.489943</v>
      </c>
      <c r="D55" s="2">
        <f t="shared" si="2"/>
        <v>0</v>
      </c>
      <c r="E55" s="2">
        <f t="shared" si="2"/>
        <v>144851338</v>
      </c>
      <c r="F55" s="2">
        <f t="shared" si="2"/>
        <v>0</v>
      </c>
      <c r="G55" s="2">
        <f t="shared" si="2"/>
        <v>0</v>
      </c>
      <c r="H55" s="2">
        <f t="shared" si="2"/>
        <v>0</v>
      </c>
      <c r="I55" s="2">
        <f t="shared" si="2"/>
        <v>0</v>
      </c>
      <c r="J55" s="2">
        <f t="shared" si="2"/>
        <v>0</v>
      </c>
      <c r="K55" s="2">
        <f t="shared" si="2"/>
        <v>0</v>
      </c>
      <c r="L55" s="2">
        <f t="shared" si="2"/>
        <v>0</v>
      </c>
      <c r="M55" s="2">
        <f t="shared" si="2"/>
        <v>0</v>
      </c>
      <c r="N55" s="2">
        <f t="shared" si="2"/>
        <v>0</v>
      </c>
    </row>
    <row r="56" spans="1:7" ht="12.75">
      <c r="A56" s="2"/>
      <c r="B56" s="173" t="s">
        <v>1502</v>
      </c>
      <c r="C56" s="173" t="s">
        <v>1502</v>
      </c>
      <c r="D56" s="173" t="s">
        <v>1502</v>
      </c>
      <c r="E56" s="173" t="s">
        <v>1502</v>
      </c>
      <c r="F56" s="173" t="s">
        <v>1502</v>
      </c>
      <c r="G56" s="173" t="s">
        <v>1502</v>
      </c>
    </row>
    <row r="57" spans="1:7" ht="12.75">
      <c r="A57" s="2"/>
      <c r="B57" s="2"/>
      <c r="D57" s="2"/>
      <c r="E57" s="2"/>
      <c r="G57" s="2"/>
    </row>
    <row r="58" spans="1:14" ht="12.75">
      <c r="A58" s="13" t="s">
        <v>382</v>
      </c>
      <c r="B58" s="70"/>
      <c r="C58" s="70"/>
      <c r="D58" s="179" t="s">
        <v>1523</v>
      </c>
      <c r="E58" s="71"/>
      <c r="F58" s="70"/>
      <c r="G58" s="71"/>
      <c r="H58" s="72"/>
      <c r="I58" s="73"/>
      <c r="J58" s="73"/>
      <c r="K58" s="73"/>
      <c r="L58" s="73"/>
      <c r="M58" s="73"/>
      <c r="N58" s="73"/>
    </row>
    <row r="59" spans="1:14" ht="12.75">
      <c r="A59" s="2"/>
      <c r="B59" s="70"/>
      <c r="C59" s="70"/>
      <c r="D59" s="71" t="s">
        <v>1524</v>
      </c>
      <c r="E59" s="71"/>
      <c r="F59" s="70"/>
      <c r="G59" s="71"/>
      <c r="H59" s="74" t="s">
        <v>1446</v>
      </c>
      <c r="I59" s="74"/>
      <c r="J59" s="74"/>
      <c r="K59" s="74"/>
      <c r="L59" s="74"/>
      <c r="M59" s="74"/>
      <c r="N59" s="74"/>
    </row>
    <row r="60" spans="1:14" ht="12.75">
      <c r="A60" s="2"/>
      <c r="B60" s="180" t="s">
        <v>1502</v>
      </c>
      <c r="C60" s="180" t="s">
        <v>1502</v>
      </c>
      <c r="D60" s="180" t="s">
        <v>1502</v>
      </c>
      <c r="E60" s="180" t="s">
        <v>1502</v>
      </c>
      <c r="F60" s="180" t="s">
        <v>1502</v>
      </c>
      <c r="G60" s="180" t="s">
        <v>1502</v>
      </c>
      <c r="H60" s="73" t="s">
        <v>1449</v>
      </c>
      <c r="I60" s="72"/>
      <c r="J60" s="73"/>
      <c r="K60" s="72"/>
      <c r="L60" s="73"/>
      <c r="M60" s="73"/>
      <c r="N60" s="72"/>
    </row>
    <row r="61" spans="1:14" ht="12.75">
      <c r="A61" s="2"/>
      <c r="B61" s="179" t="s">
        <v>1525</v>
      </c>
      <c r="C61" s="179" t="s">
        <v>1525</v>
      </c>
      <c r="D61" s="70"/>
      <c r="E61" s="70"/>
      <c r="F61" s="70"/>
      <c r="G61" s="70"/>
      <c r="H61" s="73" t="s">
        <v>1452</v>
      </c>
      <c r="I61" s="73" t="s">
        <v>1453</v>
      </c>
      <c r="J61" s="73" t="s">
        <v>1454</v>
      </c>
      <c r="K61" s="73" t="s">
        <v>1454</v>
      </c>
      <c r="L61" s="73" t="s">
        <v>1455</v>
      </c>
      <c r="M61" s="72"/>
      <c r="N61" s="72"/>
    </row>
    <row r="62" spans="1:14" ht="12.75">
      <c r="A62" s="2"/>
      <c r="B62" s="179" t="s">
        <v>1526</v>
      </c>
      <c r="C62" s="179" t="s">
        <v>1526</v>
      </c>
      <c r="D62" s="179" t="s">
        <v>1527</v>
      </c>
      <c r="E62" s="179" t="s">
        <v>1467</v>
      </c>
      <c r="F62" s="179" t="s">
        <v>1528</v>
      </c>
      <c r="G62" s="179" t="s">
        <v>1528</v>
      </c>
      <c r="H62" s="73" t="s">
        <v>1459</v>
      </c>
      <c r="I62" s="73" t="s">
        <v>1460</v>
      </c>
      <c r="J62" s="73" t="s">
        <v>1461</v>
      </c>
      <c r="K62" s="73" t="s">
        <v>1462</v>
      </c>
      <c r="L62" s="73" t="s">
        <v>1462</v>
      </c>
      <c r="M62" s="73" t="s">
        <v>1463</v>
      </c>
      <c r="N62" s="72"/>
    </row>
    <row r="63" spans="2:14" ht="12.75">
      <c r="B63" s="181" t="s">
        <v>1529</v>
      </c>
      <c r="C63" s="181" t="s">
        <v>1447</v>
      </c>
      <c r="D63" s="75"/>
      <c r="E63" s="75"/>
      <c r="F63" s="181" t="s">
        <v>1464</v>
      </c>
      <c r="G63" s="181" t="s">
        <v>1447</v>
      </c>
      <c r="H63" s="74" t="s">
        <v>1468</v>
      </c>
      <c r="I63" s="74" t="s">
        <v>1458</v>
      </c>
      <c r="J63" s="74" t="s">
        <v>1469</v>
      </c>
      <c r="K63" s="74" t="s">
        <v>1470</v>
      </c>
      <c r="L63" s="74" t="s">
        <v>1470</v>
      </c>
      <c r="M63" s="74" t="s">
        <v>1468</v>
      </c>
      <c r="N63" s="74" t="s">
        <v>1467</v>
      </c>
    </row>
    <row r="64" spans="1:14" ht="12.75">
      <c r="A64" s="2" t="s">
        <v>1507</v>
      </c>
      <c r="B64" s="13">
        <v>229080886</v>
      </c>
      <c r="C64" s="13">
        <v>225273086</v>
      </c>
      <c r="D64" s="13">
        <v>10850032</v>
      </c>
      <c r="E64" s="13">
        <v>0</v>
      </c>
      <c r="F64" s="173" t="s">
        <v>1508</v>
      </c>
      <c r="G64" s="173" t="s">
        <v>1508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ht="12.75">
      <c r="A65" s="2" t="s">
        <v>1509</v>
      </c>
      <c r="B65" s="13">
        <v>227538028</v>
      </c>
      <c r="C65" s="13">
        <v>241706502</v>
      </c>
      <c r="D65" s="13">
        <v>0</v>
      </c>
      <c r="E65" s="13">
        <v>0</v>
      </c>
      <c r="F65" s="173" t="s">
        <v>1508</v>
      </c>
      <c r="G65" s="173" t="s">
        <v>1508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ht="12.75">
      <c r="A66" s="2" t="s">
        <v>1510</v>
      </c>
      <c r="B66" s="13">
        <v>53868577</v>
      </c>
      <c r="C66" s="13">
        <v>54872117</v>
      </c>
      <c r="D66" s="13">
        <v>0</v>
      </c>
      <c r="E66" s="13">
        <v>0</v>
      </c>
      <c r="F66" s="173" t="s">
        <v>1508</v>
      </c>
      <c r="G66" s="173" t="s">
        <v>1508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ht="12.75">
      <c r="A67" s="2" t="s">
        <v>1511</v>
      </c>
      <c r="B67" s="13">
        <v>72463803</v>
      </c>
      <c r="C67" s="13">
        <v>80604948</v>
      </c>
      <c r="D67" s="13">
        <v>0</v>
      </c>
      <c r="E67" s="13">
        <v>0</v>
      </c>
      <c r="F67" s="173" t="s">
        <v>1508</v>
      </c>
      <c r="G67" s="173" t="s">
        <v>1508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ht="12.75">
      <c r="A68" s="2" t="s">
        <v>1512</v>
      </c>
      <c r="B68" s="13">
        <v>113322279</v>
      </c>
      <c r="C68" s="13">
        <v>121893292</v>
      </c>
      <c r="D68" s="13">
        <v>0</v>
      </c>
      <c r="E68" s="13">
        <v>0</v>
      </c>
      <c r="F68" s="173" t="s">
        <v>1508</v>
      </c>
      <c r="G68" s="173" t="s">
        <v>1508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ht="12.75">
      <c r="A69" s="2" t="s">
        <v>1513</v>
      </c>
      <c r="B69" s="13">
        <v>41236950</v>
      </c>
      <c r="C69" s="13">
        <v>45479864</v>
      </c>
      <c r="D69" s="13">
        <v>0</v>
      </c>
      <c r="E69" s="13">
        <v>0</v>
      </c>
      <c r="F69" s="173" t="s">
        <v>1508</v>
      </c>
      <c r="G69" s="173" t="s">
        <v>1508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ht="12.75">
      <c r="A70" s="2" t="s">
        <v>1519</v>
      </c>
      <c r="B70" s="13">
        <v>118905233</v>
      </c>
      <c r="C70" s="13">
        <v>131005001</v>
      </c>
      <c r="D70" s="13">
        <v>0</v>
      </c>
      <c r="E70" s="13">
        <v>0</v>
      </c>
      <c r="F70" s="12">
        <v>0</v>
      </c>
      <c r="G70" s="12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ht="12.75">
      <c r="A71" s="2" t="s">
        <v>1520</v>
      </c>
      <c r="B71" s="13">
        <v>122769624</v>
      </c>
      <c r="C71" s="13">
        <v>141618697</v>
      </c>
      <c r="D71" s="12">
        <v>0</v>
      </c>
      <c r="E71" s="12">
        <v>0</v>
      </c>
      <c r="F71" s="12">
        <v>0</v>
      </c>
      <c r="G71" s="12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ht="12.75">
      <c r="A72" t="s">
        <v>1517</v>
      </c>
      <c r="B72" s="13">
        <v>92143450</v>
      </c>
      <c r="C72" s="13">
        <v>16456813</v>
      </c>
      <c r="D72" s="12">
        <v>0</v>
      </c>
      <c r="E72" s="13">
        <v>85340402</v>
      </c>
      <c r="F72" s="173" t="s">
        <v>1508</v>
      </c>
      <c r="G72" s="173" t="s">
        <v>1508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7" ht="12.75">
      <c r="A73" s="2"/>
      <c r="B73" s="2"/>
      <c r="D73" s="2"/>
      <c r="E73" s="2"/>
      <c r="G73" s="2"/>
    </row>
    <row r="74" spans="1:14" ht="12.75">
      <c r="A74" s="2" t="s">
        <v>1518</v>
      </c>
      <c r="B74" s="2">
        <f aca="true" t="shared" si="3" ref="B74:N74">SUM(B64:B72)</f>
        <v>1071328830</v>
      </c>
      <c r="C74" s="2">
        <f t="shared" si="3"/>
        <v>1058910320</v>
      </c>
      <c r="D74" s="2">
        <f t="shared" si="3"/>
        <v>10850032</v>
      </c>
      <c r="E74" s="2">
        <f t="shared" si="3"/>
        <v>85340402</v>
      </c>
      <c r="F74" s="2">
        <f t="shared" si="3"/>
        <v>0</v>
      </c>
      <c r="G74" s="2">
        <f t="shared" si="3"/>
        <v>0</v>
      </c>
      <c r="H74" s="2">
        <f t="shared" si="3"/>
        <v>0</v>
      </c>
      <c r="I74" s="2">
        <f t="shared" si="3"/>
        <v>0</v>
      </c>
      <c r="J74" s="2">
        <f t="shared" si="3"/>
        <v>0</v>
      </c>
      <c r="K74" s="2">
        <f t="shared" si="3"/>
        <v>0</v>
      </c>
      <c r="L74" s="2">
        <f t="shared" si="3"/>
        <v>0</v>
      </c>
      <c r="M74" s="2">
        <f t="shared" si="3"/>
        <v>0</v>
      </c>
      <c r="N74" s="2">
        <f t="shared" si="3"/>
        <v>0</v>
      </c>
    </row>
    <row r="75" spans="1:7" ht="12.75">
      <c r="A75" s="2"/>
      <c r="B75" s="173" t="s">
        <v>1502</v>
      </c>
      <c r="C75" s="173" t="s">
        <v>1502</v>
      </c>
      <c r="D75" s="173" t="s">
        <v>1502</v>
      </c>
      <c r="E75" s="173" t="s">
        <v>1502</v>
      </c>
      <c r="F75" s="173" t="s">
        <v>1502</v>
      </c>
      <c r="G75" s="173" t="s">
        <v>1502</v>
      </c>
    </row>
    <row r="76" spans="1:7" ht="12.75">
      <c r="A76" s="2"/>
      <c r="B76" s="2"/>
      <c r="D76" s="2"/>
      <c r="E76" s="2"/>
      <c r="G76" s="2"/>
    </row>
    <row r="77" spans="1:14" ht="12.75">
      <c r="A77" s="13" t="s">
        <v>517</v>
      </c>
      <c r="B77" s="70"/>
      <c r="C77" s="70"/>
      <c r="D77" s="179" t="s">
        <v>1523</v>
      </c>
      <c r="E77" s="71"/>
      <c r="F77" s="70"/>
      <c r="G77" s="71"/>
      <c r="H77" s="72"/>
      <c r="I77" s="73"/>
      <c r="J77" s="73"/>
      <c r="K77" s="73"/>
      <c r="L77" s="73"/>
      <c r="M77" s="73"/>
      <c r="N77" s="73"/>
    </row>
    <row r="78" spans="1:14" ht="12.75">
      <c r="A78" s="2"/>
      <c r="B78" s="70"/>
      <c r="C78" s="70"/>
      <c r="D78" s="71" t="s">
        <v>1524</v>
      </c>
      <c r="E78" s="71"/>
      <c r="F78" s="70"/>
      <c r="G78" s="71"/>
      <c r="H78" s="74" t="s">
        <v>1446</v>
      </c>
      <c r="I78" s="74"/>
      <c r="J78" s="74"/>
      <c r="K78" s="74"/>
      <c r="L78" s="74"/>
      <c r="M78" s="74"/>
      <c r="N78" s="74"/>
    </row>
    <row r="79" spans="1:14" ht="12.75">
      <c r="A79" s="2"/>
      <c r="B79" s="180" t="s">
        <v>1502</v>
      </c>
      <c r="C79" s="180" t="s">
        <v>1502</v>
      </c>
      <c r="D79" s="180" t="s">
        <v>1502</v>
      </c>
      <c r="E79" s="180" t="s">
        <v>1502</v>
      </c>
      <c r="F79" s="180" t="s">
        <v>1502</v>
      </c>
      <c r="G79" s="180" t="s">
        <v>1502</v>
      </c>
      <c r="H79" s="73" t="s">
        <v>1449</v>
      </c>
      <c r="I79" s="72"/>
      <c r="J79" s="73"/>
      <c r="K79" s="72"/>
      <c r="L79" s="73"/>
      <c r="M79" s="73"/>
      <c r="N79" s="72"/>
    </row>
    <row r="80" spans="1:14" ht="12.75">
      <c r="A80" s="2"/>
      <c r="B80" s="179" t="s">
        <v>1525</v>
      </c>
      <c r="C80" s="179" t="s">
        <v>1525</v>
      </c>
      <c r="D80" s="70"/>
      <c r="E80" s="70"/>
      <c r="F80" s="70"/>
      <c r="G80" s="70"/>
      <c r="H80" s="73" t="s">
        <v>1452</v>
      </c>
      <c r="I80" s="73" t="s">
        <v>1453</v>
      </c>
      <c r="J80" s="73" t="s">
        <v>1454</v>
      </c>
      <c r="K80" s="73" t="s">
        <v>1454</v>
      </c>
      <c r="L80" s="73" t="s">
        <v>1455</v>
      </c>
      <c r="M80" s="72"/>
      <c r="N80" s="72"/>
    </row>
    <row r="81" spans="1:14" ht="12.75">
      <c r="A81" s="2"/>
      <c r="B81" s="179" t="s">
        <v>1526</v>
      </c>
      <c r="C81" s="179" t="s">
        <v>1526</v>
      </c>
      <c r="D81" s="179" t="s">
        <v>1527</v>
      </c>
      <c r="E81" s="179" t="s">
        <v>1467</v>
      </c>
      <c r="F81" s="179" t="s">
        <v>1528</v>
      </c>
      <c r="G81" s="179" t="s">
        <v>1528</v>
      </c>
      <c r="H81" s="73" t="s">
        <v>1459</v>
      </c>
      <c r="I81" s="73" t="s">
        <v>1460</v>
      </c>
      <c r="J81" s="73" t="s">
        <v>1461</v>
      </c>
      <c r="K81" s="73" t="s">
        <v>1462</v>
      </c>
      <c r="L81" s="73" t="s">
        <v>1462</v>
      </c>
      <c r="M81" s="73" t="s">
        <v>1463</v>
      </c>
      <c r="N81" s="72"/>
    </row>
    <row r="82" spans="2:14" ht="12.75">
      <c r="B82" s="181" t="s">
        <v>1529</v>
      </c>
      <c r="C82" s="181" t="s">
        <v>1447</v>
      </c>
      <c r="D82" s="75"/>
      <c r="E82" s="75"/>
      <c r="F82" s="181" t="s">
        <v>1464</v>
      </c>
      <c r="G82" s="181" t="s">
        <v>1447</v>
      </c>
      <c r="H82" s="74" t="s">
        <v>1468</v>
      </c>
      <c r="I82" s="74" t="s">
        <v>1458</v>
      </c>
      <c r="J82" s="74" t="s">
        <v>1469</v>
      </c>
      <c r="K82" s="74" t="s">
        <v>1470</v>
      </c>
      <c r="L82" s="74" t="s">
        <v>1470</v>
      </c>
      <c r="M82" s="74" t="s">
        <v>1468</v>
      </c>
      <c r="N82" s="74" t="s">
        <v>1467</v>
      </c>
    </row>
    <row r="83" spans="1:14" ht="12.75">
      <c r="A83" s="2" t="s">
        <v>1507</v>
      </c>
      <c r="B83" s="13">
        <v>80824400</v>
      </c>
      <c r="C83" s="13">
        <v>83324600</v>
      </c>
      <c r="D83" s="12">
        <v>0</v>
      </c>
      <c r="E83" s="13">
        <v>72745300</v>
      </c>
      <c r="F83" s="173" t="s">
        <v>1508</v>
      </c>
      <c r="G83" s="173" t="s">
        <v>1508</v>
      </c>
      <c r="H83" s="13">
        <v>13714600</v>
      </c>
      <c r="I83" s="13">
        <v>0</v>
      </c>
      <c r="J83" s="13">
        <v>30420800</v>
      </c>
      <c r="K83" s="13">
        <v>25367600</v>
      </c>
      <c r="L83" s="13">
        <v>0</v>
      </c>
      <c r="M83" s="13">
        <v>13444700</v>
      </c>
      <c r="N83" s="13">
        <v>300000</v>
      </c>
    </row>
    <row r="84" spans="1:14" ht="12.75">
      <c r="A84" s="2" t="s">
        <v>1509</v>
      </c>
      <c r="B84" s="13">
        <v>71264500</v>
      </c>
      <c r="C84" s="13">
        <v>73201700</v>
      </c>
      <c r="D84" s="13">
        <v>0</v>
      </c>
      <c r="E84" s="13">
        <v>55979300</v>
      </c>
      <c r="F84" s="173" t="s">
        <v>1508</v>
      </c>
      <c r="G84" s="173" t="s">
        <v>1508</v>
      </c>
      <c r="H84" s="13">
        <v>1168300</v>
      </c>
      <c r="I84" s="13">
        <v>0</v>
      </c>
      <c r="J84" s="13">
        <v>0</v>
      </c>
      <c r="K84" s="13">
        <v>0</v>
      </c>
      <c r="L84" s="13">
        <v>0</v>
      </c>
      <c r="M84" s="13">
        <v>551300</v>
      </c>
      <c r="N84" s="13">
        <v>300000</v>
      </c>
    </row>
    <row r="85" spans="1:14" ht="12.75">
      <c r="A85" s="2" t="s">
        <v>1510</v>
      </c>
      <c r="B85" s="13">
        <v>129390995</v>
      </c>
      <c r="C85" s="13">
        <v>132679695</v>
      </c>
      <c r="D85" s="13">
        <v>0</v>
      </c>
      <c r="E85" s="13">
        <v>0</v>
      </c>
      <c r="F85" s="173" t="s">
        <v>1508</v>
      </c>
      <c r="G85" s="173" t="s">
        <v>1508</v>
      </c>
      <c r="H85" s="13">
        <v>2392100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</row>
    <row r="86" spans="1:14" ht="12.75">
      <c r="A86" s="2" t="s">
        <v>1511</v>
      </c>
      <c r="B86" s="13">
        <v>27879005</v>
      </c>
      <c r="C86" s="13">
        <v>28699805</v>
      </c>
      <c r="D86" s="13">
        <v>0</v>
      </c>
      <c r="E86" s="13">
        <v>0</v>
      </c>
      <c r="F86" s="173" t="s">
        <v>1508</v>
      </c>
      <c r="G86" s="173" t="s">
        <v>1508</v>
      </c>
      <c r="H86" s="13">
        <v>988500</v>
      </c>
      <c r="I86" s="13">
        <v>0</v>
      </c>
      <c r="J86" s="13">
        <v>0</v>
      </c>
      <c r="K86" s="13">
        <v>0</v>
      </c>
      <c r="L86" s="13">
        <v>0</v>
      </c>
      <c r="M86" s="13">
        <v>141800</v>
      </c>
      <c r="N86" s="13">
        <v>0</v>
      </c>
    </row>
    <row r="87" spans="1:14" ht="12.75">
      <c r="A87" s="2" t="s">
        <v>1512</v>
      </c>
      <c r="B87" s="13">
        <v>24657600</v>
      </c>
      <c r="C87" s="13">
        <v>25390000</v>
      </c>
      <c r="D87" s="13">
        <v>0</v>
      </c>
      <c r="E87" s="13">
        <v>0</v>
      </c>
      <c r="F87" s="173" t="s">
        <v>1508</v>
      </c>
      <c r="G87" s="173" t="s">
        <v>1508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</row>
    <row r="88" spans="1:14" ht="12.75">
      <c r="A88" s="2" t="s">
        <v>1513</v>
      </c>
      <c r="B88" s="13">
        <v>15788700</v>
      </c>
      <c r="C88" s="13">
        <v>16251700</v>
      </c>
      <c r="D88" s="13">
        <v>0</v>
      </c>
      <c r="E88" s="13">
        <v>0</v>
      </c>
      <c r="F88" s="173" t="s">
        <v>1508</v>
      </c>
      <c r="G88" s="173" t="s">
        <v>1508</v>
      </c>
      <c r="H88" s="13">
        <v>0</v>
      </c>
      <c r="I88" s="13">
        <v>0</v>
      </c>
      <c r="J88" s="13">
        <v>311300</v>
      </c>
      <c r="K88" s="13">
        <v>0</v>
      </c>
      <c r="L88" s="13">
        <v>0</v>
      </c>
      <c r="M88" s="13">
        <v>0</v>
      </c>
      <c r="N88" s="13">
        <v>0</v>
      </c>
    </row>
    <row r="89" spans="1:14" ht="12.75">
      <c r="A89" s="2" t="s">
        <v>1519</v>
      </c>
      <c r="B89" s="13">
        <v>63013200</v>
      </c>
      <c r="C89" s="13">
        <v>64884900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</row>
    <row r="90" spans="1:14" ht="12.75">
      <c r="A90" s="2" t="s">
        <v>1520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</row>
    <row r="91" spans="1:14" ht="12.75">
      <c r="A91" t="s">
        <v>1517</v>
      </c>
      <c r="B91" s="13">
        <v>0</v>
      </c>
      <c r="C91" s="13">
        <v>0</v>
      </c>
      <c r="D91" s="13">
        <v>0</v>
      </c>
      <c r="E91" s="13">
        <v>0</v>
      </c>
      <c r="F91" s="173" t="s">
        <v>1508</v>
      </c>
      <c r="G91" s="173" t="s">
        <v>1508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</row>
    <row r="92" spans="1:14" ht="12.75">
      <c r="A92" s="2"/>
      <c r="B92" s="13"/>
      <c r="C92" s="12"/>
      <c r="D92" s="13"/>
      <c r="E92" s="13"/>
      <c r="G92" s="2"/>
      <c r="H92" s="13"/>
      <c r="I92" s="13"/>
      <c r="J92" s="13"/>
      <c r="K92" s="13"/>
      <c r="L92" s="13"/>
      <c r="M92" s="13"/>
      <c r="N92" s="13"/>
    </row>
    <row r="93" spans="1:14" ht="12.75">
      <c r="A93" s="2" t="s">
        <v>1518</v>
      </c>
      <c r="B93" s="2">
        <f aca="true" t="shared" si="4" ref="B93:N93">SUM(B83:B91)</f>
        <v>412818400</v>
      </c>
      <c r="C93" s="2">
        <f t="shared" si="4"/>
        <v>424432400</v>
      </c>
      <c r="D93" s="2">
        <f t="shared" si="4"/>
        <v>0</v>
      </c>
      <c r="E93" s="2">
        <f t="shared" si="4"/>
        <v>128724600</v>
      </c>
      <c r="F93" s="2">
        <f t="shared" si="4"/>
        <v>0</v>
      </c>
      <c r="G93" s="2">
        <f t="shared" si="4"/>
        <v>0</v>
      </c>
      <c r="H93" s="2">
        <f t="shared" si="4"/>
        <v>18263500</v>
      </c>
      <c r="I93" s="2">
        <f t="shared" si="4"/>
        <v>0</v>
      </c>
      <c r="J93" s="2">
        <f t="shared" si="4"/>
        <v>30732100</v>
      </c>
      <c r="K93" s="2">
        <f t="shared" si="4"/>
        <v>25367600</v>
      </c>
      <c r="L93" s="2">
        <f t="shared" si="4"/>
        <v>0</v>
      </c>
      <c r="M93" s="2">
        <f t="shared" si="4"/>
        <v>14137800</v>
      </c>
      <c r="N93" s="2">
        <f t="shared" si="4"/>
        <v>600000</v>
      </c>
    </row>
    <row r="94" spans="1:7" ht="12.75">
      <c r="A94" s="2"/>
      <c r="B94" s="173" t="s">
        <v>1502</v>
      </c>
      <c r="C94" s="173" t="s">
        <v>1502</v>
      </c>
      <c r="D94" s="173" t="s">
        <v>1502</v>
      </c>
      <c r="E94" s="173" t="s">
        <v>1502</v>
      </c>
      <c r="F94" s="173" t="s">
        <v>1502</v>
      </c>
      <c r="G94" s="173" t="s">
        <v>1502</v>
      </c>
    </row>
    <row r="95" spans="1:7" ht="12.75">
      <c r="A95" s="2"/>
      <c r="B95" s="2"/>
      <c r="D95" s="2"/>
      <c r="E95" s="2"/>
      <c r="G95" s="2"/>
    </row>
    <row r="96" spans="1:14" ht="12.75">
      <c r="A96" s="13" t="s">
        <v>536</v>
      </c>
      <c r="B96" s="70"/>
      <c r="C96" s="70"/>
      <c r="D96" s="179" t="s">
        <v>1523</v>
      </c>
      <c r="E96" s="71"/>
      <c r="F96" s="70"/>
      <c r="G96" s="71"/>
      <c r="H96" s="72"/>
      <c r="I96" s="73"/>
      <c r="J96" s="73"/>
      <c r="K96" s="73"/>
      <c r="L96" s="73"/>
      <c r="M96" s="73"/>
      <c r="N96" s="73"/>
    </row>
    <row r="97" spans="1:14" ht="12.75">
      <c r="A97" s="2"/>
      <c r="B97" s="70"/>
      <c r="C97" s="70"/>
      <c r="D97" s="71" t="s">
        <v>1524</v>
      </c>
      <c r="E97" s="71"/>
      <c r="F97" s="70"/>
      <c r="G97" s="71"/>
      <c r="H97" s="74" t="s">
        <v>1446</v>
      </c>
      <c r="I97" s="74"/>
      <c r="J97" s="74"/>
      <c r="K97" s="74"/>
      <c r="L97" s="74"/>
      <c r="M97" s="74"/>
      <c r="N97" s="74"/>
    </row>
    <row r="98" spans="1:14" ht="12.75">
      <c r="A98" s="2"/>
      <c r="B98" s="180" t="s">
        <v>1502</v>
      </c>
      <c r="C98" s="180" t="s">
        <v>1502</v>
      </c>
      <c r="D98" s="180" t="s">
        <v>1502</v>
      </c>
      <c r="E98" s="180" t="s">
        <v>1502</v>
      </c>
      <c r="F98" s="180" t="s">
        <v>1502</v>
      </c>
      <c r="G98" s="180" t="s">
        <v>1502</v>
      </c>
      <c r="H98" s="73" t="s">
        <v>1449</v>
      </c>
      <c r="I98" s="72"/>
      <c r="J98" s="73"/>
      <c r="K98" s="72"/>
      <c r="L98" s="73"/>
      <c r="M98" s="73"/>
      <c r="N98" s="72"/>
    </row>
    <row r="99" spans="1:14" ht="12.75">
      <c r="A99" s="2"/>
      <c r="B99" s="179" t="s">
        <v>1525</v>
      </c>
      <c r="C99" s="179" t="s">
        <v>1525</v>
      </c>
      <c r="D99" s="70"/>
      <c r="E99" s="70"/>
      <c r="F99" s="70"/>
      <c r="G99" s="70"/>
      <c r="H99" s="73" t="s">
        <v>1452</v>
      </c>
      <c r="I99" s="73" t="s">
        <v>1453</v>
      </c>
      <c r="J99" s="73" t="s">
        <v>1454</v>
      </c>
      <c r="K99" s="73" t="s">
        <v>1454</v>
      </c>
      <c r="L99" s="73" t="s">
        <v>1455</v>
      </c>
      <c r="M99" s="72"/>
      <c r="N99" s="72"/>
    </row>
    <row r="100" spans="1:14" ht="12.75">
      <c r="A100" s="2"/>
      <c r="B100" s="179" t="s">
        <v>1526</v>
      </c>
      <c r="C100" s="179" t="s">
        <v>1526</v>
      </c>
      <c r="D100" s="179" t="s">
        <v>1527</v>
      </c>
      <c r="E100" s="179" t="s">
        <v>1467</v>
      </c>
      <c r="F100" s="179" t="s">
        <v>1528</v>
      </c>
      <c r="G100" s="179" t="s">
        <v>1528</v>
      </c>
      <c r="H100" s="73" t="s">
        <v>1459</v>
      </c>
      <c r="I100" s="73" t="s">
        <v>1460</v>
      </c>
      <c r="J100" s="73" t="s">
        <v>1461</v>
      </c>
      <c r="K100" s="73" t="s">
        <v>1462</v>
      </c>
      <c r="L100" s="73" t="s">
        <v>1462</v>
      </c>
      <c r="M100" s="73" t="s">
        <v>1463</v>
      </c>
      <c r="N100" s="72"/>
    </row>
    <row r="101" spans="2:14" ht="12.75">
      <c r="B101" s="181" t="s">
        <v>1529</v>
      </c>
      <c r="C101" s="181" t="s">
        <v>1447</v>
      </c>
      <c r="D101" s="75"/>
      <c r="E101" s="75"/>
      <c r="F101" s="181" t="s">
        <v>1464</v>
      </c>
      <c r="G101" s="181" t="s">
        <v>1447</v>
      </c>
      <c r="H101" s="74" t="s">
        <v>1468</v>
      </c>
      <c r="I101" s="74" t="s">
        <v>1458</v>
      </c>
      <c r="J101" s="74" t="s">
        <v>1469</v>
      </c>
      <c r="K101" s="74" t="s">
        <v>1470</v>
      </c>
      <c r="L101" s="74" t="s">
        <v>1470</v>
      </c>
      <c r="M101" s="74" t="s">
        <v>1468</v>
      </c>
      <c r="N101" s="74" t="s">
        <v>1467</v>
      </c>
    </row>
    <row r="102" spans="1:14" ht="12.75">
      <c r="A102" s="2" t="s">
        <v>1507</v>
      </c>
      <c r="B102" s="13">
        <v>107413379</v>
      </c>
      <c r="C102" s="13">
        <v>107393932</v>
      </c>
      <c r="D102" s="13">
        <v>12700319</v>
      </c>
      <c r="E102" s="13">
        <v>0</v>
      </c>
      <c r="F102" s="173" t="s">
        <v>1508</v>
      </c>
      <c r="G102" s="173" t="s">
        <v>1508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</row>
    <row r="103" spans="1:14" ht="12.75">
      <c r="A103" s="2" t="s">
        <v>1509</v>
      </c>
      <c r="B103" s="13">
        <v>74322296</v>
      </c>
      <c r="C103" s="13">
        <v>75408693</v>
      </c>
      <c r="D103" s="13">
        <v>0</v>
      </c>
      <c r="E103" s="13">
        <v>0</v>
      </c>
      <c r="F103" s="173" t="s">
        <v>1508</v>
      </c>
      <c r="G103" s="173" t="s">
        <v>1508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</row>
    <row r="104" spans="1:14" ht="12.75">
      <c r="A104" s="2" t="s">
        <v>1510</v>
      </c>
      <c r="B104" s="13">
        <v>108712385</v>
      </c>
      <c r="C104" s="13">
        <v>110480295</v>
      </c>
      <c r="D104" s="13">
        <v>0</v>
      </c>
      <c r="E104" s="13">
        <v>0</v>
      </c>
      <c r="F104" s="173" t="s">
        <v>1508</v>
      </c>
      <c r="G104" s="173" t="s">
        <v>1508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</row>
    <row r="105" spans="1:14" ht="12.75">
      <c r="A105" s="2" t="s">
        <v>1511</v>
      </c>
      <c r="B105" s="13">
        <v>65418126</v>
      </c>
      <c r="C105" s="13">
        <v>65819653</v>
      </c>
      <c r="D105" s="13">
        <v>0</v>
      </c>
      <c r="E105" s="13">
        <v>0</v>
      </c>
      <c r="F105" s="173" t="s">
        <v>1508</v>
      </c>
      <c r="G105" s="173" t="s">
        <v>1508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</row>
    <row r="106" spans="1:14" ht="12.75">
      <c r="A106" s="2" t="s">
        <v>1512</v>
      </c>
      <c r="B106" s="13">
        <v>35790817</v>
      </c>
      <c r="C106" s="13">
        <v>35486814</v>
      </c>
      <c r="D106" s="13">
        <v>0</v>
      </c>
      <c r="E106" s="13">
        <v>0</v>
      </c>
      <c r="F106" s="173" t="s">
        <v>1508</v>
      </c>
      <c r="G106" s="173" t="s">
        <v>1508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</row>
    <row r="107" spans="1:14" ht="12.75">
      <c r="A107" s="2" t="s">
        <v>1513</v>
      </c>
      <c r="B107" s="13">
        <v>0</v>
      </c>
      <c r="C107" s="13">
        <v>0</v>
      </c>
      <c r="D107" s="13">
        <v>0</v>
      </c>
      <c r="E107" s="13">
        <v>0</v>
      </c>
      <c r="F107" s="173" t="s">
        <v>1508</v>
      </c>
      <c r="G107" s="173" t="s">
        <v>1508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</row>
    <row r="108" spans="1:14" ht="12.75">
      <c r="A108" s="2" t="s">
        <v>1519</v>
      </c>
      <c r="B108" s="13">
        <v>35209875</v>
      </c>
      <c r="C108" s="13">
        <v>35188153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</row>
    <row r="109" spans="1:14" ht="12.75">
      <c r="A109" s="2" t="s">
        <v>1520</v>
      </c>
      <c r="B109" s="13">
        <f>SUM('Apprp. Database'!E227:E269)</f>
        <v>48444430</v>
      </c>
      <c r="C109" s="13">
        <f>SUM('Apprp. Database'!F227:F269)</f>
        <v>50385796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</row>
    <row r="110" spans="1:14" ht="12.75">
      <c r="A110" t="s">
        <v>1517</v>
      </c>
      <c r="B110" s="13">
        <v>89194155</v>
      </c>
      <c r="C110" s="13">
        <v>66091354</v>
      </c>
      <c r="D110" s="13">
        <v>0</v>
      </c>
      <c r="E110" s="13">
        <v>0</v>
      </c>
      <c r="F110" s="173" t="s">
        <v>1508</v>
      </c>
      <c r="G110" s="173" t="s">
        <v>1508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 t="s">
        <v>1518</v>
      </c>
      <c r="B112" s="2">
        <f aca="true" t="shared" si="5" ref="B112:N112">SUM(B102:B110)</f>
        <v>564505463</v>
      </c>
      <c r="C112" s="2">
        <f t="shared" si="5"/>
        <v>546254690</v>
      </c>
      <c r="D112" s="2">
        <f t="shared" si="5"/>
        <v>12700319</v>
      </c>
      <c r="E112" s="2">
        <f t="shared" si="5"/>
        <v>0</v>
      </c>
      <c r="F112" s="2">
        <f t="shared" si="5"/>
        <v>0</v>
      </c>
      <c r="G112" s="2">
        <f t="shared" si="5"/>
        <v>0</v>
      </c>
      <c r="H112" s="2">
        <f t="shared" si="5"/>
        <v>0</v>
      </c>
      <c r="I112" s="2">
        <f t="shared" si="5"/>
        <v>0</v>
      </c>
      <c r="J112" s="2">
        <f t="shared" si="5"/>
        <v>0</v>
      </c>
      <c r="K112" s="2">
        <f t="shared" si="5"/>
        <v>0</v>
      </c>
      <c r="L112" s="2">
        <f t="shared" si="5"/>
        <v>0</v>
      </c>
      <c r="M112" s="2">
        <f t="shared" si="5"/>
        <v>0</v>
      </c>
      <c r="N112" s="2">
        <f t="shared" si="5"/>
        <v>0</v>
      </c>
    </row>
    <row r="113" spans="1:7" ht="12.75">
      <c r="A113" s="2"/>
      <c r="B113" s="173" t="s">
        <v>1502</v>
      </c>
      <c r="C113" s="173" t="s">
        <v>1502</v>
      </c>
      <c r="D113" s="173" t="s">
        <v>1502</v>
      </c>
      <c r="E113" s="173" t="s">
        <v>1502</v>
      </c>
      <c r="F113" s="173" t="s">
        <v>1502</v>
      </c>
      <c r="G113" s="173" t="s">
        <v>1502</v>
      </c>
    </row>
    <row r="114" spans="1:7" ht="12.75">
      <c r="A114" s="2"/>
      <c r="B114" s="2"/>
      <c r="D114" s="2"/>
      <c r="E114" s="2"/>
      <c r="G114" s="2"/>
    </row>
    <row r="115" spans="1:14" ht="12.75">
      <c r="A115" s="13" t="s">
        <v>661</v>
      </c>
      <c r="B115" s="70"/>
      <c r="C115" s="70"/>
      <c r="D115" s="179" t="s">
        <v>1523</v>
      </c>
      <c r="E115" s="71"/>
      <c r="F115" s="70"/>
      <c r="G115" s="71"/>
      <c r="H115" s="72"/>
      <c r="I115" s="73"/>
      <c r="J115" s="73"/>
      <c r="K115" s="73"/>
      <c r="L115" s="73"/>
      <c r="M115" s="73"/>
      <c r="N115" s="73"/>
    </row>
    <row r="116" spans="1:14" ht="12.75">
      <c r="A116" s="2"/>
      <c r="B116" s="70"/>
      <c r="C116" s="70"/>
      <c r="D116" s="71" t="s">
        <v>1524</v>
      </c>
      <c r="E116" s="71"/>
      <c r="F116" s="70"/>
      <c r="G116" s="71"/>
      <c r="H116" s="74" t="s">
        <v>1446</v>
      </c>
      <c r="I116" s="74"/>
      <c r="J116" s="74"/>
      <c r="K116" s="74"/>
      <c r="L116" s="74"/>
      <c r="M116" s="74"/>
      <c r="N116" s="74"/>
    </row>
    <row r="117" spans="1:14" ht="12.75">
      <c r="A117" s="2"/>
      <c r="B117" s="180" t="s">
        <v>1502</v>
      </c>
      <c r="C117" s="180" t="s">
        <v>1502</v>
      </c>
      <c r="D117" s="180" t="s">
        <v>1502</v>
      </c>
      <c r="E117" s="180" t="s">
        <v>1502</v>
      </c>
      <c r="F117" s="180" t="s">
        <v>1502</v>
      </c>
      <c r="G117" s="180" t="s">
        <v>1502</v>
      </c>
      <c r="H117" s="73" t="s">
        <v>1449</v>
      </c>
      <c r="I117" s="72"/>
      <c r="J117" s="73"/>
      <c r="K117" s="72"/>
      <c r="L117" s="73"/>
      <c r="M117" s="73"/>
      <c r="N117" s="72"/>
    </row>
    <row r="118" spans="1:14" ht="12.75">
      <c r="A118" s="2"/>
      <c r="B118" s="179" t="s">
        <v>1525</v>
      </c>
      <c r="C118" s="179" t="s">
        <v>1525</v>
      </c>
      <c r="D118" s="70"/>
      <c r="E118" s="70"/>
      <c r="F118" s="70"/>
      <c r="G118" s="70"/>
      <c r="H118" s="73" t="s">
        <v>1452</v>
      </c>
      <c r="I118" s="73" t="s">
        <v>1453</v>
      </c>
      <c r="J118" s="73" t="s">
        <v>1454</v>
      </c>
      <c r="K118" s="73" t="s">
        <v>1454</v>
      </c>
      <c r="L118" s="73" t="s">
        <v>1455</v>
      </c>
      <c r="M118" s="72"/>
      <c r="N118" s="72"/>
    </row>
    <row r="119" spans="1:14" ht="12.75">
      <c r="A119" s="2"/>
      <c r="B119" s="179" t="s">
        <v>1526</v>
      </c>
      <c r="C119" s="179" t="s">
        <v>1526</v>
      </c>
      <c r="D119" s="179" t="s">
        <v>1527</v>
      </c>
      <c r="E119" s="179" t="s">
        <v>1467</v>
      </c>
      <c r="F119" s="179" t="s">
        <v>1528</v>
      </c>
      <c r="G119" s="179" t="s">
        <v>1528</v>
      </c>
      <c r="H119" s="73" t="s">
        <v>1459</v>
      </c>
      <c r="I119" s="73" t="s">
        <v>1460</v>
      </c>
      <c r="J119" s="73" t="s">
        <v>1461</v>
      </c>
      <c r="K119" s="73" t="s">
        <v>1462</v>
      </c>
      <c r="L119" s="73" t="s">
        <v>1462</v>
      </c>
      <c r="M119" s="73" t="s">
        <v>1463</v>
      </c>
      <c r="N119" s="72"/>
    </row>
    <row r="120" spans="2:14" ht="12.75">
      <c r="B120" s="181" t="s">
        <v>1529</v>
      </c>
      <c r="C120" s="181" t="s">
        <v>1447</v>
      </c>
      <c r="D120" s="75"/>
      <c r="E120" s="75"/>
      <c r="F120" s="181" t="s">
        <v>1464</v>
      </c>
      <c r="G120" s="181" t="s">
        <v>1447</v>
      </c>
      <c r="H120" s="74" t="s">
        <v>1468</v>
      </c>
      <c r="I120" s="74" t="s">
        <v>1458</v>
      </c>
      <c r="J120" s="74" t="s">
        <v>1469</v>
      </c>
      <c r="K120" s="74" t="s">
        <v>1470</v>
      </c>
      <c r="L120" s="74" t="s">
        <v>1470</v>
      </c>
      <c r="M120" s="74" t="s">
        <v>1468</v>
      </c>
      <c r="N120" s="74" t="s">
        <v>1467</v>
      </c>
    </row>
    <row r="121" spans="1:14" ht="12.75">
      <c r="A121" s="2" t="s">
        <v>1507</v>
      </c>
      <c r="B121" s="13">
        <v>237274712</v>
      </c>
      <c r="C121" s="13">
        <v>240698186</v>
      </c>
      <c r="D121" s="12">
        <v>0</v>
      </c>
      <c r="E121" s="13">
        <v>0</v>
      </c>
      <c r="F121" s="173" t="s">
        <v>1508</v>
      </c>
      <c r="G121" s="173" t="s">
        <v>1508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</row>
    <row r="122" spans="1:14" ht="12.75">
      <c r="A122" s="2" t="s">
        <v>1509</v>
      </c>
      <c r="B122" s="13">
        <v>44145298</v>
      </c>
      <c r="C122" s="13">
        <v>44648391</v>
      </c>
      <c r="D122" s="13">
        <v>0</v>
      </c>
      <c r="E122" s="13">
        <v>0</v>
      </c>
      <c r="F122" s="173" t="s">
        <v>1508</v>
      </c>
      <c r="G122" s="173" t="s">
        <v>1508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</row>
    <row r="123" spans="1:14" ht="12.75">
      <c r="A123" s="2" t="s">
        <v>1510</v>
      </c>
      <c r="B123" s="13">
        <v>0</v>
      </c>
      <c r="C123" s="13">
        <v>0</v>
      </c>
      <c r="D123" s="13">
        <v>0</v>
      </c>
      <c r="E123" s="13">
        <v>0</v>
      </c>
      <c r="F123" s="173" t="s">
        <v>1508</v>
      </c>
      <c r="G123" s="173" t="s">
        <v>1508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</row>
    <row r="124" spans="1:14" ht="12.75">
      <c r="A124" s="2" t="s">
        <v>1511</v>
      </c>
      <c r="B124" s="13">
        <v>147918858</v>
      </c>
      <c r="C124" s="13">
        <v>149522445</v>
      </c>
      <c r="D124" s="13">
        <v>0</v>
      </c>
      <c r="E124" s="13">
        <v>0</v>
      </c>
      <c r="F124" s="173" t="s">
        <v>1508</v>
      </c>
      <c r="G124" s="173" t="s">
        <v>1508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</row>
    <row r="125" spans="1:14" ht="12.75">
      <c r="A125" s="2" t="s">
        <v>1512</v>
      </c>
      <c r="B125" s="13">
        <v>28577325</v>
      </c>
      <c r="C125" s="13">
        <v>28604813</v>
      </c>
      <c r="D125" s="13">
        <v>0</v>
      </c>
      <c r="E125" s="13">
        <v>0</v>
      </c>
      <c r="F125" s="173" t="s">
        <v>1508</v>
      </c>
      <c r="G125" s="173" t="s">
        <v>1508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</row>
    <row r="126" spans="1:14" ht="12.75">
      <c r="A126" s="2" t="s">
        <v>1513</v>
      </c>
      <c r="B126" s="13">
        <v>10998356</v>
      </c>
      <c r="C126" s="13">
        <v>11300811</v>
      </c>
      <c r="D126" s="13">
        <v>0</v>
      </c>
      <c r="E126" s="13">
        <v>0</v>
      </c>
      <c r="F126" s="173" t="s">
        <v>1508</v>
      </c>
      <c r="G126" s="173" t="s">
        <v>1508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</row>
    <row r="127" spans="1:14" ht="12.75">
      <c r="A127" s="2" t="s">
        <v>1519</v>
      </c>
      <c r="B127" s="13">
        <v>105368864</v>
      </c>
      <c r="C127" s="13">
        <v>104272313</v>
      </c>
      <c r="D127" s="13">
        <v>0</v>
      </c>
      <c r="E127" s="13">
        <v>0</v>
      </c>
      <c r="F127" s="13">
        <v>133488846</v>
      </c>
      <c r="G127" s="13">
        <v>136813086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</row>
    <row r="128" spans="1:14" ht="12.75">
      <c r="A128" s="2" t="s">
        <v>1520</v>
      </c>
      <c r="B128" s="13">
        <v>0</v>
      </c>
      <c r="C128" s="12">
        <v>0</v>
      </c>
      <c r="D128" s="12">
        <v>0</v>
      </c>
      <c r="E128" s="79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1:14" ht="12.75">
      <c r="A129" t="s">
        <v>1517</v>
      </c>
      <c r="B129" s="13">
        <v>1206</v>
      </c>
      <c r="C129" s="13">
        <v>0</v>
      </c>
      <c r="D129" s="13">
        <v>0</v>
      </c>
      <c r="E129" s="13">
        <v>102899701</v>
      </c>
      <c r="F129" s="173" t="s">
        <v>1508</v>
      </c>
      <c r="G129" s="173" t="s">
        <v>1508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1:14" ht="12.75">
      <c r="A130" s="2"/>
      <c r="B130" s="13"/>
      <c r="D130" s="2"/>
      <c r="E130" s="13"/>
      <c r="G130" s="2"/>
      <c r="H130" s="12"/>
      <c r="I130" s="12"/>
      <c r="J130" s="12"/>
      <c r="K130" s="12"/>
      <c r="L130" s="12"/>
      <c r="M130" s="12"/>
      <c r="N130" s="12"/>
    </row>
    <row r="131" spans="1:14" ht="12.75">
      <c r="A131" s="2" t="s">
        <v>1518</v>
      </c>
      <c r="B131" s="2">
        <f aca="true" t="shared" si="6" ref="B131:N131">SUM(B121:B129)</f>
        <v>574284619</v>
      </c>
      <c r="C131" s="2">
        <f t="shared" si="6"/>
        <v>579046959</v>
      </c>
      <c r="D131" s="2">
        <f t="shared" si="6"/>
        <v>0</v>
      </c>
      <c r="E131" s="2">
        <f t="shared" si="6"/>
        <v>102899701</v>
      </c>
      <c r="F131" s="2">
        <f t="shared" si="6"/>
        <v>133488846</v>
      </c>
      <c r="G131" s="2">
        <f t="shared" si="6"/>
        <v>136813086</v>
      </c>
      <c r="H131" s="2">
        <f t="shared" si="6"/>
        <v>0</v>
      </c>
      <c r="I131" s="2">
        <f t="shared" si="6"/>
        <v>0</v>
      </c>
      <c r="J131" s="2">
        <f t="shared" si="6"/>
        <v>0</v>
      </c>
      <c r="K131" s="2">
        <f t="shared" si="6"/>
        <v>0</v>
      </c>
      <c r="L131" s="2">
        <f t="shared" si="6"/>
        <v>0</v>
      </c>
      <c r="M131" s="2">
        <f t="shared" si="6"/>
        <v>0</v>
      </c>
      <c r="N131" s="2">
        <f t="shared" si="6"/>
        <v>0</v>
      </c>
    </row>
    <row r="132" spans="1:7" ht="12.75">
      <c r="A132" s="2"/>
      <c r="B132" s="173" t="s">
        <v>1502</v>
      </c>
      <c r="C132" s="173" t="s">
        <v>1502</v>
      </c>
      <c r="D132" s="173" t="s">
        <v>1502</v>
      </c>
      <c r="E132" s="173" t="s">
        <v>1502</v>
      </c>
      <c r="F132" s="173" t="s">
        <v>1502</v>
      </c>
      <c r="G132" s="173" t="s">
        <v>1502</v>
      </c>
    </row>
    <row r="133" spans="1:7" ht="12.75">
      <c r="A133" s="2"/>
      <c r="B133" s="2"/>
      <c r="D133" s="2"/>
      <c r="E133" s="2"/>
      <c r="G133" s="2"/>
    </row>
    <row r="134" spans="1:14" ht="12.75">
      <c r="A134" s="13" t="s">
        <v>731</v>
      </c>
      <c r="B134" s="70"/>
      <c r="C134" s="70"/>
      <c r="D134" s="179" t="s">
        <v>1523</v>
      </c>
      <c r="E134" s="71"/>
      <c r="F134" s="70"/>
      <c r="G134" s="71"/>
      <c r="H134" s="72"/>
      <c r="I134" s="73"/>
      <c r="J134" s="73"/>
      <c r="K134" s="73"/>
      <c r="L134" s="73"/>
      <c r="M134" s="73"/>
      <c r="N134" s="73"/>
    </row>
    <row r="135" spans="1:14" ht="12.75">
      <c r="A135" s="2"/>
      <c r="B135" s="70"/>
      <c r="C135" s="70"/>
      <c r="D135" s="71" t="s">
        <v>1524</v>
      </c>
      <c r="E135" s="71"/>
      <c r="F135" s="70"/>
      <c r="G135" s="71"/>
      <c r="H135" s="74" t="s">
        <v>1446</v>
      </c>
      <c r="I135" s="74"/>
      <c r="J135" s="74"/>
      <c r="K135" s="74"/>
      <c r="L135" s="74"/>
      <c r="M135" s="74"/>
      <c r="N135" s="74"/>
    </row>
    <row r="136" spans="1:14" ht="12.75">
      <c r="A136" s="2"/>
      <c r="B136" s="180" t="s">
        <v>1502</v>
      </c>
      <c r="C136" s="180" t="s">
        <v>1502</v>
      </c>
      <c r="D136" s="180" t="s">
        <v>1502</v>
      </c>
      <c r="E136" s="180" t="s">
        <v>1502</v>
      </c>
      <c r="F136" s="180" t="s">
        <v>1502</v>
      </c>
      <c r="G136" s="180" t="s">
        <v>1502</v>
      </c>
      <c r="H136" s="73" t="s">
        <v>1449</v>
      </c>
      <c r="I136" s="72"/>
      <c r="J136" s="73"/>
      <c r="K136" s="72"/>
      <c r="L136" s="73"/>
      <c r="M136" s="73"/>
      <c r="N136" s="72"/>
    </row>
    <row r="137" spans="1:14" ht="12.75">
      <c r="A137" s="2"/>
      <c r="B137" s="179" t="s">
        <v>1525</v>
      </c>
      <c r="C137" s="179" t="s">
        <v>1525</v>
      </c>
      <c r="D137" s="70"/>
      <c r="E137" s="70"/>
      <c r="F137" s="70"/>
      <c r="G137" s="70"/>
      <c r="H137" s="73" t="s">
        <v>1452</v>
      </c>
      <c r="I137" s="73" t="s">
        <v>1453</v>
      </c>
      <c r="J137" s="73" t="s">
        <v>1454</v>
      </c>
      <c r="K137" s="73" t="s">
        <v>1454</v>
      </c>
      <c r="L137" s="73" t="s">
        <v>1455</v>
      </c>
      <c r="M137" s="72"/>
      <c r="N137" s="72"/>
    </row>
    <row r="138" spans="1:14" ht="12.75">
      <c r="A138" s="2"/>
      <c r="B138" s="179" t="s">
        <v>1526</v>
      </c>
      <c r="C138" s="179" t="s">
        <v>1526</v>
      </c>
      <c r="D138" s="179" t="s">
        <v>1527</v>
      </c>
      <c r="E138" s="179" t="s">
        <v>1467</v>
      </c>
      <c r="F138" s="179" t="s">
        <v>1528</v>
      </c>
      <c r="G138" s="179" t="s">
        <v>1528</v>
      </c>
      <c r="H138" s="73" t="s">
        <v>1459</v>
      </c>
      <c r="I138" s="73" t="s">
        <v>1460</v>
      </c>
      <c r="J138" s="73" t="s">
        <v>1461</v>
      </c>
      <c r="K138" s="73" t="s">
        <v>1462</v>
      </c>
      <c r="L138" s="73" t="s">
        <v>1462</v>
      </c>
      <c r="M138" s="73" t="s">
        <v>1463</v>
      </c>
      <c r="N138" s="72"/>
    </row>
    <row r="139" spans="2:14" ht="12.75">
      <c r="B139" s="181" t="s">
        <v>1529</v>
      </c>
      <c r="C139" s="181" t="s">
        <v>1447</v>
      </c>
      <c r="D139" s="75"/>
      <c r="E139" s="75"/>
      <c r="F139" s="181" t="s">
        <v>1464</v>
      </c>
      <c r="G139" s="181" t="s">
        <v>1447</v>
      </c>
      <c r="H139" s="74" t="s">
        <v>1468</v>
      </c>
      <c r="I139" s="74" t="s">
        <v>1458</v>
      </c>
      <c r="J139" s="74" t="s">
        <v>1469</v>
      </c>
      <c r="K139" s="74" t="s">
        <v>1470</v>
      </c>
      <c r="L139" s="74" t="s">
        <v>1470</v>
      </c>
      <c r="M139" s="74" t="s">
        <v>1468</v>
      </c>
      <c r="N139" s="74" t="s">
        <v>1467</v>
      </c>
    </row>
    <row r="140" spans="1:14" ht="12.75">
      <c r="A140" s="2" t="s">
        <v>1507</v>
      </c>
      <c r="B140" s="13">
        <f>'Apprp. Database'!E305</f>
        <v>58515597</v>
      </c>
      <c r="C140" s="13">
        <f>'Apprp. Database'!F305</f>
        <v>63611886</v>
      </c>
      <c r="D140" s="13">
        <v>9194915</v>
      </c>
      <c r="E140" s="13">
        <v>0</v>
      </c>
      <c r="F140" s="173" t="s">
        <v>1508</v>
      </c>
      <c r="G140" s="173" t="s">
        <v>1508</v>
      </c>
      <c r="H140" s="13">
        <v>0</v>
      </c>
      <c r="I140" s="13">
        <v>0</v>
      </c>
      <c r="J140" s="13">
        <v>17907257</v>
      </c>
      <c r="K140" s="13">
        <v>18745965</v>
      </c>
      <c r="L140" s="13">
        <v>0</v>
      </c>
      <c r="M140" s="13">
        <v>6388633</v>
      </c>
      <c r="N140" s="13">
        <v>0</v>
      </c>
    </row>
    <row r="141" spans="1:14" ht="12.75">
      <c r="A141" s="2" t="s">
        <v>1509</v>
      </c>
      <c r="B141" s="13">
        <f>SUM('Apprp. Database'!E306:E307)</f>
        <v>102066810</v>
      </c>
      <c r="C141" s="13">
        <f>SUM('Apprp. Database'!F306:F307)</f>
        <v>111775696</v>
      </c>
      <c r="D141" s="13">
        <v>0</v>
      </c>
      <c r="E141" s="13">
        <v>0</v>
      </c>
      <c r="F141" s="173" t="s">
        <v>1508</v>
      </c>
      <c r="G141" s="173" t="s">
        <v>1508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10504924</v>
      </c>
      <c r="N141" s="13">
        <v>0</v>
      </c>
    </row>
    <row r="142" spans="1:14" ht="12.75">
      <c r="A142" s="2" t="s">
        <v>1510</v>
      </c>
      <c r="B142" s="13">
        <f>'Apprp. Database'!E308</f>
        <v>23928362</v>
      </c>
      <c r="C142" s="13">
        <f>'Apprp. Database'!F308</f>
        <v>26297853</v>
      </c>
      <c r="D142" s="13">
        <v>0</v>
      </c>
      <c r="E142" s="13">
        <v>0</v>
      </c>
      <c r="F142" s="173" t="s">
        <v>1508</v>
      </c>
      <c r="G142" s="173" t="s">
        <v>1508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356807</v>
      </c>
      <c r="N142" s="13">
        <v>0</v>
      </c>
    </row>
    <row r="143" spans="1:14" ht="12.75">
      <c r="A143" s="2" t="s">
        <v>1511</v>
      </c>
      <c r="B143" s="13">
        <v>0</v>
      </c>
      <c r="C143" s="13">
        <v>0</v>
      </c>
      <c r="D143" s="13">
        <v>0</v>
      </c>
      <c r="E143" s="13">
        <v>0</v>
      </c>
      <c r="F143" s="173" t="s">
        <v>1508</v>
      </c>
      <c r="G143" s="173" t="s">
        <v>1508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</row>
    <row r="144" spans="1:14" ht="12.75">
      <c r="A144" s="2" t="s">
        <v>1512</v>
      </c>
      <c r="B144" s="13">
        <f>SUM('Apprp. Database'!E309:E310)</f>
        <v>27322601</v>
      </c>
      <c r="C144" s="13">
        <f>SUM('Apprp. Database'!F309:F310)</f>
        <v>30680370</v>
      </c>
      <c r="D144" s="13">
        <v>0</v>
      </c>
      <c r="E144" s="13">
        <v>0</v>
      </c>
      <c r="F144" s="173" t="s">
        <v>1508</v>
      </c>
      <c r="G144" s="173" t="s">
        <v>1508</v>
      </c>
      <c r="H144" s="13">
        <v>0</v>
      </c>
      <c r="I144" s="13">
        <v>0</v>
      </c>
      <c r="J144" s="13">
        <v>0</v>
      </c>
      <c r="K144" s="13">
        <v>3870684</v>
      </c>
      <c r="L144" s="13">
        <v>0</v>
      </c>
      <c r="M144" s="13">
        <v>0</v>
      </c>
      <c r="N144" s="13">
        <v>0</v>
      </c>
    </row>
    <row r="145" spans="1:14" ht="12.75">
      <c r="A145" s="2" t="s">
        <v>1513</v>
      </c>
      <c r="B145" s="13">
        <f>SUM('Apprp. Database'!E311:E312)</f>
        <v>19290289</v>
      </c>
      <c r="C145" s="13">
        <f>SUM('Apprp. Database'!F311:F312)</f>
        <v>22427227</v>
      </c>
      <c r="D145" s="13">
        <v>0</v>
      </c>
      <c r="E145" s="13">
        <v>0</v>
      </c>
      <c r="F145" s="173" t="s">
        <v>1508</v>
      </c>
      <c r="G145" s="173" t="s">
        <v>1508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</row>
    <row r="146" spans="1:14" ht="12.75">
      <c r="A146" s="2" t="s">
        <v>1519</v>
      </c>
      <c r="B146" s="13">
        <f>SUM('Apprp. Database'!E313:E327)</f>
        <v>126348182</v>
      </c>
      <c r="C146" s="13">
        <f>SUM('Apprp. Database'!F313:F327)</f>
        <v>135333149</v>
      </c>
      <c r="D146" s="13">
        <v>0</v>
      </c>
      <c r="E146" s="13">
        <v>0</v>
      </c>
      <c r="F146" s="13">
        <v>26552175</v>
      </c>
      <c r="G146" s="13">
        <v>27206422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</row>
    <row r="147" spans="1:14" ht="12.75">
      <c r="A147" s="2" t="s">
        <v>1520</v>
      </c>
      <c r="B147" s="13"/>
      <c r="C147" s="13"/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</row>
    <row r="148" spans="1:14" ht="12.75">
      <c r="A148" t="s">
        <v>1517</v>
      </c>
      <c r="B148" s="13">
        <f>'Apprp. Database'!E328</f>
        <v>98140633</v>
      </c>
      <c r="C148" s="13">
        <f>'Apprp. Database'!F328</f>
        <v>104398932</v>
      </c>
      <c r="D148" s="13">
        <v>0</v>
      </c>
      <c r="E148" s="13">
        <v>104398932</v>
      </c>
      <c r="F148" s="173" t="s">
        <v>1508</v>
      </c>
      <c r="G148" s="173" t="s">
        <v>1508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 t="s">
        <v>1518</v>
      </c>
      <c r="B150" s="2">
        <f aca="true" t="shared" si="7" ref="B150:N150">SUM(B140:B148)</f>
        <v>455612474</v>
      </c>
      <c r="C150" s="2">
        <f t="shared" si="7"/>
        <v>494525113</v>
      </c>
      <c r="D150" s="2">
        <f t="shared" si="7"/>
        <v>9194915</v>
      </c>
      <c r="E150" s="2">
        <f t="shared" si="7"/>
        <v>104398932</v>
      </c>
      <c r="F150" s="2">
        <f t="shared" si="7"/>
        <v>26552175</v>
      </c>
      <c r="G150" s="2">
        <f t="shared" si="7"/>
        <v>27206422</v>
      </c>
      <c r="H150" s="2">
        <f t="shared" si="7"/>
        <v>0</v>
      </c>
      <c r="I150" s="2">
        <f t="shared" si="7"/>
        <v>0</v>
      </c>
      <c r="J150" s="2">
        <f t="shared" si="7"/>
        <v>17907257</v>
      </c>
      <c r="K150" s="2">
        <f t="shared" si="7"/>
        <v>22616649</v>
      </c>
      <c r="L150" s="2">
        <f t="shared" si="7"/>
        <v>0</v>
      </c>
      <c r="M150" s="2">
        <f t="shared" si="7"/>
        <v>17250364</v>
      </c>
      <c r="N150" s="2">
        <f t="shared" si="7"/>
        <v>0</v>
      </c>
    </row>
    <row r="151" spans="1:14" ht="12.75">
      <c r="A151" s="2"/>
      <c r="B151" s="173" t="s">
        <v>1502</v>
      </c>
      <c r="C151" s="173" t="s">
        <v>1502</v>
      </c>
      <c r="D151" s="173" t="s">
        <v>1502</v>
      </c>
      <c r="E151" s="173" t="s">
        <v>1502</v>
      </c>
      <c r="F151" s="173" t="s">
        <v>1502</v>
      </c>
      <c r="G151" s="173" t="s">
        <v>1502</v>
      </c>
      <c r="H151" s="2"/>
      <c r="I151" s="2"/>
      <c r="J151" s="2"/>
      <c r="K151" s="2"/>
      <c r="L151" s="2"/>
      <c r="M151" s="2"/>
      <c r="N151" s="2"/>
    </row>
    <row r="152" spans="1:7" ht="12.75">
      <c r="A152" s="2"/>
      <c r="B152" s="2"/>
      <c r="D152" s="2"/>
      <c r="E152" s="2"/>
      <c r="G152" s="2"/>
    </row>
    <row r="153" spans="1:14" ht="12.75">
      <c r="A153" s="13" t="s">
        <v>781</v>
      </c>
      <c r="B153" s="70"/>
      <c r="C153" s="70"/>
      <c r="D153" s="179" t="s">
        <v>1523</v>
      </c>
      <c r="E153" s="71"/>
      <c r="F153" s="70"/>
      <c r="G153" s="71"/>
      <c r="H153" s="72"/>
      <c r="I153" s="73"/>
      <c r="J153" s="73"/>
      <c r="K153" s="73"/>
      <c r="L153" s="73"/>
      <c r="M153" s="73"/>
      <c r="N153" s="73"/>
    </row>
    <row r="154" spans="1:14" ht="12.75">
      <c r="A154" s="2"/>
      <c r="B154" s="70"/>
      <c r="C154" s="70"/>
      <c r="D154" s="71" t="s">
        <v>1524</v>
      </c>
      <c r="E154" s="71"/>
      <c r="F154" s="70"/>
      <c r="G154" s="71"/>
      <c r="H154" s="74" t="s">
        <v>1446</v>
      </c>
      <c r="I154" s="74"/>
      <c r="J154" s="74"/>
      <c r="K154" s="74"/>
      <c r="L154" s="74"/>
      <c r="M154" s="74"/>
      <c r="N154" s="74"/>
    </row>
    <row r="155" spans="1:14" ht="12.75">
      <c r="A155" s="2"/>
      <c r="B155" s="180" t="s">
        <v>1502</v>
      </c>
      <c r="C155" s="180" t="s">
        <v>1502</v>
      </c>
      <c r="D155" s="180" t="s">
        <v>1502</v>
      </c>
      <c r="E155" s="180" t="s">
        <v>1502</v>
      </c>
      <c r="F155" s="180" t="s">
        <v>1502</v>
      </c>
      <c r="G155" s="180" t="s">
        <v>1502</v>
      </c>
      <c r="H155" s="73" t="s">
        <v>1449</v>
      </c>
      <c r="I155" s="72"/>
      <c r="J155" s="73"/>
      <c r="K155" s="72"/>
      <c r="L155" s="73"/>
      <c r="M155" s="73"/>
      <c r="N155" s="72"/>
    </row>
    <row r="156" spans="1:14" ht="12.75">
      <c r="A156" s="2"/>
      <c r="B156" s="179" t="s">
        <v>1525</v>
      </c>
      <c r="C156" s="179" t="s">
        <v>1525</v>
      </c>
      <c r="D156" s="70"/>
      <c r="E156" s="70"/>
      <c r="F156" s="70"/>
      <c r="G156" s="70"/>
      <c r="H156" s="73" t="s">
        <v>1452</v>
      </c>
      <c r="I156" s="73" t="s">
        <v>1453</v>
      </c>
      <c r="J156" s="73" t="s">
        <v>1454</v>
      </c>
      <c r="K156" s="73" t="s">
        <v>1454</v>
      </c>
      <c r="L156" s="73" t="s">
        <v>1455</v>
      </c>
      <c r="M156" s="72"/>
      <c r="N156" s="72"/>
    </row>
    <row r="157" spans="1:14" ht="12.75">
      <c r="A157" s="2"/>
      <c r="B157" s="179" t="s">
        <v>1526</v>
      </c>
      <c r="C157" s="179" t="s">
        <v>1526</v>
      </c>
      <c r="D157" s="179" t="s">
        <v>1527</v>
      </c>
      <c r="E157" s="179" t="s">
        <v>1467</v>
      </c>
      <c r="F157" s="179" t="s">
        <v>1528</v>
      </c>
      <c r="G157" s="179" t="s">
        <v>1528</v>
      </c>
      <c r="H157" s="73" t="s">
        <v>1459</v>
      </c>
      <c r="I157" s="73" t="s">
        <v>1460</v>
      </c>
      <c r="J157" s="73" t="s">
        <v>1461</v>
      </c>
      <c r="K157" s="73" t="s">
        <v>1462</v>
      </c>
      <c r="L157" s="73" t="s">
        <v>1462</v>
      </c>
      <c r="M157" s="73" t="s">
        <v>1463</v>
      </c>
      <c r="N157" s="72"/>
    </row>
    <row r="158" spans="2:14" ht="12.75">
      <c r="B158" s="181" t="s">
        <v>1529</v>
      </c>
      <c r="C158" s="181" t="s">
        <v>1447</v>
      </c>
      <c r="D158" s="75"/>
      <c r="E158" s="75"/>
      <c r="F158" s="181" t="s">
        <v>1464</v>
      </c>
      <c r="G158" s="181" t="s">
        <v>1447</v>
      </c>
      <c r="H158" s="74" t="s">
        <v>1468</v>
      </c>
      <c r="I158" s="74" t="s">
        <v>1458</v>
      </c>
      <c r="J158" s="74" t="s">
        <v>1469</v>
      </c>
      <c r="K158" s="74" t="s">
        <v>1470</v>
      </c>
      <c r="L158" s="74" t="s">
        <v>1470</v>
      </c>
      <c r="M158" s="74" t="s">
        <v>1468</v>
      </c>
      <c r="N158" s="74" t="s">
        <v>1467</v>
      </c>
    </row>
    <row r="159" spans="1:14" ht="12.75">
      <c r="A159" s="2" t="s">
        <v>1507</v>
      </c>
      <c r="B159" s="13">
        <v>307752304</v>
      </c>
      <c r="C159" s="13">
        <v>316107029</v>
      </c>
      <c r="D159" s="13">
        <v>19940804</v>
      </c>
      <c r="E159" s="13">
        <v>126145880</v>
      </c>
      <c r="F159" s="173" t="s">
        <v>1508</v>
      </c>
      <c r="G159" s="173" t="s">
        <v>1508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</row>
    <row r="160" spans="1:14" ht="12.75">
      <c r="A160" s="2" t="s">
        <v>1509</v>
      </c>
      <c r="B160" s="13">
        <v>58164402</v>
      </c>
      <c r="C160" s="12">
        <v>59517713</v>
      </c>
      <c r="D160" s="13">
        <v>0</v>
      </c>
      <c r="E160" s="13">
        <v>0</v>
      </c>
      <c r="F160" s="173" t="s">
        <v>1508</v>
      </c>
      <c r="G160" s="173" t="s">
        <v>1508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</row>
    <row r="161" spans="1:14" ht="12.75">
      <c r="A161" s="2" t="s">
        <v>1510</v>
      </c>
      <c r="B161" s="13">
        <v>320024594</v>
      </c>
      <c r="C161" s="13">
        <v>327106846</v>
      </c>
      <c r="D161" s="13">
        <v>0</v>
      </c>
      <c r="E161" s="13">
        <v>40340081</v>
      </c>
      <c r="F161" s="173" t="s">
        <v>1508</v>
      </c>
      <c r="G161" s="173" t="s">
        <v>1508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</row>
    <row r="162" spans="1:14" ht="12.75">
      <c r="A162" s="2" t="s">
        <v>1511</v>
      </c>
      <c r="B162" s="13">
        <v>36449298</v>
      </c>
      <c r="C162" s="13">
        <v>36931051</v>
      </c>
      <c r="D162" s="12">
        <v>0</v>
      </c>
      <c r="E162" s="12">
        <v>0</v>
      </c>
      <c r="F162" s="173" t="s">
        <v>1508</v>
      </c>
      <c r="G162" s="173" t="s">
        <v>1508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</row>
    <row r="163" spans="1:14" ht="12.75">
      <c r="A163" s="2" t="s">
        <v>1512</v>
      </c>
      <c r="B163" s="13">
        <v>39998311</v>
      </c>
      <c r="C163" s="13">
        <v>40901061</v>
      </c>
      <c r="D163" s="13">
        <v>0</v>
      </c>
      <c r="E163" s="13">
        <v>0</v>
      </c>
      <c r="F163" s="173" t="s">
        <v>1508</v>
      </c>
      <c r="G163" s="173" t="s">
        <v>1508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</row>
    <row r="164" spans="1:14" ht="12.75">
      <c r="A164" s="2" t="s">
        <v>1513</v>
      </c>
      <c r="B164" s="13">
        <v>53597173</v>
      </c>
      <c r="C164" s="13">
        <v>55827068</v>
      </c>
      <c r="D164" s="13">
        <v>0</v>
      </c>
      <c r="E164" s="13">
        <v>0</v>
      </c>
      <c r="F164" s="173" t="s">
        <v>1508</v>
      </c>
      <c r="G164" s="173" t="s">
        <v>1508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</row>
    <row r="165" spans="1:14" ht="12.75">
      <c r="A165" s="2" t="s">
        <v>1519</v>
      </c>
      <c r="B165" s="13">
        <v>378914353</v>
      </c>
      <c r="C165" s="13">
        <v>389566345</v>
      </c>
      <c r="D165" s="13">
        <v>0</v>
      </c>
      <c r="E165" s="13">
        <v>0</v>
      </c>
      <c r="F165" s="13">
        <v>82615890</v>
      </c>
      <c r="G165" s="13">
        <v>81518302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</row>
    <row r="166" spans="1:14" ht="12.75">
      <c r="A166" s="2" t="s">
        <v>1520</v>
      </c>
      <c r="B166" s="13">
        <v>0</v>
      </c>
      <c r="C166" s="12">
        <v>0</v>
      </c>
      <c r="D166" s="12">
        <v>0</v>
      </c>
      <c r="E166" s="13">
        <v>0</v>
      </c>
      <c r="F166" s="12">
        <v>0</v>
      </c>
      <c r="G166" s="12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</row>
    <row r="167" spans="1:14" ht="12.75">
      <c r="A167" t="s">
        <v>1517</v>
      </c>
      <c r="B167" s="13">
        <v>12449126</v>
      </c>
      <c r="C167" s="13">
        <v>10346476</v>
      </c>
      <c r="D167" s="13">
        <v>0</v>
      </c>
      <c r="E167" s="13">
        <v>0</v>
      </c>
      <c r="F167" s="173" t="s">
        <v>1508</v>
      </c>
      <c r="G167" s="173" t="s">
        <v>1508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</row>
    <row r="168" spans="1:14" ht="12.75">
      <c r="A168" s="2"/>
      <c r="B168" s="1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 t="s">
        <v>1518</v>
      </c>
      <c r="B169" s="2">
        <f>SUM(B159:B167)</f>
        <v>1207349561</v>
      </c>
      <c r="C169" s="2">
        <f>SUM(C159:C167)</f>
        <v>1236303589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7" ht="12.75">
      <c r="A170" s="2"/>
      <c r="B170" s="173" t="s">
        <v>1502</v>
      </c>
      <c r="C170" s="173" t="s">
        <v>1502</v>
      </c>
      <c r="D170" s="173" t="s">
        <v>1502</v>
      </c>
      <c r="E170" s="173" t="s">
        <v>1502</v>
      </c>
      <c r="F170" s="173" t="s">
        <v>1502</v>
      </c>
      <c r="G170" s="173" t="s">
        <v>1502</v>
      </c>
    </row>
    <row r="171" ht="12.75">
      <c r="A171" s="2"/>
    </row>
    <row r="172" spans="1:14" ht="12.75">
      <c r="A172" s="13" t="s">
        <v>930</v>
      </c>
      <c r="B172" s="70"/>
      <c r="C172" s="70"/>
      <c r="D172" s="179" t="s">
        <v>1523</v>
      </c>
      <c r="E172" s="71"/>
      <c r="F172" s="70"/>
      <c r="G172" s="71"/>
      <c r="H172" s="72"/>
      <c r="I172" s="73"/>
      <c r="J172" s="73"/>
      <c r="K172" s="73"/>
      <c r="L172" s="73"/>
      <c r="M172" s="73"/>
      <c r="N172" s="73"/>
    </row>
    <row r="173" spans="1:14" ht="12.75">
      <c r="A173" s="2"/>
      <c r="B173" s="70"/>
      <c r="C173" s="70"/>
      <c r="D173" s="71" t="s">
        <v>1524</v>
      </c>
      <c r="E173" s="71"/>
      <c r="F173" s="70"/>
      <c r="G173" s="71"/>
      <c r="H173" s="74" t="s">
        <v>1446</v>
      </c>
      <c r="I173" s="74"/>
      <c r="J173" s="74"/>
      <c r="K173" s="74"/>
      <c r="L173" s="74"/>
      <c r="M173" s="74"/>
      <c r="N173" s="74"/>
    </row>
    <row r="174" spans="1:14" ht="12.75">
      <c r="A174" s="2"/>
      <c r="B174" s="180" t="s">
        <v>1502</v>
      </c>
      <c r="C174" s="180" t="s">
        <v>1502</v>
      </c>
      <c r="D174" s="180" t="s">
        <v>1502</v>
      </c>
      <c r="E174" s="180" t="s">
        <v>1502</v>
      </c>
      <c r="F174" s="180" t="s">
        <v>1502</v>
      </c>
      <c r="G174" s="180" t="s">
        <v>1502</v>
      </c>
      <c r="H174" s="73" t="s">
        <v>1449</v>
      </c>
      <c r="I174" s="72"/>
      <c r="J174" s="73"/>
      <c r="K174" s="72"/>
      <c r="L174" s="73"/>
      <c r="M174" s="73"/>
      <c r="N174" s="72"/>
    </row>
    <row r="175" spans="1:14" ht="12.75">
      <c r="A175" s="2"/>
      <c r="B175" s="179" t="s">
        <v>1525</v>
      </c>
      <c r="C175" s="179" t="s">
        <v>1525</v>
      </c>
      <c r="D175" s="70"/>
      <c r="E175" s="70"/>
      <c r="F175" s="70"/>
      <c r="G175" s="70"/>
      <c r="H175" s="73" t="s">
        <v>1452</v>
      </c>
      <c r="I175" s="73" t="s">
        <v>1453</v>
      </c>
      <c r="J175" s="73" t="s">
        <v>1454</v>
      </c>
      <c r="K175" s="73" t="s">
        <v>1454</v>
      </c>
      <c r="L175" s="73" t="s">
        <v>1455</v>
      </c>
      <c r="M175" s="72"/>
      <c r="N175" s="72"/>
    </row>
    <row r="176" spans="1:14" ht="12.75">
      <c r="A176" s="2"/>
      <c r="B176" s="179" t="s">
        <v>1526</v>
      </c>
      <c r="C176" s="179" t="s">
        <v>1526</v>
      </c>
      <c r="D176" s="179" t="s">
        <v>1527</v>
      </c>
      <c r="E176" s="179" t="s">
        <v>1467</v>
      </c>
      <c r="F176" s="179" t="s">
        <v>1528</v>
      </c>
      <c r="G176" s="179" t="s">
        <v>1528</v>
      </c>
      <c r="H176" s="73" t="s">
        <v>1459</v>
      </c>
      <c r="I176" s="73" t="s">
        <v>1460</v>
      </c>
      <c r="J176" s="73" t="s">
        <v>1461</v>
      </c>
      <c r="K176" s="73" t="s">
        <v>1462</v>
      </c>
      <c r="L176" s="73" t="s">
        <v>1462</v>
      </c>
      <c r="M176" s="73" t="s">
        <v>1463</v>
      </c>
      <c r="N176" s="72"/>
    </row>
    <row r="177" spans="2:14" ht="12.75">
      <c r="B177" s="181" t="s">
        <v>1529</v>
      </c>
      <c r="C177" s="181" t="s">
        <v>1447</v>
      </c>
      <c r="D177" s="75"/>
      <c r="E177" s="75"/>
      <c r="F177" s="181" t="s">
        <v>1464</v>
      </c>
      <c r="G177" s="181" t="s">
        <v>1447</v>
      </c>
      <c r="H177" s="74" t="s">
        <v>1468</v>
      </c>
      <c r="I177" s="74" t="s">
        <v>1458</v>
      </c>
      <c r="J177" s="74" t="s">
        <v>1469</v>
      </c>
      <c r="K177" s="74" t="s">
        <v>1470</v>
      </c>
      <c r="L177" s="74" t="s">
        <v>1470</v>
      </c>
      <c r="M177" s="74" t="s">
        <v>1468</v>
      </c>
      <c r="N177" s="74" t="s">
        <v>1467</v>
      </c>
    </row>
    <row r="178" spans="1:19" ht="12.75">
      <c r="A178" s="2" t="s">
        <v>1507</v>
      </c>
      <c r="B178" s="13">
        <v>169055190</v>
      </c>
      <c r="C178" s="13">
        <v>170085238</v>
      </c>
      <c r="D178" s="13">
        <v>0</v>
      </c>
      <c r="E178" s="13">
        <v>0</v>
      </c>
      <c r="F178" s="173" t="s">
        <v>1508</v>
      </c>
      <c r="G178" s="173" t="s">
        <v>1508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2"/>
      <c r="P178" s="12"/>
      <c r="Q178" s="12"/>
      <c r="R178" s="12"/>
      <c r="S178" s="12"/>
    </row>
    <row r="179" spans="1:19" ht="12.75">
      <c r="A179" s="2" t="s">
        <v>1509</v>
      </c>
      <c r="B179" s="13">
        <v>0</v>
      </c>
      <c r="C179" s="13">
        <v>0</v>
      </c>
      <c r="D179" s="13">
        <v>0</v>
      </c>
      <c r="E179" s="13">
        <v>0</v>
      </c>
      <c r="F179" s="173" t="s">
        <v>1508</v>
      </c>
      <c r="G179" s="173" t="s">
        <v>1508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2"/>
      <c r="P179" s="12"/>
      <c r="Q179" s="12"/>
      <c r="R179" s="12"/>
      <c r="S179" s="12"/>
    </row>
    <row r="180" spans="1:19" ht="12.75">
      <c r="A180" s="2" t="s">
        <v>1510</v>
      </c>
      <c r="B180" s="13">
        <v>28271155</v>
      </c>
      <c r="C180" s="13">
        <v>28488062</v>
      </c>
      <c r="D180" s="13">
        <v>0</v>
      </c>
      <c r="E180" s="13">
        <v>0</v>
      </c>
      <c r="F180" s="173" t="s">
        <v>1508</v>
      </c>
      <c r="G180" s="173" t="s">
        <v>1508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2"/>
      <c r="P180" s="12"/>
      <c r="Q180" s="12"/>
      <c r="R180" s="12"/>
      <c r="S180" s="12"/>
    </row>
    <row r="181" spans="1:19" ht="12.75">
      <c r="A181" s="2" t="s">
        <v>1511</v>
      </c>
      <c r="B181" s="13">
        <v>34701817</v>
      </c>
      <c r="C181" s="13">
        <v>35049618</v>
      </c>
      <c r="D181" s="13">
        <v>0</v>
      </c>
      <c r="E181" s="13">
        <v>0</v>
      </c>
      <c r="F181" s="173" t="s">
        <v>1508</v>
      </c>
      <c r="G181" s="173" t="s">
        <v>1508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2"/>
      <c r="P181" s="12"/>
      <c r="Q181" s="12"/>
      <c r="R181" s="12"/>
      <c r="S181" s="12"/>
    </row>
    <row r="182" spans="1:19" ht="12.75">
      <c r="A182" s="2" t="s">
        <v>1512</v>
      </c>
      <c r="B182" s="13">
        <v>40790047</v>
      </c>
      <c r="C182" s="13">
        <v>41281182</v>
      </c>
      <c r="D182" s="13">
        <v>0</v>
      </c>
      <c r="E182" s="13">
        <v>0</v>
      </c>
      <c r="F182" s="173" t="s">
        <v>1508</v>
      </c>
      <c r="G182" s="173" t="s">
        <v>1508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2"/>
      <c r="P182" s="12"/>
      <c r="Q182" s="12"/>
      <c r="R182" s="12"/>
      <c r="S182" s="12"/>
    </row>
    <row r="183" spans="1:19" ht="12.75">
      <c r="A183" s="2" t="s">
        <v>1513</v>
      </c>
      <c r="B183" s="13">
        <v>14626251</v>
      </c>
      <c r="C183" s="13">
        <v>14760297</v>
      </c>
      <c r="D183" s="13">
        <v>0</v>
      </c>
      <c r="E183" s="13">
        <v>0</v>
      </c>
      <c r="F183" s="173" t="s">
        <v>1508</v>
      </c>
      <c r="G183" s="173" t="s">
        <v>1508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2"/>
      <c r="P183" s="12"/>
      <c r="Q183" s="12"/>
      <c r="R183" s="12"/>
      <c r="S183" s="12"/>
    </row>
    <row r="184" spans="1:19" ht="12.75">
      <c r="A184" s="2" t="s">
        <v>1519</v>
      </c>
      <c r="B184" s="13">
        <v>103622150</v>
      </c>
      <c r="C184" s="13">
        <v>107081756</v>
      </c>
      <c r="D184" s="13">
        <v>0</v>
      </c>
      <c r="E184" s="13">
        <v>0</v>
      </c>
      <c r="F184" s="13">
        <v>17822082</v>
      </c>
      <c r="G184" s="13">
        <v>17390527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2"/>
      <c r="P184" s="12"/>
      <c r="Q184" s="12"/>
      <c r="R184" s="12"/>
      <c r="S184" s="12"/>
    </row>
    <row r="185" spans="1:19" ht="12.75">
      <c r="A185" s="2" t="s">
        <v>1520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2"/>
      <c r="P185" s="12"/>
      <c r="Q185" s="12"/>
      <c r="R185" s="12"/>
      <c r="S185" s="12"/>
    </row>
    <row r="186" spans="1:19" ht="12.75">
      <c r="A186" t="s">
        <v>1517</v>
      </c>
      <c r="B186" s="13">
        <v>77111361</v>
      </c>
      <c r="C186" s="13">
        <f>SUM('Apprp. Database'!F373:F376)</f>
        <v>77916792</v>
      </c>
      <c r="D186" s="13">
        <v>8290684</v>
      </c>
      <c r="E186" s="13">
        <v>65871410</v>
      </c>
      <c r="F186" s="173" t="s">
        <v>1508</v>
      </c>
      <c r="G186" s="173" t="s">
        <v>1508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2"/>
      <c r="P186" s="12"/>
      <c r="Q186" s="12"/>
      <c r="R186" s="12"/>
      <c r="S186" s="12"/>
    </row>
    <row r="187" spans="1:19" ht="12.75">
      <c r="A187" s="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2"/>
      <c r="P187" s="12"/>
      <c r="Q187" s="12"/>
      <c r="R187" s="12"/>
      <c r="S187" s="12"/>
    </row>
    <row r="188" spans="1:19" ht="12.75">
      <c r="A188" s="2" t="s">
        <v>1518</v>
      </c>
      <c r="B188" s="13">
        <f>SUM(B178:B186)</f>
        <v>468177971</v>
      </c>
      <c r="C188" s="13">
        <f>SUM(C178:C186)</f>
        <v>474662945</v>
      </c>
      <c r="D188" s="13"/>
      <c r="E188" s="13"/>
      <c r="F188" s="13">
        <f>F184</f>
        <v>17822082</v>
      </c>
      <c r="G188" s="13">
        <f>G184</f>
        <v>17390527</v>
      </c>
      <c r="H188" s="13"/>
      <c r="I188" s="13"/>
      <c r="J188" s="13"/>
      <c r="K188" s="13"/>
      <c r="L188" s="13"/>
      <c r="M188" s="13"/>
      <c r="N188" s="13"/>
      <c r="O188" s="12"/>
      <c r="P188" s="12"/>
      <c r="Q188" s="12"/>
      <c r="R188" s="12"/>
      <c r="S188" s="12"/>
    </row>
    <row r="189" spans="1:14" ht="12.75">
      <c r="A189" s="2"/>
      <c r="B189" s="173" t="s">
        <v>1502</v>
      </c>
      <c r="C189" s="173" t="s">
        <v>1502</v>
      </c>
      <c r="D189" s="173" t="s">
        <v>1502</v>
      </c>
      <c r="E189" s="173" t="s">
        <v>1502</v>
      </c>
      <c r="F189" s="173" t="s">
        <v>1502</v>
      </c>
      <c r="G189" s="173" t="s">
        <v>1502</v>
      </c>
      <c r="H189" s="2"/>
      <c r="I189" s="2"/>
      <c r="J189" s="2"/>
      <c r="K189" s="2"/>
      <c r="L189" s="2"/>
      <c r="M189" s="2"/>
      <c r="N189" s="2"/>
    </row>
    <row r="190" ht="12.75">
      <c r="A190" s="2"/>
    </row>
    <row r="191" spans="1:14" ht="12.75">
      <c r="A191" s="13" t="s">
        <v>991</v>
      </c>
      <c r="B191" s="70"/>
      <c r="C191" s="70"/>
      <c r="D191" s="179" t="s">
        <v>1523</v>
      </c>
      <c r="E191" s="71"/>
      <c r="F191" s="70"/>
      <c r="G191" s="71"/>
      <c r="H191" s="72"/>
      <c r="I191" s="73"/>
      <c r="J191" s="73"/>
      <c r="K191" s="73"/>
      <c r="L191" s="73"/>
      <c r="M191" s="73"/>
      <c r="N191" s="73"/>
    </row>
    <row r="192" spans="1:14" ht="12.75">
      <c r="A192" s="2"/>
      <c r="B192" s="70"/>
      <c r="C192" s="70"/>
      <c r="D192" s="71" t="s">
        <v>1524</v>
      </c>
      <c r="E192" s="71"/>
      <c r="F192" s="70"/>
      <c r="G192" s="71"/>
      <c r="H192" s="74" t="s">
        <v>1446</v>
      </c>
      <c r="I192" s="74"/>
      <c r="J192" s="74"/>
      <c r="K192" s="74"/>
      <c r="L192" s="74"/>
      <c r="M192" s="74"/>
      <c r="N192" s="74"/>
    </row>
    <row r="193" spans="1:14" ht="12.75">
      <c r="A193" s="2"/>
      <c r="B193" s="180" t="s">
        <v>1502</v>
      </c>
      <c r="C193" s="180" t="s">
        <v>1502</v>
      </c>
      <c r="D193" s="180" t="s">
        <v>1502</v>
      </c>
      <c r="E193" s="180" t="s">
        <v>1502</v>
      </c>
      <c r="F193" s="180" t="s">
        <v>1502</v>
      </c>
      <c r="G193" s="180" t="s">
        <v>1502</v>
      </c>
      <c r="H193" s="73" t="s">
        <v>1449</v>
      </c>
      <c r="I193" s="72"/>
      <c r="J193" s="73"/>
      <c r="K193" s="72"/>
      <c r="L193" s="73"/>
      <c r="M193" s="73"/>
      <c r="N193" s="72"/>
    </row>
    <row r="194" spans="1:14" ht="12.75">
      <c r="A194" s="2"/>
      <c r="B194" s="179" t="s">
        <v>1525</v>
      </c>
      <c r="C194" s="179" t="s">
        <v>1525</v>
      </c>
      <c r="D194" s="70"/>
      <c r="E194" s="70"/>
      <c r="F194" s="70"/>
      <c r="G194" s="70"/>
      <c r="H194" s="73" t="s">
        <v>1452</v>
      </c>
      <c r="I194" s="73" t="s">
        <v>1453</v>
      </c>
      <c r="J194" s="73" t="s">
        <v>1454</v>
      </c>
      <c r="K194" s="73" t="s">
        <v>1454</v>
      </c>
      <c r="L194" s="73" t="s">
        <v>1455</v>
      </c>
      <c r="M194" s="72"/>
      <c r="N194" s="72"/>
    </row>
    <row r="195" spans="1:14" ht="12.75">
      <c r="A195" s="2"/>
      <c r="B195" s="179" t="s">
        <v>1526</v>
      </c>
      <c r="C195" s="179" t="s">
        <v>1526</v>
      </c>
      <c r="D195" s="179" t="s">
        <v>1527</v>
      </c>
      <c r="E195" s="179" t="s">
        <v>1467</v>
      </c>
      <c r="F195" s="179" t="s">
        <v>1528</v>
      </c>
      <c r="G195" s="179" t="s">
        <v>1528</v>
      </c>
      <c r="H195" s="73" t="s">
        <v>1459</v>
      </c>
      <c r="I195" s="73" t="s">
        <v>1460</v>
      </c>
      <c r="J195" s="73" t="s">
        <v>1461</v>
      </c>
      <c r="K195" s="73" t="s">
        <v>1462</v>
      </c>
      <c r="L195" s="73" t="s">
        <v>1462</v>
      </c>
      <c r="M195" s="73" t="s">
        <v>1463</v>
      </c>
      <c r="N195" s="72"/>
    </row>
    <row r="196" spans="2:14" ht="12.75">
      <c r="B196" s="181" t="s">
        <v>1529</v>
      </c>
      <c r="C196" s="181" t="s">
        <v>1447</v>
      </c>
      <c r="D196" s="75"/>
      <c r="E196" s="75"/>
      <c r="F196" s="181" t="s">
        <v>1464</v>
      </c>
      <c r="G196" s="181" t="s">
        <v>1447</v>
      </c>
      <c r="H196" s="74" t="s">
        <v>1468</v>
      </c>
      <c r="I196" s="74" t="s">
        <v>1458</v>
      </c>
      <c r="J196" s="74" t="s">
        <v>1469</v>
      </c>
      <c r="K196" s="74" t="s">
        <v>1470</v>
      </c>
      <c r="L196" s="74" t="s">
        <v>1470</v>
      </c>
      <c r="M196" s="74" t="s">
        <v>1468</v>
      </c>
      <c r="N196" s="74" t="s">
        <v>1467</v>
      </c>
    </row>
    <row r="197" spans="1:14" ht="12.75">
      <c r="A197" s="2" t="s">
        <v>1507</v>
      </c>
      <c r="B197" s="13">
        <v>111285000</v>
      </c>
      <c r="C197" s="13">
        <v>116022864</v>
      </c>
      <c r="D197" s="12">
        <v>0</v>
      </c>
      <c r="E197" s="13">
        <v>12891429</v>
      </c>
      <c r="F197" s="173" t="s">
        <v>1508</v>
      </c>
      <c r="G197" s="173" t="s">
        <v>1508</v>
      </c>
      <c r="H197" s="13">
        <v>0</v>
      </c>
      <c r="I197" s="13">
        <v>0</v>
      </c>
      <c r="J197" s="13">
        <v>0</v>
      </c>
      <c r="K197" s="13">
        <v>51285</v>
      </c>
      <c r="L197" s="13">
        <v>31581</v>
      </c>
      <c r="M197" s="13">
        <v>50146</v>
      </c>
      <c r="N197" s="13">
        <v>0</v>
      </c>
    </row>
    <row r="198" spans="1:14" ht="12.75">
      <c r="A198" s="2" t="s">
        <v>1509</v>
      </c>
      <c r="B198" s="13">
        <v>83219539</v>
      </c>
      <c r="C198" s="13">
        <v>86790546</v>
      </c>
      <c r="D198" s="13">
        <v>0</v>
      </c>
      <c r="E198" s="13">
        <v>0</v>
      </c>
      <c r="F198" s="173" t="s">
        <v>1508</v>
      </c>
      <c r="G198" s="173" t="s">
        <v>1508</v>
      </c>
      <c r="H198" s="13">
        <v>0</v>
      </c>
      <c r="I198" s="13">
        <v>0</v>
      </c>
      <c r="J198" s="13">
        <v>0</v>
      </c>
      <c r="K198" s="13">
        <v>28722</v>
      </c>
      <c r="L198" s="13">
        <v>15993</v>
      </c>
      <c r="M198" s="13">
        <v>27423</v>
      </c>
      <c r="N198" s="13">
        <v>0</v>
      </c>
    </row>
    <row r="199" spans="1:14" ht="12.75">
      <c r="A199" s="2" t="s">
        <v>1510</v>
      </c>
      <c r="B199" s="13">
        <v>18444268</v>
      </c>
      <c r="C199" s="13">
        <v>19142559</v>
      </c>
      <c r="D199" s="13">
        <v>0</v>
      </c>
      <c r="E199" s="13">
        <v>0</v>
      </c>
      <c r="F199" s="173" t="s">
        <v>1508</v>
      </c>
      <c r="G199" s="173" t="s">
        <v>1508</v>
      </c>
      <c r="H199" s="13">
        <v>0</v>
      </c>
      <c r="I199" s="13">
        <v>0</v>
      </c>
      <c r="J199" s="13">
        <v>0</v>
      </c>
      <c r="K199" s="13">
        <v>7694</v>
      </c>
      <c r="L199" s="13">
        <v>5312</v>
      </c>
      <c r="M199" s="13">
        <v>5872</v>
      </c>
      <c r="N199" s="13">
        <v>0</v>
      </c>
    </row>
    <row r="200" spans="1:14" ht="12.75">
      <c r="A200" s="2" t="s">
        <v>1511</v>
      </c>
      <c r="B200" s="13">
        <v>22324898</v>
      </c>
      <c r="C200" s="13">
        <v>23731508</v>
      </c>
      <c r="D200" s="13">
        <v>0</v>
      </c>
      <c r="E200" s="13">
        <v>0</v>
      </c>
      <c r="F200" s="173" t="s">
        <v>1508</v>
      </c>
      <c r="G200" s="173" t="s">
        <v>1508</v>
      </c>
      <c r="H200" s="13">
        <v>0</v>
      </c>
      <c r="I200" s="13">
        <v>0</v>
      </c>
      <c r="J200" s="13">
        <v>0</v>
      </c>
      <c r="K200" s="13">
        <v>4529</v>
      </c>
      <c r="L200" s="13">
        <v>2987</v>
      </c>
      <c r="M200" s="13">
        <v>6877</v>
      </c>
      <c r="N200" s="13">
        <v>0</v>
      </c>
    </row>
    <row r="201" spans="1:14" ht="12.75">
      <c r="A201" s="2" t="s">
        <v>1512</v>
      </c>
      <c r="B201" s="13">
        <v>44764354</v>
      </c>
      <c r="C201" s="13">
        <v>47029534</v>
      </c>
      <c r="D201" s="13">
        <v>0</v>
      </c>
      <c r="E201" s="13">
        <v>0</v>
      </c>
      <c r="F201" s="173" t="s">
        <v>1508</v>
      </c>
      <c r="G201" s="173" t="s">
        <v>1508</v>
      </c>
      <c r="H201" s="13">
        <v>0</v>
      </c>
      <c r="I201" s="13">
        <v>0</v>
      </c>
      <c r="J201" s="13">
        <v>0</v>
      </c>
      <c r="K201" s="13">
        <v>15713</v>
      </c>
      <c r="L201" s="13">
        <v>16510</v>
      </c>
      <c r="M201" s="13">
        <v>14895</v>
      </c>
      <c r="N201" s="13">
        <v>0</v>
      </c>
    </row>
    <row r="202" spans="1:14" ht="12.75">
      <c r="A202" s="2" t="s">
        <v>1513</v>
      </c>
      <c r="B202" s="13">
        <v>36160857</v>
      </c>
      <c r="C202" s="13">
        <v>37969041</v>
      </c>
      <c r="D202" s="13">
        <v>0</v>
      </c>
      <c r="E202" s="13">
        <v>0</v>
      </c>
      <c r="F202" s="173" t="s">
        <v>1508</v>
      </c>
      <c r="G202" s="173" t="s">
        <v>1508</v>
      </c>
      <c r="H202" s="13">
        <v>0</v>
      </c>
      <c r="I202" s="13">
        <v>0</v>
      </c>
      <c r="J202" s="13">
        <v>0</v>
      </c>
      <c r="K202" s="13">
        <v>2511</v>
      </c>
      <c r="L202" s="13">
        <v>2963</v>
      </c>
      <c r="M202" s="13">
        <v>2331</v>
      </c>
      <c r="N202" s="13">
        <v>0</v>
      </c>
    </row>
    <row r="203" spans="1:14" ht="12.75">
      <c r="A203" s="2" t="s">
        <v>1519</v>
      </c>
      <c r="B203" s="13">
        <v>127552230</v>
      </c>
      <c r="C203" s="13">
        <v>124323759</v>
      </c>
      <c r="D203" s="13">
        <v>0</v>
      </c>
      <c r="E203" s="13">
        <v>0</v>
      </c>
      <c r="F203" s="13">
        <v>24176313</v>
      </c>
      <c r="G203" s="13">
        <v>25480151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</row>
    <row r="204" spans="1:14" ht="12.75">
      <c r="A204" s="2" t="s">
        <v>1520</v>
      </c>
      <c r="B204" s="13">
        <v>0</v>
      </c>
      <c r="C204" s="12">
        <v>0</v>
      </c>
      <c r="D204" s="12">
        <v>0</v>
      </c>
      <c r="E204" s="13">
        <v>0</v>
      </c>
      <c r="F204" s="12">
        <v>0</v>
      </c>
      <c r="G204" s="12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</row>
    <row r="205" spans="1:14" ht="12.75">
      <c r="A205" t="s">
        <v>1517</v>
      </c>
      <c r="B205" s="13">
        <v>79220571</v>
      </c>
      <c r="C205" s="13">
        <v>5810047</v>
      </c>
      <c r="D205" s="12">
        <v>0</v>
      </c>
      <c r="E205" s="13">
        <v>83000670</v>
      </c>
      <c r="F205" s="173" t="s">
        <v>1508</v>
      </c>
      <c r="G205" s="173" t="s">
        <v>1508</v>
      </c>
      <c r="H205" s="13">
        <v>0</v>
      </c>
      <c r="I205" s="13">
        <v>0</v>
      </c>
      <c r="J205" s="13">
        <v>0</v>
      </c>
      <c r="K205" s="13">
        <v>5842</v>
      </c>
      <c r="L205" s="13">
        <v>5472</v>
      </c>
      <c r="M205" s="13">
        <v>6415</v>
      </c>
      <c r="N205" s="13">
        <v>0</v>
      </c>
    </row>
    <row r="206" spans="1:14" ht="12.75">
      <c r="A206" s="2"/>
      <c r="B206" s="2"/>
      <c r="D206" s="2"/>
      <c r="E206" s="2"/>
      <c r="G206" s="2"/>
      <c r="H206" s="12"/>
      <c r="I206" s="12"/>
      <c r="J206" s="12"/>
      <c r="K206" s="12"/>
      <c r="L206" s="12"/>
      <c r="M206" s="12"/>
      <c r="N206" s="12"/>
    </row>
    <row r="207" spans="1:14" ht="12.75">
      <c r="A207" s="2" t="s">
        <v>1518</v>
      </c>
      <c r="B207" s="2">
        <f aca="true" t="shared" si="8" ref="B207:N207">SUM(B197:B205)</f>
        <v>522971717</v>
      </c>
      <c r="C207" s="2">
        <f t="shared" si="8"/>
        <v>460819858</v>
      </c>
      <c r="D207" s="2">
        <f t="shared" si="8"/>
        <v>0</v>
      </c>
      <c r="E207" s="2">
        <f t="shared" si="8"/>
        <v>95892099</v>
      </c>
      <c r="F207" s="2">
        <f t="shared" si="8"/>
        <v>24176313</v>
      </c>
      <c r="G207" s="2">
        <f t="shared" si="8"/>
        <v>25480151</v>
      </c>
      <c r="H207" s="2">
        <f t="shared" si="8"/>
        <v>0</v>
      </c>
      <c r="I207" s="2">
        <f t="shared" si="8"/>
        <v>0</v>
      </c>
      <c r="J207" s="2">
        <f t="shared" si="8"/>
        <v>0</v>
      </c>
      <c r="K207" s="2">
        <f t="shared" si="8"/>
        <v>116296</v>
      </c>
      <c r="L207" s="2">
        <f t="shared" si="8"/>
        <v>80818</v>
      </c>
      <c r="M207" s="2">
        <f t="shared" si="8"/>
        <v>113959</v>
      </c>
      <c r="N207" s="2">
        <f t="shared" si="8"/>
        <v>0</v>
      </c>
    </row>
    <row r="208" spans="1:7" ht="12.75">
      <c r="A208" s="2"/>
      <c r="B208" s="173" t="s">
        <v>1502</v>
      </c>
      <c r="C208" s="173" t="s">
        <v>1502</v>
      </c>
      <c r="D208" s="173" t="s">
        <v>1502</v>
      </c>
      <c r="E208" s="173" t="s">
        <v>1502</v>
      </c>
      <c r="F208" s="173" t="s">
        <v>1502</v>
      </c>
      <c r="G208" s="173" t="s">
        <v>1502</v>
      </c>
    </row>
    <row r="209" spans="1:7" ht="12.75">
      <c r="A209" s="2"/>
      <c r="B209" s="2"/>
      <c r="D209" s="2"/>
      <c r="E209" s="2"/>
      <c r="G209" s="2"/>
    </row>
    <row r="210" spans="1:14" ht="12.75">
      <c r="A210" s="13" t="s">
        <v>1058</v>
      </c>
      <c r="B210" s="70"/>
      <c r="C210" s="70"/>
      <c r="D210" s="179" t="s">
        <v>1523</v>
      </c>
      <c r="E210" s="71"/>
      <c r="F210" s="70"/>
      <c r="G210" s="71"/>
      <c r="H210" s="72"/>
      <c r="I210" s="73"/>
      <c r="J210" s="73"/>
      <c r="K210" s="73"/>
      <c r="L210" s="73"/>
      <c r="M210" s="73"/>
      <c r="N210" s="73"/>
    </row>
    <row r="211" spans="1:14" ht="12.75">
      <c r="A211" s="2"/>
      <c r="B211" s="70"/>
      <c r="C211" s="70"/>
      <c r="D211" s="71" t="s">
        <v>1524</v>
      </c>
      <c r="E211" s="71"/>
      <c r="F211" s="70"/>
      <c r="G211" s="71"/>
      <c r="H211" s="74" t="s">
        <v>1446</v>
      </c>
      <c r="I211" s="74"/>
      <c r="J211" s="74"/>
      <c r="K211" s="74"/>
      <c r="L211" s="74"/>
      <c r="M211" s="74"/>
      <c r="N211" s="74"/>
    </row>
    <row r="212" spans="1:14" ht="12.75">
      <c r="A212" s="2"/>
      <c r="B212" s="180" t="s">
        <v>1502</v>
      </c>
      <c r="C212" s="180" t="s">
        <v>1502</v>
      </c>
      <c r="D212" s="180" t="s">
        <v>1502</v>
      </c>
      <c r="E212" s="180" t="s">
        <v>1502</v>
      </c>
      <c r="F212" s="180" t="s">
        <v>1502</v>
      </c>
      <c r="G212" s="180" t="s">
        <v>1502</v>
      </c>
      <c r="H212" s="73" t="s">
        <v>1449</v>
      </c>
      <c r="I212" s="72"/>
      <c r="J212" s="73"/>
      <c r="K212" s="72"/>
      <c r="L212" s="73"/>
      <c r="M212" s="73"/>
      <c r="N212" s="72"/>
    </row>
    <row r="213" spans="1:14" ht="12.75">
      <c r="A213" s="2"/>
      <c r="B213" s="179" t="s">
        <v>1525</v>
      </c>
      <c r="C213" s="179" t="s">
        <v>1525</v>
      </c>
      <c r="D213" s="70"/>
      <c r="E213" s="70"/>
      <c r="F213" s="70"/>
      <c r="G213" s="70"/>
      <c r="H213" s="73" t="s">
        <v>1452</v>
      </c>
      <c r="I213" s="73" t="s">
        <v>1453</v>
      </c>
      <c r="J213" s="73" t="s">
        <v>1454</v>
      </c>
      <c r="K213" s="73" t="s">
        <v>1454</v>
      </c>
      <c r="L213" s="73" t="s">
        <v>1455</v>
      </c>
      <c r="M213" s="72"/>
      <c r="N213" s="72"/>
    </row>
    <row r="214" spans="1:14" ht="12.75">
      <c r="A214" s="2"/>
      <c r="B214" s="179" t="s">
        <v>1526</v>
      </c>
      <c r="C214" s="179" t="s">
        <v>1526</v>
      </c>
      <c r="D214" s="179" t="s">
        <v>1527</v>
      </c>
      <c r="E214" s="179" t="s">
        <v>1467</v>
      </c>
      <c r="F214" s="179" t="s">
        <v>1528</v>
      </c>
      <c r="G214" s="179" t="s">
        <v>1528</v>
      </c>
      <c r="H214" s="73" t="s">
        <v>1459</v>
      </c>
      <c r="I214" s="73" t="s">
        <v>1460</v>
      </c>
      <c r="J214" s="73" t="s">
        <v>1461</v>
      </c>
      <c r="K214" s="73" t="s">
        <v>1462</v>
      </c>
      <c r="L214" s="73" t="s">
        <v>1462</v>
      </c>
      <c r="M214" s="73" t="s">
        <v>1463</v>
      </c>
      <c r="N214" s="72"/>
    </row>
    <row r="215" spans="2:14" ht="12.75">
      <c r="B215" s="181" t="s">
        <v>1529</v>
      </c>
      <c r="C215" s="181" t="s">
        <v>1447</v>
      </c>
      <c r="D215" s="75"/>
      <c r="E215" s="75"/>
      <c r="F215" s="181" t="s">
        <v>1464</v>
      </c>
      <c r="G215" s="181" t="s">
        <v>1447</v>
      </c>
      <c r="H215" s="74" t="s">
        <v>1468</v>
      </c>
      <c r="I215" s="74" t="s">
        <v>1458</v>
      </c>
      <c r="J215" s="74" t="s">
        <v>1469</v>
      </c>
      <c r="K215" s="74" t="s">
        <v>1470</v>
      </c>
      <c r="L215" s="74" t="s">
        <v>1470</v>
      </c>
      <c r="M215" s="74" t="s">
        <v>1468</v>
      </c>
      <c r="N215" s="74" t="s">
        <v>1467</v>
      </c>
    </row>
    <row r="216" spans="1:14" ht="12.75">
      <c r="A216" s="2" t="s">
        <v>1507</v>
      </c>
      <c r="B216" s="13">
        <v>145992200</v>
      </c>
      <c r="C216" s="13">
        <v>153605997</v>
      </c>
      <c r="D216" s="12">
        <v>0</v>
      </c>
      <c r="E216" s="13">
        <v>0</v>
      </c>
      <c r="F216" s="173" t="s">
        <v>1508</v>
      </c>
      <c r="G216" s="173" t="s">
        <v>1508</v>
      </c>
      <c r="H216" s="13">
        <v>6244400</v>
      </c>
      <c r="I216" s="13">
        <v>0</v>
      </c>
      <c r="J216" s="13">
        <v>20795500</v>
      </c>
      <c r="K216" s="13">
        <v>17928600</v>
      </c>
      <c r="L216" s="13">
        <v>0</v>
      </c>
      <c r="M216" s="13">
        <v>0</v>
      </c>
      <c r="N216" s="13">
        <v>0</v>
      </c>
    </row>
    <row r="217" spans="1:14" ht="12.75">
      <c r="A217" s="2" t="s">
        <v>1509</v>
      </c>
      <c r="B217" s="13">
        <v>90637200</v>
      </c>
      <c r="C217" s="13">
        <v>93477423</v>
      </c>
      <c r="D217" s="13">
        <v>0</v>
      </c>
      <c r="E217" s="13">
        <v>0</v>
      </c>
      <c r="F217" s="173" t="s">
        <v>1508</v>
      </c>
      <c r="G217" s="173" t="s">
        <v>1508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</row>
    <row r="218" spans="1:14" ht="12.75">
      <c r="A218" s="2" t="s">
        <v>1510</v>
      </c>
      <c r="B218" s="13">
        <v>136393700</v>
      </c>
      <c r="C218" s="13">
        <v>141356021</v>
      </c>
      <c r="D218" s="13">
        <v>43026600</v>
      </c>
      <c r="E218" s="13">
        <v>22553600</v>
      </c>
      <c r="F218" s="173" t="s">
        <v>1508</v>
      </c>
      <c r="G218" s="173" t="s">
        <v>1508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</row>
    <row r="219" spans="1:14" ht="12.75">
      <c r="A219" s="2" t="s">
        <v>1511</v>
      </c>
      <c r="B219" s="13">
        <v>94787800</v>
      </c>
      <c r="C219" s="13">
        <v>101600520</v>
      </c>
      <c r="D219" s="13">
        <v>0</v>
      </c>
      <c r="E219" s="13">
        <v>0</v>
      </c>
      <c r="F219" s="173" t="s">
        <v>1508</v>
      </c>
      <c r="G219" s="173" t="s">
        <v>1508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</row>
    <row r="220" spans="1:14" ht="12.75">
      <c r="A220" s="2" t="s">
        <v>1512</v>
      </c>
      <c r="B220" s="13">
        <v>24491600</v>
      </c>
      <c r="C220" s="13">
        <v>25324348</v>
      </c>
      <c r="D220" s="13">
        <v>0</v>
      </c>
      <c r="E220" s="13">
        <v>0</v>
      </c>
      <c r="F220" s="173" t="s">
        <v>1508</v>
      </c>
      <c r="G220" s="173" t="s">
        <v>1508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</row>
    <row r="221" spans="1:14" ht="12.75">
      <c r="A221" s="2" t="s">
        <v>1513</v>
      </c>
      <c r="B221" s="13">
        <v>0</v>
      </c>
      <c r="C221" s="13">
        <v>0</v>
      </c>
      <c r="D221" s="13">
        <v>0</v>
      </c>
      <c r="E221" s="13">
        <v>0</v>
      </c>
      <c r="F221" s="173" t="s">
        <v>1508</v>
      </c>
      <c r="G221" s="173" t="s">
        <v>1508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</row>
    <row r="222" spans="1:14" ht="12.75">
      <c r="A222" s="2" t="s">
        <v>1519</v>
      </c>
      <c r="B222" s="13">
        <v>156758700</v>
      </c>
      <c r="C222" s="13">
        <v>159576000</v>
      </c>
      <c r="D222" s="13">
        <v>0</v>
      </c>
      <c r="E222" s="13">
        <v>0</v>
      </c>
      <c r="F222" s="12">
        <v>0</v>
      </c>
      <c r="G222" s="12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</row>
    <row r="223" spans="1:14" ht="12.75">
      <c r="A223" s="2" t="s">
        <v>1520</v>
      </c>
      <c r="B223" s="13">
        <v>29050600</v>
      </c>
      <c r="C223" s="13">
        <f>SUM('Apprp. Database'!F433:F459)</f>
        <v>29401600</v>
      </c>
      <c r="D223" s="12">
        <v>0</v>
      </c>
      <c r="E223" s="12">
        <v>0</v>
      </c>
      <c r="F223" s="12">
        <v>0</v>
      </c>
      <c r="G223" s="12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</row>
    <row r="224" spans="1:14" ht="12.75">
      <c r="A224" t="s">
        <v>1517</v>
      </c>
      <c r="B224" s="13">
        <v>5651400</v>
      </c>
      <c r="C224" s="13">
        <v>7051338</v>
      </c>
      <c r="D224" s="13">
        <v>11727300</v>
      </c>
      <c r="E224" s="13">
        <v>48773703</v>
      </c>
      <c r="F224" s="173" t="s">
        <v>1508</v>
      </c>
      <c r="G224" s="173" t="s">
        <v>1508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</row>
    <row r="225" spans="1:14" ht="12.75">
      <c r="A225" s="2"/>
      <c r="B225" s="2"/>
      <c r="D225" s="2"/>
      <c r="E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 t="s">
        <v>1518</v>
      </c>
      <c r="B226" s="2">
        <f aca="true" t="shared" si="9" ref="B226:N226">SUM(B216:B224)</f>
        <v>683763200</v>
      </c>
      <c r="C226" s="2">
        <f t="shared" si="9"/>
        <v>711393247</v>
      </c>
      <c r="D226" s="2">
        <f t="shared" si="9"/>
        <v>54753900</v>
      </c>
      <c r="E226" s="2">
        <f t="shared" si="9"/>
        <v>71327303</v>
      </c>
      <c r="F226" s="2">
        <f t="shared" si="9"/>
        <v>0</v>
      </c>
      <c r="G226" s="2">
        <f t="shared" si="9"/>
        <v>0</v>
      </c>
      <c r="H226" s="2">
        <f t="shared" si="9"/>
        <v>6244400</v>
      </c>
      <c r="I226" s="2">
        <f t="shared" si="9"/>
        <v>0</v>
      </c>
      <c r="J226" s="2">
        <f t="shared" si="9"/>
        <v>20795500</v>
      </c>
      <c r="K226" s="2">
        <f t="shared" si="9"/>
        <v>17928600</v>
      </c>
      <c r="L226" s="2">
        <f t="shared" si="9"/>
        <v>0</v>
      </c>
      <c r="M226" s="2">
        <f t="shared" si="9"/>
        <v>0</v>
      </c>
      <c r="N226" s="2">
        <f t="shared" si="9"/>
        <v>0</v>
      </c>
    </row>
    <row r="227" spans="1:7" ht="12.75">
      <c r="A227" s="2"/>
      <c r="B227" s="173" t="s">
        <v>1502</v>
      </c>
      <c r="C227" s="173" t="s">
        <v>1502</v>
      </c>
      <c r="D227" s="173" t="s">
        <v>1502</v>
      </c>
      <c r="E227" s="173" t="s">
        <v>1502</v>
      </c>
      <c r="F227" s="173" t="s">
        <v>1502</v>
      </c>
      <c r="G227" s="173" t="s">
        <v>1502</v>
      </c>
    </row>
    <row r="228" spans="1:7" ht="12.75">
      <c r="A228" s="2"/>
      <c r="B228" s="2"/>
      <c r="D228" s="2"/>
      <c r="E228" s="2"/>
      <c r="G228" s="2"/>
    </row>
    <row r="229" spans="1:14" ht="12.75">
      <c r="A229" s="13" t="s">
        <v>1162</v>
      </c>
      <c r="B229" s="70"/>
      <c r="C229" s="70"/>
      <c r="D229" s="179" t="s">
        <v>1523</v>
      </c>
      <c r="E229" s="71"/>
      <c r="F229" s="70"/>
      <c r="G229" s="71"/>
      <c r="H229" s="72"/>
      <c r="I229" s="73"/>
      <c r="J229" s="73"/>
      <c r="K229" s="73"/>
      <c r="L229" s="73"/>
      <c r="M229" s="73"/>
      <c r="N229" s="73"/>
    </row>
    <row r="230" spans="1:14" ht="12.75">
      <c r="A230" s="2"/>
      <c r="B230" s="70"/>
      <c r="C230" s="70"/>
      <c r="D230" s="71" t="s">
        <v>1524</v>
      </c>
      <c r="E230" s="71"/>
      <c r="F230" s="70"/>
      <c r="G230" s="71"/>
      <c r="H230" s="74" t="s">
        <v>1446</v>
      </c>
      <c r="I230" s="74"/>
      <c r="J230" s="74"/>
      <c r="K230" s="74"/>
      <c r="L230" s="74"/>
      <c r="M230" s="74"/>
      <c r="N230" s="74"/>
    </row>
    <row r="231" spans="1:14" ht="12.75">
      <c r="A231" s="2"/>
      <c r="B231" s="180" t="s">
        <v>1502</v>
      </c>
      <c r="C231" s="180" t="s">
        <v>1502</v>
      </c>
      <c r="D231" s="180" t="s">
        <v>1502</v>
      </c>
      <c r="E231" s="180" t="s">
        <v>1502</v>
      </c>
      <c r="F231" s="180" t="s">
        <v>1502</v>
      </c>
      <c r="G231" s="180" t="s">
        <v>1502</v>
      </c>
      <c r="H231" s="73" t="s">
        <v>1449</v>
      </c>
      <c r="I231" s="72"/>
      <c r="J231" s="73"/>
      <c r="K231" s="72"/>
      <c r="L231" s="73"/>
      <c r="M231" s="73"/>
      <c r="N231" s="72"/>
    </row>
    <row r="232" spans="1:14" ht="12.75">
      <c r="A232" s="2"/>
      <c r="B232" s="179" t="s">
        <v>1525</v>
      </c>
      <c r="C232" s="179" t="s">
        <v>1525</v>
      </c>
      <c r="D232" s="70"/>
      <c r="E232" s="70"/>
      <c r="F232" s="70"/>
      <c r="G232" s="70"/>
      <c r="H232" s="73" t="s">
        <v>1452</v>
      </c>
      <c r="I232" s="73" t="s">
        <v>1453</v>
      </c>
      <c r="J232" s="73" t="s">
        <v>1454</v>
      </c>
      <c r="K232" s="73" t="s">
        <v>1454</v>
      </c>
      <c r="L232" s="73" t="s">
        <v>1455</v>
      </c>
      <c r="M232" s="72"/>
      <c r="N232" s="72"/>
    </row>
    <row r="233" spans="1:14" ht="12.75">
      <c r="A233" s="2"/>
      <c r="B233" s="179" t="s">
        <v>1526</v>
      </c>
      <c r="C233" s="179" t="s">
        <v>1526</v>
      </c>
      <c r="D233" s="179" t="s">
        <v>1527</v>
      </c>
      <c r="E233" s="179" t="s">
        <v>1467</v>
      </c>
      <c r="F233" s="179" t="s">
        <v>1528</v>
      </c>
      <c r="G233" s="179" t="s">
        <v>1528</v>
      </c>
      <c r="H233" s="73" t="s">
        <v>1459</v>
      </c>
      <c r="I233" s="73" t="s">
        <v>1460</v>
      </c>
      <c r="J233" s="73" t="s">
        <v>1461</v>
      </c>
      <c r="K233" s="73" t="s">
        <v>1462</v>
      </c>
      <c r="L233" s="73" t="s">
        <v>1462</v>
      </c>
      <c r="M233" s="73" t="s">
        <v>1463</v>
      </c>
      <c r="N233" s="72"/>
    </row>
    <row r="234" spans="2:14" ht="12.75">
      <c r="B234" s="181" t="s">
        <v>1529</v>
      </c>
      <c r="C234" s="181" t="s">
        <v>1447</v>
      </c>
      <c r="D234" s="75"/>
      <c r="E234" s="75"/>
      <c r="F234" s="181" t="s">
        <v>1464</v>
      </c>
      <c r="G234" s="181" t="s">
        <v>1447</v>
      </c>
      <c r="H234" s="74" t="s">
        <v>1468</v>
      </c>
      <c r="I234" s="74" t="s">
        <v>1458</v>
      </c>
      <c r="J234" s="74" t="s">
        <v>1469</v>
      </c>
      <c r="K234" s="74" t="s">
        <v>1470</v>
      </c>
      <c r="L234" s="74" t="s">
        <v>1470</v>
      </c>
      <c r="M234" s="74" t="s">
        <v>1468</v>
      </c>
      <c r="N234" s="74" t="s">
        <v>1467</v>
      </c>
    </row>
    <row r="235" spans="1:14" ht="12.75">
      <c r="A235" s="2" t="s">
        <v>1507</v>
      </c>
      <c r="B235" s="13">
        <v>954595398</v>
      </c>
      <c r="C235" s="13">
        <v>971412996</v>
      </c>
      <c r="D235" s="13">
        <v>23749258</v>
      </c>
      <c r="E235" s="13">
        <v>16320810</v>
      </c>
      <c r="F235" s="173" t="s">
        <v>1508</v>
      </c>
      <c r="G235" s="173" t="s">
        <v>1508</v>
      </c>
      <c r="H235" s="13">
        <v>0</v>
      </c>
      <c r="I235" s="13">
        <v>0</v>
      </c>
      <c r="J235" s="13">
        <v>44075112</v>
      </c>
      <c r="K235" s="13">
        <v>52321454</v>
      </c>
      <c r="L235" s="13">
        <v>12597603</v>
      </c>
      <c r="M235" s="13">
        <v>0</v>
      </c>
      <c r="N235" s="13">
        <v>0</v>
      </c>
    </row>
    <row r="236" spans="1:14" ht="12.75">
      <c r="A236" s="2" t="s">
        <v>1509</v>
      </c>
      <c r="B236" s="13">
        <v>115380953</v>
      </c>
      <c r="C236" s="13">
        <v>120052534</v>
      </c>
      <c r="D236" s="13">
        <v>0</v>
      </c>
      <c r="E236" s="13">
        <v>0</v>
      </c>
      <c r="F236" s="173" t="s">
        <v>1508</v>
      </c>
      <c r="G236" s="173" t="s">
        <v>1508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</row>
    <row r="237" spans="1:14" ht="12.75">
      <c r="A237" s="2" t="s">
        <v>1510</v>
      </c>
      <c r="B237" s="13">
        <v>469821961</v>
      </c>
      <c r="C237" s="13">
        <v>496625055</v>
      </c>
      <c r="D237" s="13">
        <v>0</v>
      </c>
      <c r="E237" s="13">
        <v>0</v>
      </c>
      <c r="F237" s="173" t="s">
        <v>1508</v>
      </c>
      <c r="G237" s="173" t="s">
        <v>1508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</row>
    <row r="238" spans="1:14" ht="12.75">
      <c r="A238" s="2" t="s">
        <v>1511</v>
      </c>
      <c r="B238" s="13">
        <v>104290952</v>
      </c>
      <c r="C238" s="13">
        <f>SUM('Apprp. Database'!F486:F491)</f>
        <v>127937684</v>
      </c>
      <c r="D238" s="13">
        <v>0</v>
      </c>
      <c r="E238" s="13">
        <v>0</v>
      </c>
      <c r="F238" s="173" t="s">
        <v>1508</v>
      </c>
      <c r="G238" s="173" t="s">
        <v>1508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</row>
    <row r="239" spans="1:14" ht="12.75">
      <c r="A239" s="2" t="s">
        <v>1512</v>
      </c>
      <c r="B239" s="13">
        <v>20124578</v>
      </c>
      <c r="C239" s="13">
        <v>27426272</v>
      </c>
      <c r="D239" s="13">
        <v>0</v>
      </c>
      <c r="E239" s="13">
        <v>0</v>
      </c>
      <c r="F239" s="173" t="s">
        <v>1508</v>
      </c>
      <c r="G239" s="173" t="s">
        <v>1508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</row>
    <row r="240" spans="1:14" ht="12.75">
      <c r="A240" s="2" t="s">
        <v>1513</v>
      </c>
      <c r="B240" s="13">
        <v>23926280</v>
      </c>
      <c r="C240" s="13">
        <v>25185407</v>
      </c>
      <c r="D240" s="13">
        <v>0</v>
      </c>
      <c r="E240" s="13">
        <v>0</v>
      </c>
      <c r="F240" s="173" t="s">
        <v>1508</v>
      </c>
      <c r="G240" s="173" t="s">
        <v>1508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</row>
    <row r="241" spans="1:14" ht="12.75">
      <c r="A241" s="2" t="s">
        <v>1519</v>
      </c>
      <c r="B241" s="13">
        <v>760067547</v>
      </c>
      <c r="C241" s="13">
        <v>758821326</v>
      </c>
      <c r="D241" s="13">
        <v>0</v>
      </c>
      <c r="E241" s="13">
        <v>0</v>
      </c>
      <c r="F241" s="13">
        <v>279179911</v>
      </c>
      <c r="G241" s="13">
        <v>291363233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</row>
    <row r="242" spans="1:14" ht="12.75">
      <c r="A242" s="2" t="s">
        <v>1520</v>
      </c>
      <c r="B242" s="13">
        <v>0</v>
      </c>
      <c r="C242" s="12">
        <v>0</v>
      </c>
      <c r="D242" s="12">
        <v>0</v>
      </c>
      <c r="E242" s="13">
        <v>0</v>
      </c>
      <c r="F242">
        <v>0</v>
      </c>
      <c r="G242" s="12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</row>
    <row r="243" spans="1:14" ht="12.75">
      <c r="A243" t="s">
        <v>1517</v>
      </c>
      <c r="B243" s="13">
        <v>0</v>
      </c>
      <c r="C243" s="13">
        <v>0</v>
      </c>
      <c r="D243" s="13">
        <v>0</v>
      </c>
      <c r="E243" s="13">
        <v>886129303</v>
      </c>
      <c r="F243" s="173" t="s">
        <v>1508</v>
      </c>
      <c r="G243" s="173" t="s">
        <v>1508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60584067</v>
      </c>
      <c r="N243" s="13">
        <v>47228935</v>
      </c>
    </row>
    <row r="244" spans="1:7" ht="12.75">
      <c r="A244" s="2"/>
      <c r="B244" s="2"/>
      <c r="D244" s="2"/>
      <c r="E244" s="2"/>
      <c r="G244" s="2"/>
    </row>
    <row r="245" spans="1:15" ht="12.75">
      <c r="A245" s="2" t="s">
        <v>1518</v>
      </c>
      <c r="B245" s="2">
        <f aca="true" t="shared" si="10" ref="B245:N245">SUM(B235:B243)</f>
        <v>2448207669</v>
      </c>
      <c r="C245" s="2">
        <f t="shared" si="10"/>
        <v>2527461274</v>
      </c>
      <c r="D245" s="2">
        <f t="shared" si="10"/>
        <v>23749258</v>
      </c>
      <c r="E245" s="2">
        <f t="shared" si="10"/>
        <v>902450113</v>
      </c>
      <c r="F245" s="2">
        <f t="shared" si="10"/>
        <v>279179911</v>
      </c>
      <c r="G245" s="2">
        <f t="shared" si="10"/>
        <v>291363233</v>
      </c>
      <c r="H245" s="2">
        <f t="shared" si="10"/>
        <v>0</v>
      </c>
      <c r="I245" s="2">
        <f t="shared" si="10"/>
        <v>0</v>
      </c>
      <c r="J245" s="2">
        <f t="shared" si="10"/>
        <v>44075112</v>
      </c>
      <c r="K245" s="2">
        <f t="shared" si="10"/>
        <v>52321454</v>
      </c>
      <c r="L245" s="2">
        <f t="shared" si="10"/>
        <v>12597603</v>
      </c>
      <c r="M245" s="2">
        <f t="shared" si="10"/>
        <v>60584067</v>
      </c>
      <c r="N245" s="2">
        <f t="shared" si="10"/>
        <v>47228935</v>
      </c>
      <c r="O245" s="2"/>
    </row>
    <row r="246" spans="1:7" ht="12.75">
      <c r="A246" s="2"/>
      <c r="B246" s="173" t="s">
        <v>1502</v>
      </c>
      <c r="C246" s="173" t="s">
        <v>1502</v>
      </c>
      <c r="D246" s="173" t="s">
        <v>1502</v>
      </c>
      <c r="E246" s="173" t="s">
        <v>1502</v>
      </c>
      <c r="F246" s="173" t="s">
        <v>1502</v>
      </c>
      <c r="G246" s="173" t="s">
        <v>1502</v>
      </c>
    </row>
    <row r="247" spans="1:7" ht="12.75">
      <c r="A247" s="2"/>
      <c r="B247" s="2"/>
      <c r="D247" s="2"/>
      <c r="E247" s="2"/>
      <c r="G247" s="2"/>
    </row>
    <row r="248" spans="1:14" ht="12.75">
      <c r="A248" s="13" t="s">
        <v>1373</v>
      </c>
      <c r="B248" s="70"/>
      <c r="C248" s="70"/>
      <c r="D248" s="179" t="s">
        <v>1523</v>
      </c>
      <c r="E248" s="71"/>
      <c r="F248" s="70"/>
      <c r="G248" s="71"/>
      <c r="H248" s="72"/>
      <c r="I248" s="73"/>
      <c r="J248" s="73"/>
      <c r="K248" s="73"/>
      <c r="L248" s="73"/>
      <c r="M248" s="73"/>
      <c r="N248" s="73"/>
    </row>
    <row r="249" spans="1:14" ht="12.75">
      <c r="A249" s="2"/>
      <c r="B249" s="70"/>
      <c r="C249" s="70"/>
      <c r="D249" s="71" t="s">
        <v>1524</v>
      </c>
      <c r="E249" s="71"/>
      <c r="F249" s="70"/>
      <c r="G249" s="71"/>
      <c r="H249" s="74" t="s">
        <v>1446</v>
      </c>
      <c r="I249" s="74"/>
      <c r="J249" s="74"/>
      <c r="K249" s="74"/>
      <c r="L249" s="74"/>
      <c r="M249" s="74"/>
      <c r="N249" s="74"/>
    </row>
    <row r="250" spans="1:14" ht="12.75">
      <c r="A250" s="2"/>
      <c r="B250" s="180" t="s">
        <v>1502</v>
      </c>
      <c r="C250" s="180" t="s">
        <v>1502</v>
      </c>
      <c r="D250" s="180" t="s">
        <v>1502</v>
      </c>
      <c r="E250" s="180" t="s">
        <v>1502</v>
      </c>
      <c r="F250" s="180" t="s">
        <v>1502</v>
      </c>
      <c r="G250" s="180" t="s">
        <v>1502</v>
      </c>
      <c r="H250" s="73" t="s">
        <v>1449</v>
      </c>
      <c r="I250" s="72"/>
      <c r="J250" s="73"/>
      <c r="K250" s="72"/>
      <c r="L250" s="73"/>
      <c r="M250" s="73"/>
      <c r="N250" s="72"/>
    </row>
    <row r="251" spans="1:14" ht="12.75">
      <c r="A251" s="2"/>
      <c r="B251" s="179" t="s">
        <v>1525</v>
      </c>
      <c r="C251" s="179" t="s">
        <v>1525</v>
      </c>
      <c r="D251" s="70"/>
      <c r="E251" s="70"/>
      <c r="F251" s="70"/>
      <c r="G251" s="70"/>
      <c r="H251" s="73" t="s">
        <v>1452</v>
      </c>
      <c r="I251" s="73" t="s">
        <v>1453</v>
      </c>
      <c r="J251" s="73" t="s">
        <v>1454</v>
      </c>
      <c r="K251" s="73" t="s">
        <v>1454</v>
      </c>
      <c r="L251" s="73" t="s">
        <v>1455</v>
      </c>
      <c r="M251" s="72"/>
      <c r="N251" s="72"/>
    </row>
    <row r="252" spans="1:14" ht="12.75">
      <c r="A252" s="2"/>
      <c r="B252" s="179" t="s">
        <v>1526</v>
      </c>
      <c r="C252" s="179" t="s">
        <v>1526</v>
      </c>
      <c r="D252" s="179" t="s">
        <v>1527</v>
      </c>
      <c r="E252" s="179" t="s">
        <v>1467</v>
      </c>
      <c r="F252" s="179" t="s">
        <v>1528</v>
      </c>
      <c r="G252" s="179" t="s">
        <v>1528</v>
      </c>
      <c r="H252" s="73" t="s">
        <v>1459</v>
      </c>
      <c r="I252" s="73" t="s">
        <v>1460</v>
      </c>
      <c r="J252" s="73" t="s">
        <v>1461</v>
      </c>
      <c r="K252" s="73" t="s">
        <v>1462</v>
      </c>
      <c r="L252" s="73" t="s">
        <v>1462</v>
      </c>
      <c r="M252" s="73" t="s">
        <v>1463</v>
      </c>
      <c r="N252" s="72"/>
    </row>
    <row r="253" spans="2:14" ht="12.75">
      <c r="B253" s="181" t="s">
        <v>1529</v>
      </c>
      <c r="C253" s="181" t="s">
        <v>1447</v>
      </c>
      <c r="D253" s="75"/>
      <c r="E253" s="75"/>
      <c r="F253" s="181" t="s">
        <v>1464</v>
      </c>
      <c r="G253" s="181" t="s">
        <v>1447</v>
      </c>
      <c r="H253" s="74" t="s">
        <v>1468</v>
      </c>
      <c r="I253" s="74" t="s">
        <v>1458</v>
      </c>
      <c r="J253" s="74" t="s">
        <v>1469</v>
      </c>
      <c r="K253" s="74" t="s">
        <v>1470</v>
      </c>
      <c r="L253" s="74" t="s">
        <v>1470</v>
      </c>
      <c r="M253" s="74" t="s">
        <v>1468</v>
      </c>
      <c r="N253" s="74" t="s">
        <v>1467</v>
      </c>
    </row>
    <row r="254" spans="1:18" ht="12.75">
      <c r="A254" s="2" t="s">
        <v>1507</v>
      </c>
      <c r="B254" s="13">
        <v>196337653</v>
      </c>
      <c r="C254" s="13">
        <v>190345432</v>
      </c>
      <c r="D254" s="13">
        <v>8557299</v>
      </c>
      <c r="E254" s="13">
        <v>15477035</v>
      </c>
      <c r="F254" s="173" t="s">
        <v>1508</v>
      </c>
      <c r="G254" s="173" t="s">
        <v>1508</v>
      </c>
      <c r="H254" s="13">
        <v>0</v>
      </c>
      <c r="I254" s="13">
        <v>0</v>
      </c>
      <c r="J254" s="13">
        <v>21680008</v>
      </c>
      <c r="K254" s="13">
        <v>19185985</v>
      </c>
      <c r="L254" s="13">
        <v>0</v>
      </c>
      <c r="M254" s="13">
        <v>0</v>
      </c>
      <c r="N254" s="13">
        <v>0</v>
      </c>
      <c r="O254" s="13"/>
      <c r="P254" s="2"/>
      <c r="Q254" s="2"/>
      <c r="R254" s="2"/>
    </row>
    <row r="255" spans="1:18" ht="12.75">
      <c r="A255" s="2" t="s">
        <v>1509</v>
      </c>
      <c r="B255" s="13">
        <v>209104580</v>
      </c>
      <c r="C255" s="13">
        <v>210763225</v>
      </c>
      <c r="D255" s="13">
        <v>0</v>
      </c>
      <c r="E255" s="13">
        <v>27778813</v>
      </c>
      <c r="F255" s="173" t="s">
        <v>1508</v>
      </c>
      <c r="G255" s="173" t="s">
        <v>1508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11478535</v>
      </c>
      <c r="N255" s="13">
        <v>0</v>
      </c>
      <c r="O255" s="13"/>
      <c r="P255" s="2"/>
      <c r="Q255" s="2"/>
      <c r="R255" s="2"/>
    </row>
    <row r="256" spans="1:18" ht="12.75">
      <c r="A256" s="2" t="s">
        <v>1510</v>
      </c>
      <c r="B256" s="13">
        <v>31870651</v>
      </c>
      <c r="C256" s="13">
        <v>32290208</v>
      </c>
      <c r="D256" s="13">
        <v>0</v>
      </c>
      <c r="E256" s="13">
        <v>0</v>
      </c>
      <c r="F256" s="173" t="s">
        <v>1508</v>
      </c>
      <c r="G256" s="173" t="s">
        <v>1508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/>
      <c r="P256" s="2"/>
      <c r="Q256" s="2"/>
      <c r="R256" s="2"/>
    </row>
    <row r="257" spans="1:18" ht="12.75">
      <c r="A257" s="2" t="s">
        <v>1511</v>
      </c>
      <c r="B257" s="13">
        <v>61825384</v>
      </c>
      <c r="C257" s="13">
        <v>60263504</v>
      </c>
      <c r="D257" s="13">
        <v>0</v>
      </c>
      <c r="E257" s="13">
        <v>0</v>
      </c>
      <c r="F257" s="173" t="s">
        <v>1508</v>
      </c>
      <c r="G257" s="173" t="s">
        <v>1508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/>
      <c r="P257" s="2"/>
      <c r="Q257" s="2"/>
      <c r="R257" s="2"/>
    </row>
    <row r="258" spans="1:18" ht="12.75">
      <c r="A258" s="2" t="s">
        <v>1512</v>
      </c>
      <c r="B258" s="13">
        <v>10822861</v>
      </c>
      <c r="C258" s="13">
        <f>'Apprp. Database'!F586</f>
        <v>10748022</v>
      </c>
      <c r="D258" s="13">
        <v>0</v>
      </c>
      <c r="E258" s="13">
        <v>0</v>
      </c>
      <c r="F258" s="173" t="s">
        <v>1508</v>
      </c>
      <c r="G258" s="173" t="s">
        <v>1508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/>
      <c r="P258" s="2"/>
      <c r="Q258" s="2"/>
      <c r="R258" s="2"/>
    </row>
    <row r="259" spans="1:18" ht="12.75">
      <c r="A259" s="2" t="s">
        <v>1513</v>
      </c>
      <c r="B259" s="13">
        <v>25954881</v>
      </c>
      <c r="C259" s="13">
        <v>26481122</v>
      </c>
      <c r="D259" s="13">
        <v>0</v>
      </c>
      <c r="E259" s="13">
        <v>0</v>
      </c>
      <c r="F259" s="173" t="s">
        <v>1508</v>
      </c>
      <c r="G259" s="173" t="s">
        <v>1508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/>
      <c r="P259" s="2"/>
      <c r="Q259" s="2"/>
      <c r="R259" s="2"/>
    </row>
    <row r="260" spans="1:18" ht="12.75">
      <c r="A260" s="2" t="s">
        <v>1519</v>
      </c>
      <c r="B260" s="13">
        <v>176969654</v>
      </c>
      <c r="C260" s="13">
        <v>181669125</v>
      </c>
      <c r="D260" s="13">
        <v>0</v>
      </c>
      <c r="E260" s="13">
        <v>0</v>
      </c>
      <c r="F260" s="13">
        <v>1972220</v>
      </c>
      <c r="G260" s="13">
        <v>1000000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/>
      <c r="P260" s="2"/>
      <c r="Q260" s="2"/>
      <c r="R260" s="2"/>
    </row>
    <row r="261" spans="1:18" ht="12.75">
      <c r="A261" s="2" t="s">
        <v>1520</v>
      </c>
      <c r="B261" s="13">
        <v>0</v>
      </c>
      <c r="C261" s="13">
        <v>0</v>
      </c>
      <c r="D261" s="12">
        <v>0</v>
      </c>
      <c r="E261" s="13">
        <v>0</v>
      </c>
      <c r="F261">
        <v>0</v>
      </c>
      <c r="G261" s="12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/>
      <c r="P261" s="2"/>
      <c r="Q261" s="2"/>
      <c r="R261" s="2"/>
    </row>
    <row r="262" spans="1:18" ht="12.75">
      <c r="A262" t="s">
        <v>1517</v>
      </c>
      <c r="B262" s="13">
        <v>9226218</v>
      </c>
      <c r="C262" s="13">
        <v>9930467</v>
      </c>
      <c r="D262" s="12">
        <v>0</v>
      </c>
      <c r="E262" s="13">
        <v>0</v>
      </c>
      <c r="F262" s="173" t="s">
        <v>1508</v>
      </c>
      <c r="G262" s="173" t="s">
        <v>1508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/>
      <c r="P262" s="2"/>
      <c r="Q262" s="2"/>
      <c r="R262" s="2"/>
    </row>
    <row r="263" spans="1:18" ht="12.75">
      <c r="A263" s="2"/>
      <c r="B263" s="13"/>
      <c r="D263" s="13"/>
      <c r="E263" s="13"/>
      <c r="G263" s="13"/>
      <c r="H263" s="13"/>
      <c r="I263" s="13"/>
      <c r="J263" s="13"/>
      <c r="K263" s="13"/>
      <c r="L263" s="13"/>
      <c r="M263" s="13"/>
      <c r="N263" s="13"/>
      <c r="O263" s="13"/>
      <c r="P263" s="2"/>
      <c r="Q263" s="2"/>
      <c r="R263" s="2"/>
    </row>
    <row r="264" spans="1:18" ht="12.75">
      <c r="A264" s="2" t="s">
        <v>1518</v>
      </c>
      <c r="B264" s="2">
        <f aca="true" t="shared" si="11" ref="B264:N264">SUM(B254:B262)</f>
        <v>722111882</v>
      </c>
      <c r="C264" s="2">
        <f t="shared" si="11"/>
        <v>722491105</v>
      </c>
      <c r="D264" s="2">
        <f t="shared" si="11"/>
        <v>8557299</v>
      </c>
      <c r="E264" s="2">
        <f t="shared" si="11"/>
        <v>43255848</v>
      </c>
      <c r="F264" s="2">
        <f t="shared" si="11"/>
        <v>1972220</v>
      </c>
      <c r="G264" s="2">
        <f t="shared" si="11"/>
        <v>1000000</v>
      </c>
      <c r="H264" s="2">
        <f t="shared" si="11"/>
        <v>0</v>
      </c>
      <c r="I264" s="2">
        <f t="shared" si="11"/>
        <v>0</v>
      </c>
      <c r="J264" s="2">
        <f t="shared" si="11"/>
        <v>21680008</v>
      </c>
      <c r="K264" s="2">
        <f t="shared" si="11"/>
        <v>19185985</v>
      </c>
      <c r="L264" s="2">
        <f t="shared" si="11"/>
        <v>0</v>
      </c>
      <c r="M264" s="2">
        <f t="shared" si="11"/>
        <v>11478535</v>
      </c>
      <c r="N264" s="2">
        <f t="shared" si="11"/>
        <v>0</v>
      </c>
      <c r="O264" s="2"/>
      <c r="P264" s="2"/>
      <c r="Q264" s="2"/>
      <c r="R264" s="2"/>
    </row>
    <row r="265" spans="1:18" ht="12.75">
      <c r="A265" s="2"/>
      <c r="B265" s="173" t="s">
        <v>1502</v>
      </c>
      <c r="C265" s="173" t="s">
        <v>1502</v>
      </c>
      <c r="D265" s="173" t="s">
        <v>1502</v>
      </c>
      <c r="E265" s="173" t="s">
        <v>1502</v>
      </c>
      <c r="F265" s="173" t="s">
        <v>1502</v>
      </c>
      <c r="G265" s="173" t="s">
        <v>1502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.75">
      <c r="A266" s="2"/>
      <c r="B266" s="2"/>
      <c r="D266" s="2"/>
      <c r="E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4" ht="12.75">
      <c r="A267" s="13" t="s">
        <v>1408</v>
      </c>
      <c r="B267" s="70"/>
      <c r="C267" s="70"/>
      <c r="D267" s="179" t="s">
        <v>1523</v>
      </c>
      <c r="E267" s="71"/>
      <c r="F267" s="70"/>
      <c r="G267" s="71"/>
      <c r="H267" s="72"/>
      <c r="I267" s="73"/>
      <c r="J267" s="73"/>
      <c r="K267" s="73"/>
      <c r="L267" s="73"/>
      <c r="M267" s="73"/>
      <c r="N267" s="73"/>
    </row>
    <row r="268" spans="1:14" ht="12.75">
      <c r="A268" s="2"/>
      <c r="B268" s="70"/>
      <c r="C268" s="70"/>
      <c r="D268" s="71" t="s">
        <v>1524</v>
      </c>
      <c r="E268" s="71"/>
      <c r="F268" s="70"/>
      <c r="G268" s="71"/>
      <c r="H268" s="74" t="s">
        <v>1446</v>
      </c>
      <c r="I268" s="74"/>
      <c r="J268" s="74"/>
      <c r="K268" s="74"/>
      <c r="L268" s="74"/>
      <c r="M268" s="74"/>
      <c r="N268" s="74"/>
    </row>
    <row r="269" spans="1:14" ht="12.75">
      <c r="A269" s="2"/>
      <c r="B269" s="180" t="s">
        <v>1502</v>
      </c>
      <c r="C269" s="180" t="s">
        <v>1502</v>
      </c>
      <c r="D269" s="180" t="s">
        <v>1502</v>
      </c>
      <c r="E269" s="180" t="s">
        <v>1502</v>
      </c>
      <c r="F269" s="180" t="s">
        <v>1502</v>
      </c>
      <c r="G269" s="180" t="s">
        <v>1502</v>
      </c>
      <c r="H269" s="73" t="s">
        <v>1449</v>
      </c>
      <c r="I269" s="72"/>
      <c r="J269" s="73"/>
      <c r="K269" s="72"/>
      <c r="L269" s="73"/>
      <c r="M269" s="73"/>
      <c r="N269" s="72"/>
    </row>
    <row r="270" spans="1:14" ht="12.75">
      <c r="A270" s="2"/>
      <c r="B270" s="179" t="s">
        <v>1525</v>
      </c>
      <c r="C270" s="179" t="s">
        <v>1525</v>
      </c>
      <c r="D270" s="70"/>
      <c r="E270" s="70"/>
      <c r="F270" s="70"/>
      <c r="G270" s="70"/>
      <c r="H270" s="73" t="s">
        <v>1452</v>
      </c>
      <c r="I270" s="73" t="s">
        <v>1453</v>
      </c>
      <c r="J270" s="73" t="s">
        <v>1454</v>
      </c>
      <c r="K270" s="73" t="s">
        <v>1454</v>
      </c>
      <c r="L270" s="73" t="s">
        <v>1455</v>
      </c>
      <c r="M270" s="72"/>
      <c r="N270" s="72"/>
    </row>
    <row r="271" spans="1:14" ht="12.75">
      <c r="A271" s="2"/>
      <c r="B271" s="179" t="s">
        <v>1526</v>
      </c>
      <c r="C271" s="179" t="s">
        <v>1526</v>
      </c>
      <c r="D271" s="179" t="s">
        <v>1527</v>
      </c>
      <c r="E271" s="179" t="s">
        <v>1467</v>
      </c>
      <c r="F271" s="179" t="s">
        <v>1528</v>
      </c>
      <c r="G271" s="179" t="s">
        <v>1528</v>
      </c>
      <c r="H271" s="73" t="s">
        <v>1459</v>
      </c>
      <c r="I271" s="73" t="s">
        <v>1460</v>
      </c>
      <c r="J271" s="73" t="s">
        <v>1461</v>
      </c>
      <c r="K271" s="73" t="s">
        <v>1462</v>
      </c>
      <c r="L271" s="73" t="s">
        <v>1462</v>
      </c>
      <c r="M271" s="73" t="s">
        <v>1463</v>
      </c>
      <c r="N271" s="72"/>
    </row>
    <row r="272" spans="2:14" ht="12.75">
      <c r="B272" s="181" t="s">
        <v>1529</v>
      </c>
      <c r="C272" s="181" t="s">
        <v>1447</v>
      </c>
      <c r="D272" s="75"/>
      <c r="E272" s="75"/>
      <c r="F272" s="181" t="s">
        <v>1464</v>
      </c>
      <c r="G272" s="181" t="s">
        <v>1447</v>
      </c>
      <c r="H272" s="74" t="s">
        <v>1468</v>
      </c>
      <c r="I272" s="74" t="s">
        <v>1458</v>
      </c>
      <c r="J272" s="74" t="s">
        <v>1469</v>
      </c>
      <c r="K272" s="74" t="s">
        <v>1470</v>
      </c>
      <c r="L272" s="74" t="s">
        <v>1470</v>
      </c>
      <c r="M272" s="74" t="s">
        <v>1468</v>
      </c>
      <c r="N272" s="74" t="s">
        <v>1467</v>
      </c>
    </row>
    <row r="273" spans="1:17" ht="12.75">
      <c r="A273" s="2" t="s">
        <v>1507</v>
      </c>
      <c r="B273" s="13">
        <v>75730297</v>
      </c>
      <c r="C273" s="13">
        <v>79395448</v>
      </c>
      <c r="D273" s="13">
        <v>0</v>
      </c>
      <c r="E273" s="13">
        <v>58656213</v>
      </c>
      <c r="F273" s="173" t="s">
        <v>1508</v>
      </c>
      <c r="G273" s="173" t="s">
        <v>1508</v>
      </c>
      <c r="H273" s="13">
        <v>1192381</v>
      </c>
      <c r="I273" s="13">
        <v>0</v>
      </c>
      <c r="J273" s="13">
        <v>9103632</v>
      </c>
      <c r="K273" s="13">
        <v>6600798</v>
      </c>
      <c r="L273" s="13">
        <v>1920422</v>
      </c>
      <c r="M273" s="13">
        <v>2823546</v>
      </c>
      <c r="N273" s="13">
        <v>2048351</v>
      </c>
      <c r="O273" s="12"/>
      <c r="P273" s="12"/>
      <c r="Q273" s="12"/>
    </row>
    <row r="274" spans="1:17" ht="12.75">
      <c r="A274" s="2" t="s">
        <v>1509</v>
      </c>
      <c r="B274" s="13">
        <v>0</v>
      </c>
      <c r="C274" s="13">
        <v>0</v>
      </c>
      <c r="D274" s="13">
        <v>0</v>
      </c>
      <c r="E274" s="13">
        <v>0</v>
      </c>
      <c r="F274" s="173" t="s">
        <v>1508</v>
      </c>
      <c r="G274" s="173" t="s">
        <v>1508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2"/>
      <c r="P274" s="12"/>
      <c r="Q274" s="12"/>
    </row>
    <row r="275" spans="1:17" ht="12.75">
      <c r="A275" s="2" t="s">
        <v>1510</v>
      </c>
      <c r="B275" s="13">
        <v>31176382</v>
      </c>
      <c r="C275" s="13">
        <v>33367847</v>
      </c>
      <c r="D275" s="13">
        <v>0</v>
      </c>
      <c r="E275" s="13">
        <v>12915650</v>
      </c>
      <c r="F275" s="173" t="s">
        <v>1508</v>
      </c>
      <c r="G275" s="173" t="s">
        <v>1508</v>
      </c>
      <c r="H275" s="13">
        <v>857123</v>
      </c>
      <c r="I275" s="13">
        <v>0</v>
      </c>
      <c r="J275" s="13">
        <v>0</v>
      </c>
      <c r="K275" s="13">
        <v>0</v>
      </c>
      <c r="L275" s="13">
        <v>0</v>
      </c>
      <c r="M275" s="13">
        <v>1222420</v>
      </c>
      <c r="N275" s="13">
        <v>0</v>
      </c>
      <c r="O275" s="12"/>
      <c r="P275" s="12"/>
      <c r="Q275" s="12"/>
    </row>
    <row r="276" spans="1:17" ht="12.75">
      <c r="A276" s="2" t="s">
        <v>1511</v>
      </c>
      <c r="B276" s="13">
        <v>0</v>
      </c>
      <c r="C276" s="13">
        <v>0</v>
      </c>
      <c r="D276" s="13">
        <v>0</v>
      </c>
      <c r="E276" s="13">
        <v>0</v>
      </c>
      <c r="F276" s="173" t="s">
        <v>1508</v>
      </c>
      <c r="G276" s="173" t="s">
        <v>1508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2"/>
      <c r="P276" s="12"/>
      <c r="Q276" s="12"/>
    </row>
    <row r="277" spans="1:17" ht="12.75">
      <c r="A277" s="2" t="s">
        <v>1512</v>
      </c>
      <c r="B277" s="13">
        <v>0</v>
      </c>
      <c r="C277" s="13">
        <v>0</v>
      </c>
      <c r="D277" s="13">
        <v>0</v>
      </c>
      <c r="E277" s="13">
        <v>0</v>
      </c>
      <c r="F277" s="173" t="s">
        <v>1508</v>
      </c>
      <c r="G277" s="173" t="s">
        <v>1508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2"/>
      <c r="P277" s="12"/>
      <c r="Q277" s="12"/>
    </row>
    <row r="278" spans="1:17" ht="12.75">
      <c r="A278" s="2" t="s">
        <v>1513</v>
      </c>
      <c r="B278" s="13">
        <v>70266430</v>
      </c>
      <c r="C278" s="13">
        <v>73914712</v>
      </c>
      <c r="D278" s="13">
        <v>0</v>
      </c>
      <c r="E278" s="13">
        <v>0</v>
      </c>
      <c r="F278" s="173" t="s">
        <v>1508</v>
      </c>
      <c r="G278" s="173" t="s">
        <v>1508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2"/>
      <c r="P278" s="12"/>
      <c r="Q278" s="12"/>
    </row>
    <row r="279" spans="1:17" ht="12.75">
      <c r="A279" s="2" t="s">
        <v>1519</v>
      </c>
      <c r="B279" s="13">
        <v>18301104</v>
      </c>
      <c r="C279" s="13">
        <v>19756735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2"/>
      <c r="P279" s="12"/>
      <c r="Q279" s="12"/>
    </row>
    <row r="280" spans="1:17" ht="12.75">
      <c r="A280" s="2" t="s">
        <v>1520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2"/>
      <c r="P280" s="12"/>
      <c r="Q280" s="12"/>
    </row>
    <row r="281" spans="1:17" ht="12.75">
      <c r="A281" t="s">
        <v>1517</v>
      </c>
      <c r="B281" s="13">
        <v>6191288</v>
      </c>
      <c r="C281" s="13">
        <v>6399152</v>
      </c>
      <c r="D281" s="13">
        <v>0</v>
      </c>
      <c r="E281" s="13">
        <v>6195632</v>
      </c>
      <c r="F281" s="173" t="s">
        <v>1508</v>
      </c>
      <c r="G281" s="173" t="s">
        <v>1508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2"/>
      <c r="P281" s="12"/>
      <c r="Q281" s="12"/>
    </row>
    <row r="282" spans="1:17" ht="12.75">
      <c r="A282" s="2"/>
      <c r="B282" s="2"/>
      <c r="C282" s="2"/>
      <c r="D282" s="2"/>
      <c r="E282" s="2"/>
      <c r="F282" s="2"/>
      <c r="G282" s="2"/>
      <c r="H282" s="13"/>
      <c r="I282" s="13"/>
      <c r="J282" s="13"/>
      <c r="K282" s="13"/>
      <c r="L282" s="13"/>
      <c r="M282" s="13"/>
      <c r="N282" s="13"/>
      <c r="O282" s="12"/>
      <c r="P282" s="12"/>
      <c r="Q282" s="12"/>
    </row>
    <row r="283" spans="1:17" ht="12.75">
      <c r="A283" s="2" t="s">
        <v>1518</v>
      </c>
      <c r="B283" s="2">
        <f aca="true" t="shared" si="12" ref="B283:N283">SUM(B273:B281)</f>
        <v>201665501</v>
      </c>
      <c r="C283" s="2">
        <f t="shared" si="12"/>
        <v>212833894</v>
      </c>
      <c r="D283" s="2">
        <f t="shared" si="12"/>
        <v>0</v>
      </c>
      <c r="E283" s="2">
        <f t="shared" si="12"/>
        <v>77767495</v>
      </c>
      <c r="F283" s="2">
        <f t="shared" si="12"/>
        <v>0</v>
      </c>
      <c r="G283" s="2">
        <f t="shared" si="12"/>
        <v>0</v>
      </c>
      <c r="H283" s="2">
        <f t="shared" si="12"/>
        <v>2049504</v>
      </c>
      <c r="I283" s="2">
        <f t="shared" si="12"/>
        <v>0</v>
      </c>
      <c r="J283" s="2">
        <f t="shared" si="12"/>
        <v>9103632</v>
      </c>
      <c r="K283" s="2">
        <f t="shared" si="12"/>
        <v>6600798</v>
      </c>
      <c r="L283" s="2">
        <f t="shared" si="12"/>
        <v>1920422</v>
      </c>
      <c r="M283" s="2">
        <f t="shared" si="12"/>
        <v>4045966</v>
      </c>
      <c r="N283" s="2">
        <f t="shared" si="12"/>
        <v>2048351</v>
      </c>
      <c r="O283" s="12"/>
      <c r="P283" s="12"/>
      <c r="Q283" s="12"/>
    </row>
    <row r="284" spans="1:7" ht="12.75">
      <c r="A284" s="2"/>
      <c r="B284" s="173" t="s">
        <v>1502</v>
      </c>
      <c r="C284" s="173" t="s">
        <v>1502</v>
      </c>
      <c r="D284" s="173" t="s">
        <v>1502</v>
      </c>
      <c r="E284" s="173" t="s">
        <v>1502</v>
      </c>
      <c r="F284" s="173" t="s">
        <v>1502</v>
      </c>
      <c r="G284" s="173" t="s">
        <v>1502</v>
      </c>
    </row>
    <row r="285" spans="2:7" ht="12.75">
      <c r="B285" s="178" t="s">
        <v>1522</v>
      </c>
      <c r="C285" s="178" t="s">
        <v>1522</v>
      </c>
      <c r="D285" s="178" t="s">
        <v>1522</v>
      </c>
      <c r="E285" s="178" t="s">
        <v>1522</v>
      </c>
      <c r="F285" s="178" t="s">
        <v>1522</v>
      </c>
      <c r="G285" s="178" t="s">
        <v>1522</v>
      </c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H286"/>
  <sheetViews>
    <sheetView showGridLines="0" defaultGridColor="0" zoomScale="87" zoomScaleNormal="87" colorId="22" workbookViewId="0" topLeftCell="A1">
      <selection activeCell="E12" sqref="E12"/>
    </sheetView>
  </sheetViews>
  <sheetFormatPr defaultColWidth="9.7109375" defaultRowHeight="12.75"/>
  <sheetData>
    <row r="1" spans="1:5" ht="12.75">
      <c r="A1" s="13" t="s">
        <v>127</v>
      </c>
      <c r="B1" s="2" t="s">
        <v>1530</v>
      </c>
      <c r="C1" s="2"/>
      <c r="E1" s="2"/>
    </row>
    <row r="2" spans="1:5" ht="12.75">
      <c r="A2" s="2" t="s">
        <v>1531</v>
      </c>
      <c r="B2" s="173" t="s">
        <v>1502</v>
      </c>
      <c r="C2" s="173" t="s">
        <v>1502</v>
      </c>
      <c r="D2" s="173" t="s">
        <v>1502</v>
      </c>
      <c r="E2" s="173" t="s">
        <v>1502</v>
      </c>
    </row>
    <row r="3" spans="1:5" ht="12.75">
      <c r="A3" s="2" t="s">
        <v>1532</v>
      </c>
      <c r="B3" s="182" t="s">
        <v>1533</v>
      </c>
      <c r="C3" s="182" t="s">
        <v>113</v>
      </c>
      <c r="D3" s="157" t="s">
        <v>1534</v>
      </c>
      <c r="E3" s="2" t="s">
        <v>1535</v>
      </c>
    </row>
    <row r="4" spans="1:5" ht="12.75">
      <c r="A4" s="2" t="s">
        <v>1536</v>
      </c>
      <c r="B4" s="2"/>
      <c r="C4" s="2"/>
      <c r="E4" s="2"/>
    </row>
    <row r="5" ht="12.75">
      <c r="A5" s="2"/>
    </row>
    <row r="6" spans="1:5" ht="12.75">
      <c r="A6" s="2" t="s">
        <v>1507</v>
      </c>
      <c r="B6" s="2">
        <f>'SCH Summary'!C7/30</f>
        <v>33094.666666666664</v>
      </c>
      <c r="C6" s="2">
        <f>'SCH Summary'!E7/24</f>
        <v>5293.416666666667</v>
      </c>
      <c r="E6" s="2">
        <f aca="true" t="shared" si="0" ref="E6:E11">SUM(B6:D6)</f>
        <v>38388.08333333333</v>
      </c>
    </row>
    <row r="7" spans="1:5" ht="12.75">
      <c r="A7" s="2" t="s">
        <v>1509</v>
      </c>
      <c r="B7" s="2">
        <f>'SCH Summary'!C8/30</f>
        <v>9039</v>
      </c>
      <c r="C7" s="2">
        <f>'SCH Summary'!E8/24</f>
        <v>2465.5416666666665</v>
      </c>
      <c r="E7" s="2">
        <f t="shared" si="0"/>
        <v>11504.541666666666</v>
      </c>
    </row>
    <row r="8" spans="1:5" ht="12.75">
      <c r="A8" s="2" t="s">
        <v>1510</v>
      </c>
      <c r="B8" s="2">
        <f>'SCH Summary'!C9/30</f>
        <v>22570.066666666666</v>
      </c>
      <c r="C8" s="2">
        <f>'SCH Summary'!E9/24</f>
        <v>3601.75</v>
      </c>
      <c r="E8" s="2">
        <f t="shared" si="0"/>
        <v>26171.816666666666</v>
      </c>
    </row>
    <row r="9" spans="1:5" ht="12.75">
      <c r="A9" s="2" t="s">
        <v>1511</v>
      </c>
      <c r="B9" s="2">
        <f>'SCH Summary'!C10/30</f>
        <v>14711.733333333334</v>
      </c>
      <c r="C9" s="2">
        <f>'SCH Summary'!E10/24</f>
        <v>2520.375</v>
      </c>
      <c r="E9" s="2">
        <f t="shared" si="0"/>
        <v>17232.108333333334</v>
      </c>
    </row>
    <row r="10" spans="1:5" ht="12.75">
      <c r="A10" s="2" t="s">
        <v>1512</v>
      </c>
      <c r="B10" s="2">
        <f>'SCH Summary'!C11/30</f>
        <v>12718.9</v>
      </c>
      <c r="C10" s="2">
        <f>'SCH Summary'!E11/24</f>
        <v>1469.9166666666667</v>
      </c>
      <c r="E10" s="2">
        <f t="shared" si="0"/>
        <v>14188.816666666666</v>
      </c>
    </row>
    <row r="11" spans="1:5" ht="12.75">
      <c r="A11" s="2" t="s">
        <v>1513</v>
      </c>
      <c r="B11" s="2">
        <f>'SCH Summary'!C12/30</f>
        <v>2690.9666666666667</v>
      </c>
      <c r="C11" s="2">
        <f>'SCH Summary'!E12/24</f>
        <v>0</v>
      </c>
      <c r="E11" s="2">
        <f t="shared" si="0"/>
        <v>2690.9666666666667</v>
      </c>
    </row>
    <row r="12" spans="1:5" ht="12.75">
      <c r="A12" s="2" t="s">
        <v>1514</v>
      </c>
      <c r="B12" s="2">
        <f>'SCH Summary'!C13/45</f>
        <v>57972.77777777778</v>
      </c>
      <c r="C12" s="2">
        <f>'SCH Summary'!E13/24</f>
        <v>0</v>
      </c>
      <c r="D12">
        <f>'SCH Summary'!D13/900</f>
        <v>0</v>
      </c>
      <c r="E12" s="2">
        <f>SUM(B12:D13)</f>
        <v>65071.84444444445</v>
      </c>
    </row>
    <row r="13" spans="1:5" ht="12.75">
      <c r="A13" s="2" t="s">
        <v>1515</v>
      </c>
      <c r="B13" s="2">
        <f>'SCH Summary'!C14/30</f>
        <v>7099.066666666667</v>
      </c>
      <c r="C13" s="2"/>
      <c r="E13" s="2"/>
    </row>
    <row r="14" spans="1:5" ht="12.75">
      <c r="A14" s="2" t="s">
        <v>1520</v>
      </c>
      <c r="B14" s="2">
        <f>'SCH Summary'!C15/45</f>
        <v>8371.111111111111</v>
      </c>
      <c r="C14" s="2">
        <f>'SCH Summary'!E15/24</f>
        <v>0</v>
      </c>
      <c r="D14">
        <f>'SCH Summary'!D15/900</f>
        <v>0</v>
      </c>
      <c r="E14" s="2">
        <f>SUM(B14:D14)</f>
        <v>8371.111111111111</v>
      </c>
    </row>
    <row r="15" spans="1:5" ht="12.75">
      <c r="A15" t="s">
        <v>1517</v>
      </c>
      <c r="B15" s="2">
        <f>'SCH Summary'!C16/30</f>
        <v>0</v>
      </c>
      <c r="C15" s="2">
        <f>'SCH Summary'!E16/24</f>
        <v>0</v>
      </c>
      <c r="E15" s="2">
        <f>SUM(B15:D15)</f>
        <v>0</v>
      </c>
    </row>
    <row r="16" spans="2:5" ht="12.75">
      <c r="B16" s="2"/>
      <c r="C16" s="2"/>
      <c r="E16" s="2"/>
    </row>
    <row r="17" spans="2:5" ht="12.75">
      <c r="B17" s="2">
        <f>SUM(B6:B15)</f>
        <v>168268.2888888889</v>
      </c>
      <c r="C17" s="2">
        <f>SUM(C6:C15)</f>
        <v>15351</v>
      </c>
      <c r="D17" s="2">
        <f>SUM(D6:D15)</f>
        <v>0</v>
      </c>
      <c r="E17" s="2">
        <f>SUM(B17:D17)</f>
        <v>183619.2888888889</v>
      </c>
    </row>
    <row r="18" spans="2:5" ht="12.75">
      <c r="B18" s="173" t="s">
        <v>1502</v>
      </c>
      <c r="C18" s="173" t="s">
        <v>1502</v>
      </c>
      <c r="D18" s="173" t="s">
        <v>1502</v>
      </c>
      <c r="E18" s="173" t="s">
        <v>1502</v>
      </c>
    </row>
    <row r="19" spans="1:5" ht="12.75">
      <c r="A19" s="2"/>
      <c r="B19" s="2"/>
      <c r="C19" s="2"/>
      <c r="E19" s="2"/>
    </row>
    <row r="20" spans="1:5" ht="12.75">
      <c r="A20" s="2"/>
      <c r="B20" s="2"/>
      <c r="C20" s="2"/>
      <c r="E20" s="2"/>
    </row>
    <row r="21" spans="1:5" ht="12.75">
      <c r="A21" s="13" t="s">
        <v>239</v>
      </c>
      <c r="B21" s="2" t="s">
        <v>1530</v>
      </c>
      <c r="C21" s="2"/>
      <c r="E21" s="2"/>
    </row>
    <row r="22" spans="1:5" ht="12.75">
      <c r="A22" s="2" t="s">
        <v>128</v>
      </c>
      <c r="B22" s="173" t="s">
        <v>1502</v>
      </c>
      <c r="C22" s="173" t="s">
        <v>1502</v>
      </c>
      <c r="D22" s="173" t="s">
        <v>1502</v>
      </c>
      <c r="E22" s="173" t="s">
        <v>1502</v>
      </c>
    </row>
    <row r="23" spans="2:5" ht="12.75">
      <c r="B23" s="2" t="s">
        <v>1537</v>
      </c>
      <c r="C23" s="2" t="s">
        <v>1538</v>
      </c>
      <c r="D23" s="157" t="s">
        <v>1539</v>
      </c>
      <c r="E23" s="2" t="s">
        <v>1540</v>
      </c>
    </row>
    <row r="24" spans="1:5" ht="12.75">
      <c r="A24" s="2"/>
      <c r="B24" s="2"/>
      <c r="C24" s="2"/>
      <c r="E24" s="2"/>
    </row>
    <row r="25" ht="12.75">
      <c r="A25" s="2"/>
    </row>
    <row r="26" spans="1:5" ht="12.75">
      <c r="A26" s="2" t="s">
        <v>1507</v>
      </c>
      <c r="B26" s="2">
        <f>'SCH Summary'!C27/30</f>
        <v>11059.866666666667</v>
      </c>
      <c r="C26" s="2">
        <f>'SCH Summary'!E27/24</f>
        <v>2246.0833333333335</v>
      </c>
      <c r="E26" s="2">
        <f aca="true" t="shared" si="1" ref="E26:E34">SUM(B26:D26)</f>
        <v>13305.95</v>
      </c>
    </row>
    <row r="27" spans="1:5" ht="12.75">
      <c r="A27" s="2" t="s">
        <v>1509</v>
      </c>
      <c r="B27" s="2">
        <f>'SCH Summary'!C28/30</f>
        <v>0</v>
      </c>
      <c r="C27" s="2">
        <f>'SCH Summary'!E28/24</f>
        <v>0</v>
      </c>
      <c r="E27" s="2">
        <f t="shared" si="1"/>
        <v>0</v>
      </c>
    </row>
    <row r="28" spans="1:5" ht="12.75">
      <c r="A28" s="2" t="s">
        <v>1510</v>
      </c>
      <c r="B28" s="2">
        <f>'SCH Summary'!C29/30</f>
        <v>22161.3</v>
      </c>
      <c r="C28" s="2">
        <f>'SCH Summary'!E29/24</f>
        <v>2881.2916666666665</v>
      </c>
      <c r="E28" s="2">
        <f t="shared" si="1"/>
        <v>25042.591666666667</v>
      </c>
    </row>
    <row r="29" spans="1:5" ht="12.75">
      <c r="A29" s="2" t="s">
        <v>1511</v>
      </c>
      <c r="B29" s="2">
        <f>'SCH Summary'!C30/30</f>
        <v>0</v>
      </c>
      <c r="C29" s="2">
        <f>'SCH Summary'!E30/24</f>
        <v>0</v>
      </c>
      <c r="E29" s="2">
        <f t="shared" si="1"/>
        <v>0</v>
      </c>
    </row>
    <row r="30" spans="1:5" ht="12.75">
      <c r="A30" s="2" t="s">
        <v>1512</v>
      </c>
      <c r="B30" s="2">
        <f>'SCH Summary'!C31/30</f>
        <v>7162.233333333334</v>
      </c>
      <c r="C30" s="2">
        <f>'SCH Summary'!E31/24</f>
        <v>300.4583333333333</v>
      </c>
      <c r="E30" s="2">
        <f t="shared" si="1"/>
        <v>7462.691666666667</v>
      </c>
    </row>
    <row r="31" spans="1:5" ht="12.75">
      <c r="A31" s="2" t="s">
        <v>1513</v>
      </c>
      <c r="B31" s="2">
        <f>'SCH Summary'!C32/30</f>
        <v>7512.2</v>
      </c>
      <c r="C31" s="2">
        <f>'SCH Summary'!E32/24</f>
        <v>214.29166666666666</v>
      </c>
      <c r="E31" s="2">
        <f t="shared" si="1"/>
        <v>7726.491666666667</v>
      </c>
    </row>
    <row r="32" spans="1:5" ht="12.75">
      <c r="A32" s="2" t="s">
        <v>1519</v>
      </c>
      <c r="B32" s="2">
        <f>'SCH Summary'!C33/30</f>
        <v>18726.8</v>
      </c>
      <c r="C32" s="2">
        <f>'SCH Summary'!E33/24</f>
        <v>0</v>
      </c>
      <c r="D32">
        <f>'SCH Summary'!D33/900</f>
        <v>0</v>
      </c>
      <c r="E32" s="2">
        <f t="shared" si="1"/>
        <v>18726.8</v>
      </c>
    </row>
    <row r="33" spans="1:5" ht="12.75">
      <c r="A33" s="2" t="s">
        <v>1520</v>
      </c>
      <c r="B33" s="2">
        <f>'SCH Summary'!C34/30</f>
        <v>0</v>
      </c>
      <c r="C33" s="2">
        <f>'SCH Summary'!E34/24</f>
        <v>0</v>
      </c>
      <c r="D33">
        <f>'SCH Summary'!D34/900</f>
        <v>0</v>
      </c>
      <c r="E33" s="2">
        <f t="shared" si="1"/>
        <v>0</v>
      </c>
    </row>
    <row r="34" spans="1:5" ht="12.75">
      <c r="A34" t="s">
        <v>1517</v>
      </c>
      <c r="B34" s="2">
        <f>'SCH Summary'!C35/30</f>
        <v>0</v>
      </c>
      <c r="C34" s="2">
        <f>'SCH Summary'!E35/24</f>
        <v>0</v>
      </c>
      <c r="E34" s="2">
        <f t="shared" si="1"/>
        <v>0</v>
      </c>
    </row>
    <row r="35" spans="1:5" ht="12.75">
      <c r="A35" s="2"/>
      <c r="B35" s="2"/>
      <c r="C35" s="2"/>
      <c r="E35" s="2"/>
    </row>
    <row r="36" spans="2:5" ht="12.75">
      <c r="B36" s="2">
        <f>SUM(B26:B34)</f>
        <v>66622.4</v>
      </c>
      <c r="C36" s="2">
        <f>SUM(C26:C34)</f>
        <v>5642.125</v>
      </c>
      <c r="D36" s="2">
        <f>SUM(D26:D34)</f>
        <v>0</v>
      </c>
      <c r="E36" s="2">
        <f>SUM(B36:D36)</f>
        <v>72264.525</v>
      </c>
    </row>
    <row r="37" spans="2:5" ht="12.75">
      <c r="B37" s="173" t="s">
        <v>1502</v>
      </c>
      <c r="C37" s="173" t="s">
        <v>1502</v>
      </c>
      <c r="D37" s="173" t="s">
        <v>1502</v>
      </c>
      <c r="E37" s="173" t="s">
        <v>1502</v>
      </c>
    </row>
    <row r="38" spans="2:5" ht="12.75">
      <c r="B38" s="2"/>
      <c r="C38" s="2"/>
      <c r="E38" s="2"/>
    </row>
    <row r="39" spans="2:5" ht="12.75">
      <c r="B39" s="2"/>
      <c r="C39" s="2"/>
      <c r="E39" s="2"/>
    </row>
    <row r="40" spans="1:5" ht="12.75">
      <c r="A40" s="13" t="s">
        <v>307</v>
      </c>
      <c r="B40" s="2" t="s">
        <v>1530</v>
      </c>
      <c r="C40" s="2"/>
      <c r="E40" s="2"/>
    </row>
    <row r="41" spans="1:5" ht="12.75">
      <c r="A41" s="2" t="s">
        <v>128</v>
      </c>
      <c r="B41" s="173" t="s">
        <v>1502</v>
      </c>
      <c r="C41" s="173" t="s">
        <v>1502</v>
      </c>
      <c r="D41" s="173" t="s">
        <v>1502</v>
      </c>
      <c r="E41" s="173" t="s">
        <v>1502</v>
      </c>
    </row>
    <row r="42" spans="1:5" ht="12.75">
      <c r="A42" s="2"/>
      <c r="B42" s="2" t="s">
        <v>1537</v>
      </c>
      <c r="C42" s="2" t="s">
        <v>1538</v>
      </c>
      <c r="D42" s="157" t="s">
        <v>1539</v>
      </c>
      <c r="E42" s="2" t="s">
        <v>1540</v>
      </c>
    </row>
    <row r="43" spans="1:5" ht="12.75">
      <c r="A43" s="2"/>
      <c r="B43" s="2"/>
      <c r="C43" s="2"/>
      <c r="E43" s="2"/>
    </row>
    <row r="44" ht="12.75">
      <c r="A44" s="2"/>
    </row>
    <row r="45" spans="1:5" ht="12.75">
      <c r="A45" s="2" t="s">
        <v>1507</v>
      </c>
      <c r="B45" s="2">
        <f>'SCH Summary'!C46/30</f>
        <v>68375</v>
      </c>
      <c r="C45" s="2">
        <f>'SCH Summary'!E46/24</f>
        <v>15772.958333333334</v>
      </c>
      <c r="E45" s="2">
        <f aca="true" t="shared" si="2" ref="E45:E53">SUM(B45:D45)</f>
        <v>84147.95833333333</v>
      </c>
    </row>
    <row r="46" spans="1:5" ht="12.75">
      <c r="A46" s="2" t="s">
        <v>1509</v>
      </c>
      <c r="B46" s="2">
        <f>'SCH Summary'!C47/30</f>
        <v>28823.4</v>
      </c>
      <c r="C46" s="2">
        <f>'SCH Summary'!E47/24</f>
        <v>4450.666666666667</v>
      </c>
      <c r="E46" s="2">
        <f t="shared" si="2"/>
        <v>33274.066666666666</v>
      </c>
    </row>
    <row r="47" spans="1:5" ht="12.75">
      <c r="A47" s="2" t="s">
        <v>1510</v>
      </c>
      <c r="B47" s="2">
        <f>'SCH Summary'!C48/30</f>
        <v>22849.4</v>
      </c>
      <c r="C47" s="2">
        <f>'SCH Summary'!E48/24</f>
        <v>4100.166666666667</v>
      </c>
      <c r="E47" s="2">
        <f t="shared" si="2"/>
        <v>26949.56666666667</v>
      </c>
    </row>
    <row r="48" spans="1:5" ht="12.75">
      <c r="A48" s="2" t="s">
        <v>1511</v>
      </c>
      <c r="B48" s="2">
        <f>'SCH Summary'!C49/30</f>
        <v>15210.566666666668</v>
      </c>
      <c r="C48" s="2">
        <f>'SCH Summary'!E49/24</f>
        <v>1623.875</v>
      </c>
      <c r="E48" s="2">
        <f t="shared" si="2"/>
        <v>16834.441666666666</v>
      </c>
    </row>
    <row r="49" spans="1:5" ht="12.75">
      <c r="A49" s="2" t="s">
        <v>1512</v>
      </c>
      <c r="B49" s="2">
        <f>'SCH Summary'!C50/30</f>
        <v>0</v>
      </c>
      <c r="C49" s="2">
        <f>'SCH Summary'!E50/24</f>
        <v>0</v>
      </c>
      <c r="E49" s="2">
        <f t="shared" si="2"/>
        <v>0</v>
      </c>
    </row>
    <row r="50" spans="1:5" ht="12.75">
      <c r="A50" s="2" t="s">
        <v>1513</v>
      </c>
      <c r="B50" s="2">
        <f>'SCH Summary'!C51/30</f>
        <v>0</v>
      </c>
      <c r="C50" s="2">
        <f>'SCH Summary'!E51/24</f>
        <v>0</v>
      </c>
      <c r="E50" s="2">
        <f t="shared" si="2"/>
        <v>0</v>
      </c>
    </row>
    <row r="51" spans="1:5" ht="12.75">
      <c r="A51" s="2" t="s">
        <v>1519</v>
      </c>
      <c r="B51" s="2">
        <f>'SCH Summary'!C52/30</f>
        <v>187258.06666666668</v>
      </c>
      <c r="C51" s="2">
        <f>'SCH Summary'!E52/24</f>
        <v>0</v>
      </c>
      <c r="D51" s="2">
        <f>'SCH Summary'!D52/900</f>
        <v>52250.85888888889</v>
      </c>
      <c r="E51" s="2">
        <f t="shared" si="2"/>
        <v>239508.92555555556</v>
      </c>
    </row>
    <row r="52" spans="1:5" ht="12.75">
      <c r="A52" s="2" t="s">
        <v>1520</v>
      </c>
      <c r="B52" s="2">
        <f>'SCH Summary'!C53/30</f>
        <v>0</v>
      </c>
      <c r="C52" s="2">
        <f>'SCH Summary'!E53/24</f>
        <v>0</v>
      </c>
      <c r="D52">
        <f>'SCH Summary'!D53/900</f>
        <v>0</v>
      </c>
      <c r="E52" s="2">
        <f t="shared" si="2"/>
        <v>0</v>
      </c>
    </row>
    <row r="53" spans="1:5" ht="12.75">
      <c r="A53" t="s">
        <v>1517</v>
      </c>
      <c r="B53" s="2">
        <f>'SCH Summary'!C54/30</f>
        <v>0</v>
      </c>
      <c r="C53" s="2">
        <f>'SCH Summary'!E54/24</f>
        <v>0</v>
      </c>
      <c r="E53" s="2">
        <f t="shared" si="2"/>
        <v>0</v>
      </c>
    </row>
    <row r="54" spans="2:5" ht="12.75">
      <c r="B54" s="2"/>
      <c r="C54" s="2"/>
      <c r="E54" s="2"/>
    </row>
    <row r="55" spans="2:5" ht="12.75">
      <c r="B55" s="2">
        <f>SUM(B45:B53)</f>
        <v>322516.43333333335</v>
      </c>
      <c r="C55" s="2">
        <f>SUM(C45:C53)</f>
        <v>25947.666666666668</v>
      </c>
      <c r="D55" s="2">
        <f>SUM(D45:D53)</f>
        <v>52250.85888888889</v>
      </c>
      <c r="E55" s="2">
        <f>SUM(B55:D55)</f>
        <v>400714.95888888894</v>
      </c>
    </row>
    <row r="56" spans="2:5" ht="12.75">
      <c r="B56" s="173" t="s">
        <v>1502</v>
      </c>
      <c r="C56" s="173" t="s">
        <v>1502</v>
      </c>
      <c r="D56" s="173" t="s">
        <v>1502</v>
      </c>
      <c r="E56" s="173" t="s">
        <v>1502</v>
      </c>
    </row>
    <row r="57" spans="1:5" ht="12.75">
      <c r="A57" s="2"/>
      <c r="B57" s="2"/>
      <c r="C57" s="2"/>
      <c r="E57" s="2"/>
    </row>
    <row r="58" spans="1:5" ht="12.75">
      <c r="A58" s="2"/>
      <c r="B58" s="2"/>
      <c r="C58" s="2"/>
      <c r="E58" s="2"/>
    </row>
    <row r="59" spans="1:5" ht="12.75">
      <c r="A59" s="13" t="s">
        <v>382</v>
      </c>
      <c r="B59" s="2" t="s">
        <v>1530</v>
      </c>
      <c r="C59" s="2"/>
      <c r="E59" s="2"/>
    </row>
    <row r="60" spans="1:5" ht="12.75">
      <c r="A60" s="2" t="s">
        <v>167</v>
      </c>
      <c r="B60" s="173" t="s">
        <v>1502</v>
      </c>
      <c r="C60" s="173" t="s">
        <v>1502</v>
      </c>
      <c r="D60" s="173" t="s">
        <v>1502</v>
      </c>
      <c r="E60" s="173" t="s">
        <v>1502</v>
      </c>
    </row>
    <row r="61" spans="1:5" ht="12.75">
      <c r="A61" s="2"/>
      <c r="B61" s="2" t="s">
        <v>1537</v>
      </c>
      <c r="C61" s="2" t="s">
        <v>1538</v>
      </c>
      <c r="D61" s="157" t="s">
        <v>1539</v>
      </c>
      <c r="E61" s="2" t="s">
        <v>1540</v>
      </c>
    </row>
    <row r="62" spans="1:5" ht="12.75">
      <c r="A62" s="2"/>
      <c r="B62" s="2"/>
      <c r="C62" s="2"/>
      <c r="E62" s="2"/>
    </row>
    <row r="63" ht="12.75">
      <c r="A63" s="2"/>
    </row>
    <row r="64" spans="1:5" ht="12.75">
      <c r="A64" s="2" t="s">
        <v>1507</v>
      </c>
      <c r="B64" s="2">
        <f>'SCH Summary'!C65/45</f>
        <v>23669.933333333334</v>
      </c>
      <c r="C64" s="2">
        <f>'SCH Summary'!E65/36</f>
        <v>6560.194444444444</v>
      </c>
      <c r="E64" s="2">
        <f aca="true" t="shared" si="3" ref="E64:E72">SUM(B64:D64)</f>
        <v>30230.12777777778</v>
      </c>
    </row>
    <row r="65" spans="1:5" ht="12.75">
      <c r="A65" s="2" t="s">
        <v>1509</v>
      </c>
      <c r="B65" s="2">
        <f>'SCH Summary'!C66/45</f>
        <v>24929.68888888889</v>
      </c>
      <c r="C65" s="2">
        <f>'SCH Summary'!E66/36</f>
        <v>10664.138888888889</v>
      </c>
      <c r="E65" s="2">
        <f t="shared" si="3"/>
        <v>35593.82777777778</v>
      </c>
    </row>
    <row r="66" spans="1:5" ht="12.75">
      <c r="A66" s="2" t="s">
        <v>1510</v>
      </c>
      <c r="B66" s="2">
        <f>'SCH Summary'!C67/45</f>
        <v>12600.644444444444</v>
      </c>
      <c r="C66" s="2">
        <f>'SCH Summary'!E67/36</f>
        <v>1397.7777777777778</v>
      </c>
      <c r="E66" s="2">
        <f t="shared" si="3"/>
        <v>13998.422222222222</v>
      </c>
    </row>
    <row r="67" spans="1:5" ht="12.75">
      <c r="A67" s="2" t="s">
        <v>1511</v>
      </c>
      <c r="B67" s="2">
        <f>'SCH Summary'!C68/45</f>
        <v>18225.955555555556</v>
      </c>
      <c r="C67" s="2">
        <f>'SCH Summary'!E68/36</f>
        <v>3827.972222222222</v>
      </c>
      <c r="E67" s="2">
        <f t="shared" si="3"/>
        <v>22053.92777777778</v>
      </c>
    </row>
    <row r="68" spans="1:5" ht="12.75">
      <c r="A68" s="2" t="s">
        <v>1512</v>
      </c>
      <c r="B68" s="2">
        <f>'SCH Summary'!C69/45</f>
        <v>28222.466666666667</v>
      </c>
      <c r="C68" s="2">
        <f>'SCH Summary'!E69/36</f>
        <v>2917.75</v>
      </c>
      <c r="E68" s="2">
        <f t="shared" si="3"/>
        <v>31140.216666666667</v>
      </c>
    </row>
    <row r="69" spans="1:5" ht="12.75">
      <c r="A69" s="2" t="s">
        <v>1513</v>
      </c>
      <c r="B69" s="2">
        <f>'SCH Summary'!C70/45</f>
        <v>11203.022222222222</v>
      </c>
      <c r="C69" s="2">
        <f>'SCH Summary'!E70/36</f>
        <v>270.44444444444446</v>
      </c>
      <c r="E69" s="2">
        <f t="shared" si="3"/>
        <v>11473.466666666667</v>
      </c>
    </row>
    <row r="70" spans="1:5" ht="12.75">
      <c r="A70" s="2" t="s">
        <v>1519</v>
      </c>
      <c r="B70" s="2">
        <f>'SCH Summary'!C71/45</f>
        <v>35165.02222222222</v>
      </c>
      <c r="C70" s="2">
        <f>'SCH Summary'!E71/36</f>
        <v>0</v>
      </c>
      <c r="D70">
        <f>'SCH Summary'!D71/900</f>
        <v>0</v>
      </c>
      <c r="E70" s="2">
        <f t="shared" si="3"/>
        <v>35165.02222222222</v>
      </c>
    </row>
    <row r="71" spans="1:5" ht="12.75">
      <c r="A71" s="2" t="s">
        <v>1520</v>
      </c>
      <c r="B71" s="2">
        <f>'SCH Summary'!C72/45</f>
        <v>33103.71111111111</v>
      </c>
      <c r="C71" s="2">
        <f>'SCH Summary'!E72/36</f>
        <v>0</v>
      </c>
      <c r="D71">
        <f>'SCH Summary'!D72/900</f>
        <v>0</v>
      </c>
      <c r="E71" s="2">
        <f t="shared" si="3"/>
        <v>33103.71111111111</v>
      </c>
    </row>
    <row r="72" spans="1:5" ht="12.75">
      <c r="A72" t="s">
        <v>1517</v>
      </c>
      <c r="B72" s="2">
        <f>'SCH Summary'!C73/45</f>
        <v>0</v>
      </c>
      <c r="C72" s="2">
        <f>'SCH Summary'!E73/36</f>
        <v>0</v>
      </c>
      <c r="E72" s="2">
        <f t="shared" si="3"/>
        <v>0</v>
      </c>
    </row>
    <row r="73" spans="2:5" ht="12.75">
      <c r="B73" s="2"/>
      <c r="C73" s="2"/>
      <c r="E73" s="2"/>
    </row>
    <row r="74" spans="2:5" ht="12.75">
      <c r="B74" s="2">
        <f>SUM(B64:B72)</f>
        <v>187120.44444444444</v>
      </c>
      <c r="C74" s="2">
        <f>SUM(C64:C72)</f>
        <v>25638.277777777777</v>
      </c>
      <c r="D74" s="2">
        <f>SUM(D64:D72)</f>
        <v>0</v>
      </c>
      <c r="E74" s="2">
        <f>SUM(B74:D74)</f>
        <v>212758.72222222222</v>
      </c>
    </row>
    <row r="75" spans="2:5" ht="12.75">
      <c r="B75" s="173" t="s">
        <v>1502</v>
      </c>
      <c r="C75" s="173" t="s">
        <v>1502</v>
      </c>
      <c r="D75" s="173" t="s">
        <v>1502</v>
      </c>
      <c r="E75" s="173" t="s">
        <v>1502</v>
      </c>
    </row>
    <row r="76" spans="1:5" ht="12.75">
      <c r="A76" s="2"/>
      <c r="B76" s="2"/>
      <c r="C76" s="2"/>
      <c r="E76" s="2"/>
    </row>
    <row r="77" spans="1:5" ht="12.75">
      <c r="A77" s="2"/>
      <c r="B77" s="2"/>
      <c r="C77" s="2"/>
      <c r="E77" s="2"/>
    </row>
    <row r="78" spans="1:5" ht="12.75">
      <c r="A78" s="13" t="s">
        <v>517</v>
      </c>
      <c r="B78" s="2" t="s">
        <v>1530</v>
      </c>
      <c r="C78" s="2"/>
      <c r="E78" s="2"/>
    </row>
    <row r="79" spans="1:5" ht="12.75">
      <c r="A79" s="2" t="s">
        <v>128</v>
      </c>
      <c r="B79" s="173" t="s">
        <v>1502</v>
      </c>
      <c r="C79" s="173" t="s">
        <v>1502</v>
      </c>
      <c r="D79" s="173" t="s">
        <v>1502</v>
      </c>
      <c r="E79" s="173" t="s">
        <v>1502</v>
      </c>
    </row>
    <row r="80" spans="1:5" ht="12.75">
      <c r="A80" s="2"/>
      <c r="B80" s="2" t="s">
        <v>1537</v>
      </c>
      <c r="C80" s="2" t="s">
        <v>1538</v>
      </c>
      <c r="D80" s="157" t="s">
        <v>1539</v>
      </c>
      <c r="E80" s="2" t="s">
        <v>1540</v>
      </c>
    </row>
    <row r="81" spans="1:5" ht="12.75">
      <c r="A81" s="2"/>
      <c r="B81" s="2"/>
      <c r="C81" s="2"/>
      <c r="E81" s="2"/>
    </row>
    <row r="82" ht="12.75">
      <c r="A82" s="2"/>
    </row>
    <row r="83" spans="1:5" ht="12.75">
      <c r="A83" s="2" t="s">
        <v>1507</v>
      </c>
      <c r="B83" s="2">
        <f>'SCH Summary'!C84/30</f>
        <v>15379.633333333333</v>
      </c>
      <c r="C83" s="2">
        <f>'SCH Summary'!E84/24</f>
        <v>3265.75</v>
      </c>
      <c r="E83" s="2">
        <f aca="true" t="shared" si="4" ref="E83:E91">SUM(B83:D83)</f>
        <v>18645.38333333333</v>
      </c>
    </row>
    <row r="84" spans="1:5" ht="12.75">
      <c r="A84" s="2" t="s">
        <v>1509</v>
      </c>
      <c r="B84" s="2">
        <f>'SCH Summary'!C85/30</f>
        <v>11346.866666666667</v>
      </c>
      <c r="C84" s="2">
        <f>'SCH Summary'!E85/24</f>
        <v>2851.7083333333335</v>
      </c>
      <c r="E84" s="2">
        <f t="shared" si="4"/>
        <v>14198.575</v>
      </c>
    </row>
    <row r="85" spans="1:5" ht="12.75">
      <c r="A85" s="2" t="s">
        <v>1510</v>
      </c>
      <c r="B85" s="2">
        <f>'SCH Summary'!C86/30</f>
        <v>29665.933333333334</v>
      </c>
      <c r="C85" s="2">
        <f>'SCH Summary'!E86/24</f>
        <v>3567.2083333333335</v>
      </c>
      <c r="E85" s="2">
        <f t="shared" si="4"/>
        <v>33233.14166666667</v>
      </c>
    </row>
    <row r="86" spans="1:5" ht="12.75">
      <c r="A86" s="2" t="s">
        <v>1511</v>
      </c>
      <c r="B86" s="2">
        <f>'SCH Summary'!C87/30</f>
        <v>6453.133333333333</v>
      </c>
      <c r="C86" s="2">
        <f>'SCH Summary'!E87/24</f>
        <v>915.5</v>
      </c>
      <c r="E86" s="2">
        <f t="shared" si="4"/>
        <v>7368.633333333333</v>
      </c>
    </row>
    <row r="87" spans="1:5" ht="12.75">
      <c r="A87" s="2" t="s">
        <v>1512</v>
      </c>
      <c r="B87" s="2">
        <f>'SCH Summary'!C88/30</f>
        <v>8184</v>
      </c>
      <c r="C87" s="2">
        <f>'SCH Summary'!E88/24</f>
        <v>808.4166666666666</v>
      </c>
      <c r="E87" s="2">
        <f t="shared" si="4"/>
        <v>8992.416666666666</v>
      </c>
    </row>
    <row r="88" spans="1:5" ht="12.75">
      <c r="A88" s="2" t="s">
        <v>1513</v>
      </c>
      <c r="B88" s="2">
        <f>'SCH Summary'!C89/30</f>
        <v>2093.866666666667</v>
      </c>
      <c r="C88" s="2">
        <f>'SCH Summary'!E89/24</f>
        <v>48.291666666666664</v>
      </c>
      <c r="E88" s="2">
        <f t="shared" si="4"/>
        <v>2142.1583333333333</v>
      </c>
    </row>
    <row r="89" spans="1:5" ht="12.75">
      <c r="A89" s="2" t="s">
        <v>1519</v>
      </c>
      <c r="B89" s="2">
        <f>'SCH Summary'!C90/30</f>
        <v>27974.066666666666</v>
      </c>
      <c r="C89" s="2">
        <f>'SCH Summary'!E90/24</f>
        <v>0</v>
      </c>
      <c r="D89">
        <f>'SCH Summary'!D90/900</f>
        <v>0</v>
      </c>
      <c r="E89" s="2">
        <f t="shared" si="4"/>
        <v>27974.066666666666</v>
      </c>
    </row>
    <row r="90" spans="1:5" ht="12.75">
      <c r="A90" s="2" t="s">
        <v>1520</v>
      </c>
      <c r="B90" s="2">
        <f>'SCH Summary'!C91/30</f>
        <v>0</v>
      </c>
      <c r="C90" s="2">
        <f>'SCH Summary'!E91/24</f>
        <v>0</v>
      </c>
      <c r="D90">
        <f>'SCH Summary'!D91/900</f>
        <v>0</v>
      </c>
      <c r="E90" s="2">
        <f t="shared" si="4"/>
        <v>0</v>
      </c>
    </row>
    <row r="91" spans="1:5" ht="12.75">
      <c r="A91" t="s">
        <v>1517</v>
      </c>
      <c r="B91" s="2">
        <f>'SCH Summary'!C92/30</f>
        <v>0</v>
      </c>
      <c r="C91" s="2">
        <f>'SCH Summary'!E92/24</f>
        <v>0</v>
      </c>
      <c r="E91" s="2">
        <f t="shared" si="4"/>
        <v>0</v>
      </c>
    </row>
    <row r="92" spans="2:5" ht="12.75">
      <c r="B92" s="2"/>
      <c r="C92" s="2"/>
      <c r="E92" s="2"/>
    </row>
    <row r="93" spans="2:5" ht="12.75">
      <c r="B93" s="2">
        <f>SUM(B83:B91)</f>
        <v>101097.5</v>
      </c>
      <c r="C93" s="2">
        <f>SUM(C83:C91)</f>
        <v>11456.875</v>
      </c>
      <c r="D93" s="2">
        <f>SUM(D83:D91)</f>
        <v>0</v>
      </c>
      <c r="E93" s="2">
        <f>SUM(B93:D93)</f>
        <v>112554.375</v>
      </c>
    </row>
    <row r="94" spans="2:5" ht="12.75">
      <c r="B94" s="173" t="s">
        <v>1502</v>
      </c>
      <c r="C94" s="173" t="s">
        <v>1502</v>
      </c>
      <c r="D94" s="173" t="s">
        <v>1502</v>
      </c>
      <c r="E94" s="173" t="s">
        <v>1502</v>
      </c>
    </row>
    <row r="95" spans="1:5" ht="12.75">
      <c r="A95" s="2"/>
      <c r="B95" s="2"/>
      <c r="C95" s="2"/>
      <c r="E95" s="2"/>
    </row>
    <row r="96" spans="1:5" ht="12.75">
      <c r="A96" s="2"/>
      <c r="B96" s="2"/>
      <c r="C96" s="2"/>
      <c r="E96" s="2"/>
    </row>
    <row r="97" spans="1:5" ht="12.75">
      <c r="A97" s="13" t="s">
        <v>536</v>
      </c>
      <c r="B97" s="2" t="s">
        <v>1530</v>
      </c>
      <c r="C97" s="2"/>
      <c r="E97" s="2"/>
    </row>
    <row r="98" spans="1:5" ht="12.75">
      <c r="A98" s="2" t="s">
        <v>128</v>
      </c>
      <c r="B98" s="173" t="s">
        <v>1502</v>
      </c>
      <c r="C98" s="173" t="s">
        <v>1502</v>
      </c>
      <c r="D98" s="173" t="s">
        <v>1502</v>
      </c>
      <c r="E98" s="173" t="s">
        <v>1502</v>
      </c>
    </row>
    <row r="99" spans="1:5" ht="12.75">
      <c r="A99" s="2"/>
      <c r="B99" s="2" t="s">
        <v>1537</v>
      </c>
      <c r="C99" s="2" t="s">
        <v>1538</v>
      </c>
      <c r="D99" s="157" t="s">
        <v>1539</v>
      </c>
      <c r="E99" s="2" t="s">
        <v>1540</v>
      </c>
    </row>
    <row r="100" spans="1:5" ht="12.75">
      <c r="A100" s="2"/>
      <c r="B100" s="2"/>
      <c r="C100" s="2"/>
      <c r="E100" s="2"/>
    </row>
    <row r="101" ht="12.75">
      <c r="A101" s="2"/>
    </row>
    <row r="102" spans="1:5" ht="12.75">
      <c r="A102" s="2" t="s">
        <v>1507</v>
      </c>
      <c r="B102" s="2">
        <f>'SCH Summary'!C103/30</f>
        <v>18930.466666666667</v>
      </c>
      <c r="C102" s="2">
        <f>'SCH Summary'!E103/24</f>
        <v>4177.583333333333</v>
      </c>
      <c r="E102" s="2">
        <f aca="true" t="shared" si="5" ref="E102:E110">SUM(B102:D102)</f>
        <v>23108.05</v>
      </c>
    </row>
    <row r="103" spans="1:5" ht="12.75">
      <c r="A103" s="2" t="s">
        <v>1509</v>
      </c>
      <c r="B103" s="2">
        <f>'SCH Summary'!C104/30</f>
        <v>24246.3</v>
      </c>
      <c r="C103" s="2">
        <f>'SCH Summary'!E104/24</f>
        <v>3317.7083333333335</v>
      </c>
      <c r="E103" s="2">
        <f t="shared" si="5"/>
        <v>27564.00833333333</v>
      </c>
    </row>
    <row r="104" spans="1:5" ht="12.75">
      <c r="A104" s="2" t="s">
        <v>1510</v>
      </c>
      <c r="B104" s="2">
        <f>'SCH Summary'!C105/30</f>
        <v>32531.433333333334</v>
      </c>
      <c r="C104" s="2">
        <f>'SCH Summary'!E105/24</f>
        <v>3612.4583333333335</v>
      </c>
      <c r="E104" s="2">
        <f t="shared" si="5"/>
        <v>36143.89166666667</v>
      </c>
    </row>
    <row r="105" spans="1:5" ht="12.75">
      <c r="A105" s="2" t="s">
        <v>1511</v>
      </c>
      <c r="B105" s="2">
        <f>'SCH Summary'!C106/30</f>
        <v>27306.4</v>
      </c>
      <c r="C105" s="2">
        <f>'SCH Summary'!E106/24</f>
        <v>2049.3333333333335</v>
      </c>
      <c r="E105" s="2">
        <f t="shared" si="5"/>
        <v>29355.733333333334</v>
      </c>
    </row>
    <row r="106" spans="1:5" ht="12.75">
      <c r="A106" s="2" t="s">
        <v>1512</v>
      </c>
      <c r="B106" s="2">
        <f>'SCH Summary'!C107/30</f>
        <v>13059.833333333334</v>
      </c>
      <c r="C106" s="2">
        <f>'SCH Summary'!E107/24</f>
        <v>1096.7083333333333</v>
      </c>
      <c r="E106" s="2">
        <f t="shared" si="5"/>
        <v>14156.541666666668</v>
      </c>
    </row>
    <row r="107" spans="1:5" ht="12.75">
      <c r="A107" s="2" t="s">
        <v>1513</v>
      </c>
      <c r="B107" s="2">
        <f>'SCH Summary'!C108/30</f>
        <v>0</v>
      </c>
      <c r="C107" s="2">
        <f>'SCH Summary'!E108/24</f>
        <v>0</v>
      </c>
      <c r="E107" s="2">
        <f t="shared" si="5"/>
        <v>0</v>
      </c>
    </row>
    <row r="108" spans="1:5" ht="12.75">
      <c r="A108" s="2" t="s">
        <v>1519</v>
      </c>
      <c r="B108" s="2">
        <f>'SCH Summary'!C109/30</f>
        <v>15627.366666666667</v>
      </c>
      <c r="C108" s="2">
        <f>'SCH Summary'!E109/24</f>
        <v>0</v>
      </c>
      <c r="D108">
        <f>'SCH Summary'!D109/900</f>
        <v>0</v>
      </c>
      <c r="E108" s="2">
        <f t="shared" si="5"/>
        <v>15627.366666666667</v>
      </c>
    </row>
    <row r="109" spans="1:5" ht="12.75">
      <c r="A109" s="2" t="s">
        <v>1520</v>
      </c>
      <c r="B109" s="2">
        <f>'SCH Summary'!C110/30</f>
        <v>0</v>
      </c>
      <c r="C109" s="2">
        <f>'SCH Summary'!E110/24</f>
        <v>0</v>
      </c>
      <c r="D109" s="2">
        <f>'SCH Summary'!D110/900</f>
        <v>0</v>
      </c>
      <c r="E109" s="2">
        <f t="shared" si="5"/>
        <v>0</v>
      </c>
    </row>
    <row r="110" spans="1:5" ht="12.75">
      <c r="A110" t="s">
        <v>1517</v>
      </c>
      <c r="B110" s="2">
        <f>'SCH Summary'!C111/30</f>
        <v>692.4333333333333</v>
      </c>
      <c r="C110" s="2">
        <f>'SCH Summary'!E111/24</f>
        <v>0</v>
      </c>
      <c r="E110" s="2">
        <f t="shared" si="5"/>
        <v>692.4333333333333</v>
      </c>
    </row>
    <row r="111" spans="2:5" ht="12.75">
      <c r="B111" s="2"/>
      <c r="C111" s="2"/>
      <c r="E111" s="2"/>
    </row>
    <row r="112" spans="2:5" ht="12.75">
      <c r="B112" s="2">
        <f>SUM(B102:B110)</f>
        <v>132394.2333333333</v>
      </c>
      <c r="C112" s="2">
        <f>SUM(C102:C110)</f>
        <v>14253.791666666668</v>
      </c>
      <c r="D112" s="2">
        <f>SUM(D102:D110)</f>
        <v>0</v>
      </c>
      <c r="E112" s="2">
        <f>SUM(B112:D112)</f>
        <v>146648.02499999997</v>
      </c>
    </row>
    <row r="113" spans="2:5" ht="12.75">
      <c r="B113" s="173" t="s">
        <v>1502</v>
      </c>
      <c r="C113" s="173" t="s">
        <v>1502</v>
      </c>
      <c r="D113" s="173" t="s">
        <v>1502</v>
      </c>
      <c r="E113" s="173" t="s">
        <v>1502</v>
      </c>
    </row>
    <row r="114" spans="1:5" ht="12.75">
      <c r="A114" s="2"/>
      <c r="B114" s="2"/>
      <c r="C114" s="2"/>
      <c r="E114" s="2"/>
    </row>
    <row r="115" spans="1:5" ht="12.75">
      <c r="A115" s="2"/>
      <c r="B115" s="2"/>
      <c r="C115" s="2"/>
      <c r="E115" s="2"/>
    </row>
    <row r="116" spans="1:5" ht="12.75">
      <c r="A116" s="13" t="s">
        <v>661</v>
      </c>
      <c r="B116" s="2" t="s">
        <v>1530</v>
      </c>
      <c r="C116" s="2"/>
      <c r="E116" s="2"/>
    </row>
    <row r="117" spans="1:5" ht="12.75">
      <c r="A117" s="2" t="s">
        <v>128</v>
      </c>
      <c r="B117" s="173" t="s">
        <v>1502</v>
      </c>
      <c r="C117" s="173" t="s">
        <v>1502</v>
      </c>
      <c r="D117" s="173" t="s">
        <v>1502</v>
      </c>
      <c r="E117" s="173" t="s">
        <v>1502</v>
      </c>
    </row>
    <row r="118" spans="1:5" ht="12.75">
      <c r="A118" s="2"/>
      <c r="B118" s="2" t="s">
        <v>1537</v>
      </c>
      <c r="C118" s="2" t="s">
        <v>1538</v>
      </c>
      <c r="D118" s="157" t="s">
        <v>1539</v>
      </c>
      <c r="E118" s="2" t="s">
        <v>1540</v>
      </c>
    </row>
    <row r="119" spans="1:5" ht="12.75">
      <c r="A119" s="2"/>
      <c r="B119" s="2"/>
      <c r="C119" s="2"/>
      <c r="E119" s="2"/>
    </row>
    <row r="120" ht="12.75">
      <c r="A120" s="2"/>
    </row>
    <row r="121" spans="1:5" ht="12.75">
      <c r="A121" s="2" t="s">
        <v>1507</v>
      </c>
      <c r="B121" s="2">
        <f>'SCH Summary'!C122/30</f>
        <v>21971.366666666665</v>
      </c>
      <c r="C121" s="2">
        <f>'SCH Summary'!E122/24</f>
        <v>4328.333333333333</v>
      </c>
      <c r="E121" s="2">
        <f aca="true" t="shared" si="6" ref="E121:E129">SUM(B121:D121)</f>
        <v>26299.699999999997</v>
      </c>
    </row>
    <row r="122" spans="1:5" ht="12.75">
      <c r="A122" s="2" t="s">
        <v>1509</v>
      </c>
      <c r="B122" s="2">
        <f>'SCH Summary'!C123/30</f>
        <v>7670.066666666667</v>
      </c>
      <c r="C122" s="2">
        <f>'SCH Summary'!E123/24</f>
        <v>714.25</v>
      </c>
      <c r="E122" s="2">
        <f t="shared" si="6"/>
        <v>8384.316666666666</v>
      </c>
    </row>
    <row r="123" spans="1:5" ht="12.75">
      <c r="A123" s="2" t="s">
        <v>1510</v>
      </c>
      <c r="B123" s="2">
        <f>'SCH Summary'!C124/30</f>
        <v>0</v>
      </c>
      <c r="C123" s="2">
        <f>'SCH Summary'!E124/24</f>
        <v>0</v>
      </c>
      <c r="E123" s="2">
        <f t="shared" si="6"/>
        <v>0</v>
      </c>
    </row>
    <row r="124" spans="1:5" ht="12.75">
      <c r="A124" s="2" t="s">
        <v>1511</v>
      </c>
      <c r="B124" s="2">
        <f>'SCH Summary'!C125/30</f>
        <v>29214.066666666666</v>
      </c>
      <c r="C124" s="2">
        <f>'SCH Summary'!E125/24</f>
        <v>4825.416666666667</v>
      </c>
      <c r="E124" s="2">
        <f t="shared" si="6"/>
        <v>34039.48333333333</v>
      </c>
    </row>
    <row r="125" spans="1:5" ht="12.75">
      <c r="A125" s="2" t="s">
        <v>1512</v>
      </c>
      <c r="B125" s="2">
        <f>'SCH Summary'!C126/30</f>
        <v>5004</v>
      </c>
      <c r="C125" s="2">
        <f>'SCH Summary'!E126/24</f>
        <v>505.375</v>
      </c>
      <c r="E125" s="2">
        <f t="shared" si="6"/>
        <v>5509.375</v>
      </c>
    </row>
    <row r="126" spans="1:5" ht="12.75">
      <c r="A126" s="2" t="s">
        <v>1513</v>
      </c>
      <c r="B126" s="2">
        <f>'SCH Summary'!C127/30</f>
        <v>1577.7</v>
      </c>
      <c r="C126" s="2">
        <f>'SCH Summary'!E127/24</f>
        <v>0</v>
      </c>
      <c r="E126" s="2">
        <f t="shared" si="6"/>
        <v>1577.7</v>
      </c>
    </row>
    <row r="127" spans="1:5" ht="12.75">
      <c r="A127" s="2" t="s">
        <v>1519</v>
      </c>
      <c r="B127" s="2">
        <f>'SCH Summary'!C128/30</f>
        <v>61738.666666666664</v>
      </c>
      <c r="C127" s="2">
        <f>'SCH Summary'!E128/24</f>
        <v>0</v>
      </c>
      <c r="D127">
        <f>'SCH Summary'!D128/900</f>
        <v>0</v>
      </c>
      <c r="E127" s="2">
        <f t="shared" si="6"/>
        <v>61738.666666666664</v>
      </c>
    </row>
    <row r="128" spans="1:5" ht="12.75">
      <c r="A128" s="2" t="s">
        <v>1520</v>
      </c>
      <c r="B128" s="2">
        <f>'SCH Summary'!C129/30</f>
        <v>0</v>
      </c>
      <c r="C128" s="2">
        <f>'SCH Summary'!E129/24</f>
        <v>0</v>
      </c>
      <c r="D128">
        <f>'SCH Summary'!D129/900</f>
        <v>0</v>
      </c>
      <c r="E128" s="2">
        <f t="shared" si="6"/>
        <v>0</v>
      </c>
    </row>
    <row r="129" spans="1:5" ht="12.75">
      <c r="A129" t="s">
        <v>1517</v>
      </c>
      <c r="B129" s="2">
        <f>'SCH Summary'!C130/30</f>
        <v>0</v>
      </c>
      <c r="C129" s="2">
        <f>'SCH Summary'!E130/24</f>
        <v>0</v>
      </c>
      <c r="E129" s="2">
        <f t="shared" si="6"/>
        <v>0</v>
      </c>
    </row>
    <row r="130" spans="2:5" ht="12.75">
      <c r="B130" s="2"/>
      <c r="C130" s="2"/>
      <c r="E130" s="2"/>
    </row>
    <row r="131" spans="2:5" ht="12.75">
      <c r="B131" s="2">
        <f>SUM(B121:B129)</f>
        <v>127175.86666666667</v>
      </c>
      <c r="C131" s="2">
        <f>SUM(C121:C129)</f>
        <v>10373.375</v>
      </c>
      <c r="D131" s="2">
        <f>SUM(D121:D129)</f>
        <v>0</v>
      </c>
      <c r="E131" s="2">
        <f>SUM(B131:D131)</f>
        <v>137549.24166666667</v>
      </c>
    </row>
    <row r="132" spans="2:5" ht="12.75">
      <c r="B132" s="173" t="s">
        <v>1502</v>
      </c>
      <c r="C132" s="173" t="s">
        <v>1502</v>
      </c>
      <c r="D132" s="173" t="s">
        <v>1502</v>
      </c>
      <c r="E132" s="173" t="s">
        <v>1502</v>
      </c>
    </row>
    <row r="133" spans="1:5" ht="12.75">
      <c r="A133" s="2"/>
      <c r="B133" s="2"/>
      <c r="C133" s="2"/>
      <c r="E133" s="2"/>
    </row>
    <row r="134" spans="1:5" ht="12.75">
      <c r="A134" s="2"/>
      <c r="B134" s="2"/>
      <c r="C134" s="2"/>
      <c r="E134" s="2"/>
    </row>
    <row r="135" spans="1:5" ht="12.75">
      <c r="A135" s="13" t="s">
        <v>731</v>
      </c>
      <c r="B135" s="2" t="s">
        <v>1530</v>
      </c>
      <c r="C135" s="2"/>
      <c r="E135" s="2"/>
    </row>
    <row r="136" spans="1:5" ht="12.75">
      <c r="A136" s="2" t="s">
        <v>128</v>
      </c>
      <c r="B136" s="173" t="s">
        <v>1502</v>
      </c>
      <c r="C136" s="173" t="s">
        <v>1502</v>
      </c>
      <c r="D136" s="173" t="s">
        <v>1502</v>
      </c>
      <c r="E136" s="173" t="s">
        <v>1502</v>
      </c>
    </row>
    <row r="137" spans="1:5" ht="12.75">
      <c r="A137" s="2"/>
      <c r="B137" s="2" t="s">
        <v>1537</v>
      </c>
      <c r="C137" s="2" t="s">
        <v>1538</v>
      </c>
      <c r="D137" s="157" t="s">
        <v>1539</v>
      </c>
      <c r="E137" s="2" t="s">
        <v>1540</v>
      </c>
    </row>
    <row r="138" spans="1:5" ht="12.75">
      <c r="A138" s="2"/>
      <c r="B138" s="2"/>
      <c r="C138" s="2"/>
      <c r="E138" s="2"/>
    </row>
    <row r="139" ht="12.75">
      <c r="A139" s="2"/>
    </row>
    <row r="140" spans="1:5" ht="12.75">
      <c r="A140" s="2" t="s">
        <v>1507</v>
      </c>
      <c r="B140" s="2">
        <f>'SCH Summary'!C141/30</f>
        <v>10986.666666666666</v>
      </c>
      <c r="C140" s="2">
        <f>'SCH Summary'!E141/24</f>
        <v>2021.7083333333333</v>
      </c>
      <c r="E140" s="2">
        <f aca="true" t="shared" si="7" ref="E140:E148">SUM(B140:D140)</f>
        <v>13008.375</v>
      </c>
    </row>
    <row r="141" spans="1:5" ht="12.75">
      <c r="A141" s="2" t="s">
        <v>1509</v>
      </c>
      <c r="B141" s="2">
        <f>'SCH Summary'!C142/30</f>
        <v>18796.333333333332</v>
      </c>
      <c r="C141" s="2">
        <f>'SCH Summary'!E142/24</f>
        <v>4829.708333333333</v>
      </c>
      <c r="E141" s="2">
        <f t="shared" si="7"/>
        <v>23626.041666666664</v>
      </c>
    </row>
    <row r="142" spans="1:5" ht="12.75">
      <c r="A142" s="2" t="s">
        <v>1510</v>
      </c>
      <c r="B142" s="2">
        <f>'SCH Summary'!C143/30</f>
        <v>5201.733333333334</v>
      </c>
      <c r="C142" s="2">
        <f>'SCH Summary'!E143/24</f>
        <v>543.375</v>
      </c>
      <c r="E142" s="2">
        <f t="shared" si="7"/>
        <v>5745.108333333334</v>
      </c>
    </row>
    <row r="143" spans="1:5" ht="12.75">
      <c r="A143" s="2" t="s">
        <v>1511</v>
      </c>
      <c r="B143" s="2">
        <f>'SCH Summary'!C144/30</f>
        <v>0</v>
      </c>
      <c r="C143" s="2">
        <f>'SCH Summary'!E144/24</f>
        <v>0</v>
      </c>
      <c r="E143" s="2">
        <f t="shared" si="7"/>
        <v>0</v>
      </c>
    </row>
    <row r="144" spans="1:5" ht="12.75">
      <c r="A144" s="2" t="s">
        <v>1512</v>
      </c>
      <c r="B144" s="2">
        <f>'SCH Summary'!C145/30</f>
        <v>6137.166666666667</v>
      </c>
      <c r="C144" s="2">
        <f>'SCH Summary'!E145/24</f>
        <v>647.5416666666666</v>
      </c>
      <c r="E144" s="2">
        <f t="shared" si="7"/>
        <v>6784.708333333334</v>
      </c>
    </row>
    <row r="145" spans="1:5" ht="12.75">
      <c r="A145" s="2" t="s">
        <v>1513</v>
      </c>
      <c r="B145" s="2">
        <f>'SCH Summary'!C146/30</f>
        <v>4223.7</v>
      </c>
      <c r="C145" s="2">
        <f>'SCH Summary'!E146/24</f>
        <v>121.20833333333333</v>
      </c>
      <c r="E145" s="2">
        <f t="shared" si="7"/>
        <v>4344.908333333333</v>
      </c>
    </row>
    <row r="146" spans="1:8" ht="12.75">
      <c r="A146" s="2" t="s">
        <v>1519</v>
      </c>
      <c r="B146" s="80">
        <f>'SCH Summary'!C147/15</f>
        <v>37547.333333333336</v>
      </c>
      <c r="C146" s="80">
        <f>'SCH Summary'!E147/24</f>
        <v>0</v>
      </c>
      <c r="D146" s="81">
        <f>'SCH Summary'!D147/900</f>
        <v>0</v>
      </c>
      <c r="E146" s="80">
        <f t="shared" si="7"/>
        <v>37547.333333333336</v>
      </c>
      <c r="F146" s="81" t="s">
        <v>1541</v>
      </c>
      <c r="G146" s="81"/>
      <c r="H146" s="81"/>
    </row>
    <row r="147" spans="1:5" ht="12.75">
      <c r="A147" s="2" t="s">
        <v>1520</v>
      </c>
      <c r="B147" s="2">
        <f>'SCH Summary'!C148/30</f>
        <v>0</v>
      </c>
      <c r="C147" s="2">
        <f>'SCH Summary'!E148/24</f>
        <v>0</v>
      </c>
      <c r="D147">
        <f>'SCH Summary'!D148/900</f>
        <v>0</v>
      </c>
      <c r="E147" s="2">
        <f t="shared" si="7"/>
        <v>0</v>
      </c>
    </row>
    <row r="148" spans="1:5" ht="12.75">
      <c r="A148" t="s">
        <v>1517</v>
      </c>
      <c r="B148" s="2">
        <f>'SCH Summary'!C149/30</f>
        <v>0</v>
      </c>
      <c r="C148" s="2">
        <f>'SCH Summary'!E149/24</f>
        <v>0</v>
      </c>
      <c r="E148" s="2">
        <f t="shared" si="7"/>
        <v>0</v>
      </c>
    </row>
    <row r="149" spans="2:5" ht="12.75">
      <c r="B149" s="2"/>
      <c r="C149" s="2"/>
      <c r="E149" s="2"/>
    </row>
    <row r="150" spans="2:5" ht="12.75">
      <c r="B150" s="2">
        <f>SUM(B140:B148)</f>
        <v>82892.93333333333</v>
      </c>
      <c r="C150" s="2">
        <f>SUM(C140:C148)</f>
        <v>8163.541666666666</v>
      </c>
      <c r="D150" s="2">
        <f>SUM(D140:D148)</f>
        <v>0</v>
      </c>
      <c r="E150" s="2">
        <f>SUM(B150:D150)</f>
        <v>91056.475</v>
      </c>
    </row>
    <row r="151" spans="2:5" ht="12.75">
      <c r="B151" s="173" t="s">
        <v>1502</v>
      </c>
      <c r="C151" s="173" t="s">
        <v>1502</v>
      </c>
      <c r="D151" s="173" t="s">
        <v>1502</v>
      </c>
      <c r="E151" s="173" t="s">
        <v>1502</v>
      </c>
    </row>
    <row r="152" spans="1:5" ht="12.75">
      <c r="A152" s="2"/>
      <c r="B152" s="2"/>
      <c r="C152" s="2"/>
      <c r="E152" s="2"/>
    </row>
    <row r="153" spans="1:5" ht="12.75">
      <c r="A153" s="2"/>
      <c r="B153" s="2"/>
      <c r="C153" s="2"/>
      <c r="E153" s="2"/>
    </row>
    <row r="154" spans="1:5" ht="12.75">
      <c r="A154" s="13" t="s">
        <v>781</v>
      </c>
      <c r="B154" s="2" t="s">
        <v>1530</v>
      </c>
      <c r="C154" s="2"/>
      <c r="E154" s="2"/>
    </row>
    <row r="155" spans="1:5" ht="12.75">
      <c r="A155" s="2" t="s">
        <v>128</v>
      </c>
      <c r="B155" s="173" t="s">
        <v>1502</v>
      </c>
      <c r="C155" s="173" t="s">
        <v>1502</v>
      </c>
      <c r="D155" s="173" t="s">
        <v>1502</v>
      </c>
      <c r="E155" s="173" t="s">
        <v>1502</v>
      </c>
    </row>
    <row r="156" spans="1:5" ht="12.75">
      <c r="A156" s="2"/>
      <c r="B156" s="2" t="s">
        <v>1537</v>
      </c>
      <c r="C156" s="2" t="s">
        <v>1538</v>
      </c>
      <c r="D156" s="157" t="s">
        <v>1539</v>
      </c>
      <c r="E156" s="2" t="s">
        <v>1540</v>
      </c>
    </row>
    <row r="157" spans="1:5" ht="12.75">
      <c r="A157" s="2"/>
      <c r="B157" s="2"/>
      <c r="C157" s="2"/>
      <c r="E157" s="2"/>
    </row>
    <row r="158" ht="12.75">
      <c r="A158" s="2"/>
    </row>
    <row r="159" spans="1:5" ht="12.75">
      <c r="A159" s="2" t="s">
        <v>1507</v>
      </c>
      <c r="B159" s="2">
        <f>'SCH Summary'!C160/30</f>
        <v>33662.9</v>
      </c>
      <c r="C159" s="2">
        <f>'SCH Summary'!E160/24</f>
        <v>7210.875</v>
      </c>
      <c r="E159" s="2">
        <f aca="true" t="shared" si="8" ref="E159:E167">SUM(B159:D159)</f>
        <v>40873.775</v>
      </c>
    </row>
    <row r="160" spans="1:5" ht="12.75">
      <c r="A160" s="2" t="s">
        <v>1509</v>
      </c>
      <c r="B160" s="2">
        <f>'SCH Summary'!C161/30</f>
        <v>9255.266666666666</v>
      </c>
      <c r="C160" s="2">
        <f>'SCH Summary'!E161/24</f>
        <v>1808.2083333333333</v>
      </c>
      <c r="E160" s="2">
        <f t="shared" si="8"/>
        <v>11063.475</v>
      </c>
    </row>
    <row r="161" spans="1:5" ht="12.75">
      <c r="A161" s="2" t="s">
        <v>1510</v>
      </c>
      <c r="B161" s="2">
        <f>'SCH Summary'!C162/30</f>
        <v>54286.53333333333</v>
      </c>
      <c r="C161" s="2">
        <f>'SCH Summary'!E162/24</f>
        <v>6968.916666666667</v>
      </c>
      <c r="E161" s="2">
        <f t="shared" si="8"/>
        <v>61255.45</v>
      </c>
    </row>
    <row r="162" spans="1:5" ht="12.75">
      <c r="A162" s="2" t="s">
        <v>1511</v>
      </c>
      <c r="B162" s="2">
        <f>'SCH Summary'!C163/30</f>
        <v>7623.833333333333</v>
      </c>
      <c r="C162" s="2">
        <f>'SCH Summary'!E163/24</f>
        <v>315.125</v>
      </c>
      <c r="E162" s="2">
        <f t="shared" si="8"/>
        <v>7938.958333333333</v>
      </c>
    </row>
    <row r="163" spans="1:5" ht="12.75">
      <c r="A163" s="2" t="s">
        <v>1512</v>
      </c>
      <c r="B163" s="2">
        <f>'SCH Summary'!C164/30</f>
        <v>5877.8</v>
      </c>
      <c r="C163" s="2">
        <f>'SCH Summary'!E164/24</f>
        <v>658.1666666666666</v>
      </c>
      <c r="E163" s="2">
        <f t="shared" si="8"/>
        <v>6535.966666666667</v>
      </c>
    </row>
    <row r="164" spans="1:5" ht="12.75">
      <c r="A164" s="2" t="s">
        <v>1513</v>
      </c>
      <c r="B164" s="2">
        <f>'SCH Summary'!C165/30</f>
        <v>7421.766666666666</v>
      </c>
      <c r="C164" s="2">
        <f>'SCH Summary'!E165/24</f>
        <v>18.375</v>
      </c>
      <c r="E164" s="2">
        <f t="shared" si="8"/>
        <v>7440.141666666666</v>
      </c>
    </row>
    <row r="165" spans="1:5" ht="12.75">
      <c r="A165" s="2" t="s">
        <v>1519</v>
      </c>
      <c r="B165" s="2">
        <f>'SCH Summary'!C166/45</f>
        <v>101275.6</v>
      </c>
      <c r="C165" s="2">
        <f>'SCH Summary'!E166/36</f>
        <v>0</v>
      </c>
      <c r="D165">
        <f>'SCH Summary'!D166/900</f>
        <v>0</v>
      </c>
      <c r="E165" s="2">
        <f t="shared" si="8"/>
        <v>101275.6</v>
      </c>
    </row>
    <row r="166" spans="1:5" ht="12.75">
      <c r="A166" s="2" t="s">
        <v>1520</v>
      </c>
      <c r="B166" s="2">
        <f>'SCH Summary'!C167/30</f>
        <v>0</v>
      </c>
      <c r="C166" s="2">
        <f>'SCH Summary'!E167/24</f>
        <v>0</v>
      </c>
      <c r="D166">
        <f>'SCH Summary'!D167/900</f>
        <v>0</v>
      </c>
      <c r="E166" s="2">
        <f t="shared" si="8"/>
        <v>0</v>
      </c>
    </row>
    <row r="167" spans="1:5" ht="12.75">
      <c r="A167" t="s">
        <v>1517</v>
      </c>
      <c r="B167" s="2">
        <f>'SCH Summary'!C168/30</f>
        <v>0</v>
      </c>
      <c r="C167" s="2">
        <f>'SCH Summary'!E168/24</f>
        <v>0</v>
      </c>
      <c r="E167" s="2">
        <f t="shared" si="8"/>
        <v>0</v>
      </c>
    </row>
    <row r="168" spans="2:5" ht="12.75">
      <c r="B168" s="2"/>
      <c r="C168" s="2"/>
      <c r="E168" s="2"/>
    </row>
    <row r="169" spans="2:5" ht="12.75">
      <c r="B169" s="2">
        <f>SUM(B159:B167)</f>
        <v>219403.7</v>
      </c>
      <c r="C169" s="2">
        <f>SUM(C159:C167)</f>
        <v>16979.666666666668</v>
      </c>
      <c r="D169" s="2">
        <f>SUM(D159:D167)</f>
        <v>0</v>
      </c>
      <c r="E169" s="2">
        <f>SUM(B169:D169)</f>
        <v>236383.36666666667</v>
      </c>
    </row>
    <row r="170" spans="2:5" ht="12.75">
      <c r="B170" s="173" t="s">
        <v>1502</v>
      </c>
      <c r="C170" s="173" t="s">
        <v>1502</v>
      </c>
      <c r="D170" s="173" t="s">
        <v>1502</v>
      </c>
      <c r="E170" s="173" t="s">
        <v>1502</v>
      </c>
    </row>
    <row r="171" ht="12.75">
      <c r="A171" s="2"/>
    </row>
    <row r="172" spans="1:5" ht="12.75">
      <c r="A172" s="2"/>
      <c r="B172" s="2"/>
      <c r="C172" s="2"/>
      <c r="E172" s="2"/>
    </row>
    <row r="173" spans="1:5" ht="12.75">
      <c r="A173" s="13" t="s">
        <v>930</v>
      </c>
      <c r="B173" s="2" t="s">
        <v>1530</v>
      </c>
      <c r="C173" s="2"/>
      <c r="E173" s="2"/>
    </row>
    <row r="174" spans="1:5" ht="12.75">
      <c r="A174" s="2" t="s">
        <v>128</v>
      </c>
      <c r="B174" s="173" t="s">
        <v>1502</v>
      </c>
      <c r="C174" s="173" t="s">
        <v>1502</v>
      </c>
      <c r="D174" s="173" t="s">
        <v>1502</v>
      </c>
      <c r="E174" s="173" t="s">
        <v>1502</v>
      </c>
    </row>
    <row r="175" spans="1:5" ht="12.75">
      <c r="A175" s="2"/>
      <c r="B175" s="2" t="s">
        <v>1537</v>
      </c>
      <c r="C175" s="2" t="s">
        <v>1538</v>
      </c>
      <c r="D175" s="157" t="s">
        <v>1539</v>
      </c>
      <c r="E175" s="2" t="s">
        <v>1540</v>
      </c>
    </row>
    <row r="176" spans="1:5" ht="12.75">
      <c r="A176" s="2"/>
      <c r="B176" s="2"/>
      <c r="C176" s="2"/>
      <c r="E176" s="2"/>
    </row>
    <row r="177" ht="12.75">
      <c r="A177" s="2"/>
    </row>
    <row r="178" spans="1:5" ht="12.75">
      <c r="A178" s="2" t="s">
        <v>1507</v>
      </c>
      <c r="B178" s="2">
        <f>'SCH Summary'!C179/30</f>
        <v>26952.733333333334</v>
      </c>
      <c r="C178" s="2">
        <f>'SCH Summary'!E179/24</f>
        <v>6779.958333333333</v>
      </c>
      <c r="E178" s="2">
        <f aca="true" t="shared" si="9" ref="E178:E186">SUM(B178:D178)</f>
        <v>33732.691666666666</v>
      </c>
    </row>
    <row r="179" spans="1:5" ht="12.75">
      <c r="A179" s="2" t="s">
        <v>1509</v>
      </c>
      <c r="B179" s="2">
        <f>'SCH Summary'!C180/30</f>
        <v>0</v>
      </c>
      <c r="C179" s="2">
        <f>'SCH Summary'!E180/24</f>
        <v>0</v>
      </c>
      <c r="E179" s="2">
        <f t="shared" si="9"/>
        <v>0</v>
      </c>
    </row>
    <row r="180" spans="1:5" ht="12.75">
      <c r="A180" s="2" t="s">
        <v>1510</v>
      </c>
      <c r="B180" s="2">
        <f>'SCH Summary'!C181/30</f>
        <v>9524.666666666666</v>
      </c>
      <c r="C180" s="2">
        <f>'SCH Summary'!E181/24</f>
        <v>2138.5833333333335</v>
      </c>
      <c r="E180" s="2">
        <f t="shared" si="9"/>
        <v>11663.25</v>
      </c>
    </row>
    <row r="181" spans="1:5" ht="12.75">
      <c r="A181" s="2" t="s">
        <v>1511</v>
      </c>
      <c r="B181" s="2">
        <f>'SCH Summary'!C182/30</f>
        <v>10005.033333333333</v>
      </c>
      <c r="C181" s="2">
        <f>'SCH Summary'!E182/24</f>
        <v>1034.6666666666667</v>
      </c>
      <c r="E181" s="2">
        <f t="shared" si="9"/>
        <v>11039.699999999999</v>
      </c>
    </row>
    <row r="182" spans="1:5" ht="12.75">
      <c r="A182" s="2" t="s">
        <v>1512</v>
      </c>
      <c r="B182" s="2">
        <f>'SCH Summary'!C183/30</f>
        <v>12182</v>
      </c>
      <c r="C182" s="2">
        <f>'SCH Summary'!E183/24</f>
        <v>1205.25</v>
      </c>
      <c r="E182" s="2">
        <f t="shared" si="9"/>
        <v>13387.25</v>
      </c>
    </row>
    <row r="183" spans="1:5" ht="12.75">
      <c r="A183" s="2" t="s">
        <v>1513</v>
      </c>
      <c r="B183" s="2">
        <f>'SCH Summary'!C184/30</f>
        <v>5237.2</v>
      </c>
      <c r="C183" s="2">
        <f>'SCH Summary'!E184/24</f>
        <v>33.5</v>
      </c>
      <c r="E183" s="2">
        <f t="shared" si="9"/>
        <v>5270.7</v>
      </c>
    </row>
    <row r="184" spans="1:5" ht="12.75">
      <c r="A184" s="2" t="s">
        <v>1519</v>
      </c>
      <c r="B184" s="2">
        <f>'SCH Summary'!C185/30</f>
        <v>38064.166666666664</v>
      </c>
      <c r="C184" s="2">
        <f>'SCH Summary'!E185/24</f>
        <v>0</v>
      </c>
      <c r="D184">
        <f>'SCH Summary'!D185/900</f>
        <v>0</v>
      </c>
      <c r="E184" s="2">
        <f t="shared" si="9"/>
        <v>38064.166666666664</v>
      </c>
    </row>
    <row r="185" spans="1:5" ht="12.75">
      <c r="A185" s="2" t="s">
        <v>1520</v>
      </c>
      <c r="B185" s="2">
        <f>'SCH Summary'!C186/30</f>
        <v>0</v>
      </c>
      <c r="C185" s="2">
        <f>'SCH Summary'!E186/24</f>
        <v>0</v>
      </c>
      <c r="D185">
        <f>'SCH Summary'!D186/900</f>
        <v>0</v>
      </c>
      <c r="E185" s="2">
        <f t="shared" si="9"/>
        <v>0</v>
      </c>
    </row>
    <row r="186" spans="1:5" ht="12.75">
      <c r="A186" t="s">
        <v>1517</v>
      </c>
      <c r="B186" s="2">
        <f>'SCH Summary'!C187/30</f>
        <v>0</v>
      </c>
      <c r="C186" s="2">
        <f>'SCH Summary'!E187/24</f>
        <v>0</v>
      </c>
      <c r="E186" s="2">
        <f t="shared" si="9"/>
        <v>0</v>
      </c>
    </row>
    <row r="187" spans="2:5" ht="12.75">
      <c r="B187" s="2"/>
      <c r="C187" s="2"/>
      <c r="E187" s="2"/>
    </row>
    <row r="188" spans="2:5" ht="12.75">
      <c r="B188" s="2">
        <f>SUM(B178:B186)</f>
        <v>101965.79999999999</v>
      </c>
      <c r="C188" s="2">
        <f>SUM(C178:C186)</f>
        <v>11191.958333333332</v>
      </c>
      <c r="D188" s="2">
        <f>SUM(D178:D186)</f>
        <v>0</v>
      </c>
      <c r="E188" s="2">
        <f>SUM(B188:D188)</f>
        <v>113157.75833333332</v>
      </c>
    </row>
    <row r="189" spans="2:5" ht="12.75">
      <c r="B189" s="173" t="s">
        <v>1502</v>
      </c>
      <c r="C189" s="173" t="s">
        <v>1502</v>
      </c>
      <c r="D189" s="173" t="s">
        <v>1502</v>
      </c>
      <c r="E189" s="173" t="s">
        <v>1502</v>
      </c>
    </row>
    <row r="190" ht="12.75">
      <c r="A190" s="2"/>
    </row>
    <row r="191" spans="1:5" ht="12.75">
      <c r="A191" s="2"/>
      <c r="B191" s="2"/>
      <c r="C191" s="2"/>
      <c r="E191" s="2"/>
    </row>
    <row r="192" spans="1:5" ht="12.75">
      <c r="A192" s="13" t="s">
        <v>991</v>
      </c>
      <c r="B192" s="2" t="s">
        <v>1530</v>
      </c>
      <c r="C192" s="2"/>
      <c r="E192" s="2"/>
    </row>
    <row r="193" spans="1:5" ht="12.75">
      <c r="A193" s="2" t="s">
        <v>128</v>
      </c>
      <c r="B193" s="173" t="s">
        <v>1502</v>
      </c>
      <c r="C193" s="173" t="s">
        <v>1502</v>
      </c>
      <c r="D193" s="173" t="s">
        <v>1502</v>
      </c>
      <c r="E193" s="173" t="s">
        <v>1502</v>
      </c>
    </row>
    <row r="194" spans="1:5" ht="12.75">
      <c r="A194" s="2"/>
      <c r="B194" s="2" t="s">
        <v>1537</v>
      </c>
      <c r="C194" s="2" t="s">
        <v>1538</v>
      </c>
      <c r="D194" s="157" t="s">
        <v>1539</v>
      </c>
      <c r="E194" s="2" t="s">
        <v>1540</v>
      </c>
    </row>
    <row r="195" spans="1:5" ht="12.75">
      <c r="A195" s="2"/>
      <c r="B195" s="2"/>
      <c r="C195" s="2"/>
      <c r="E195" s="2"/>
    </row>
    <row r="196" ht="12.75">
      <c r="A196" s="2"/>
    </row>
    <row r="197" spans="1:5" ht="12.75">
      <c r="A197" s="2" t="s">
        <v>1507</v>
      </c>
      <c r="B197" s="2">
        <f>'SCH Summary'!C198/30</f>
        <v>13978</v>
      </c>
      <c r="C197" s="2">
        <f>'SCH Summary'!E198/24</f>
        <v>5542.166666666667</v>
      </c>
      <c r="E197" s="2">
        <f aca="true" t="shared" si="10" ref="E197:E205">SUM(B197:D197)</f>
        <v>19520.166666666668</v>
      </c>
    </row>
    <row r="198" spans="1:5" ht="12.75">
      <c r="A198" s="2" t="s">
        <v>1509</v>
      </c>
      <c r="B198" s="2">
        <f>'SCH Summary'!C199/30</f>
        <v>13025.933333333332</v>
      </c>
      <c r="C198" s="2">
        <f>'SCH Summary'!E199/24</f>
        <v>3005.75</v>
      </c>
      <c r="E198" s="2">
        <f t="shared" si="10"/>
        <v>16031.683333333332</v>
      </c>
    </row>
    <row r="199" spans="1:5" ht="12.75">
      <c r="A199" s="2" t="s">
        <v>1510</v>
      </c>
      <c r="B199" s="2">
        <f>'SCH Summary'!C200/30</f>
        <v>3832.733333333333</v>
      </c>
      <c r="C199" s="2">
        <f>'SCH Summary'!E200/24</f>
        <v>786.5833333333334</v>
      </c>
      <c r="E199" s="2">
        <f t="shared" si="10"/>
        <v>4619.316666666667</v>
      </c>
    </row>
    <row r="200" spans="1:5" ht="12.75">
      <c r="A200" s="2" t="s">
        <v>1511</v>
      </c>
      <c r="B200" s="2">
        <f>'SCH Summary'!C201/30</f>
        <v>8076.1</v>
      </c>
      <c r="C200" s="2">
        <f>'SCH Summary'!E201/24</f>
        <v>599.7083333333334</v>
      </c>
      <c r="E200" s="2">
        <f t="shared" si="10"/>
        <v>8675.808333333334</v>
      </c>
    </row>
    <row r="201" spans="1:5" ht="12.75">
      <c r="A201" s="2" t="s">
        <v>1512</v>
      </c>
      <c r="B201" s="2">
        <f>'SCH Summary'!C202/30</f>
        <v>9880.066666666668</v>
      </c>
      <c r="C201" s="2">
        <f>'SCH Summary'!E202/24</f>
        <v>1963.25</v>
      </c>
      <c r="E201" s="2">
        <f t="shared" si="10"/>
        <v>11843.316666666668</v>
      </c>
    </row>
    <row r="202" spans="1:5" ht="12.75">
      <c r="A202" s="2" t="s">
        <v>1513</v>
      </c>
      <c r="B202" s="2">
        <f>'SCH Summary'!C203/30</f>
        <v>10667.466666666667</v>
      </c>
      <c r="C202" s="2">
        <f>'SCH Summary'!E203/24</f>
        <v>325.2083333333333</v>
      </c>
      <c r="E202" s="2">
        <f t="shared" si="10"/>
        <v>10992.675000000001</v>
      </c>
    </row>
    <row r="203" spans="1:5" ht="12.75">
      <c r="A203" s="2" t="s">
        <v>1519</v>
      </c>
      <c r="B203" s="2">
        <f>'SCH Summary'!C204/30</f>
        <v>44092.666666666664</v>
      </c>
      <c r="C203" s="2">
        <f>'SCH Summary'!E204/24</f>
        <v>0</v>
      </c>
      <c r="D203">
        <f>'SCH Summary'!D204/900</f>
        <v>0</v>
      </c>
      <c r="E203" s="2">
        <f t="shared" si="10"/>
        <v>44092.666666666664</v>
      </c>
    </row>
    <row r="204" spans="1:5" ht="12.75">
      <c r="A204" s="2" t="s">
        <v>1520</v>
      </c>
      <c r="B204" s="2">
        <f>'SCH Summary'!C205/30</f>
        <v>0</v>
      </c>
      <c r="C204" s="2">
        <f>'SCH Summary'!E205/24</f>
        <v>0</v>
      </c>
      <c r="D204">
        <f>'SCH Summary'!D205/900</f>
        <v>0</v>
      </c>
      <c r="E204" s="2">
        <f t="shared" si="10"/>
        <v>0</v>
      </c>
    </row>
    <row r="205" spans="1:5" ht="12.75">
      <c r="A205" t="s">
        <v>1517</v>
      </c>
      <c r="B205" s="2">
        <f>'SCH Summary'!C206/30</f>
        <v>0</v>
      </c>
      <c r="C205" s="2">
        <f>'SCH Summary'!E206/24</f>
        <v>0</v>
      </c>
      <c r="E205" s="2">
        <f t="shared" si="10"/>
        <v>0</v>
      </c>
    </row>
    <row r="206" spans="2:5" ht="12.75">
      <c r="B206" s="2"/>
      <c r="C206" s="2"/>
      <c r="E206" s="2"/>
    </row>
    <row r="207" spans="2:5" ht="12.75">
      <c r="B207" s="2">
        <f>SUM(B197:B205)</f>
        <v>103552.96666666667</v>
      </c>
      <c r="C207" s="2">
        <f>SUM(C197:C205)</f>
        <v>12222.66666666667</v>
      </c>
      <c r="D207" s="2">
        <f>SUM(D197:D205)</f>
        <v>0</v>
      </c>
      <c r="E207" s="2">
        <f>SUM(B207:D207)</f>
        <v>115775.63333333335</v>
      </c>
    </row>
    <row r="208" spans="2:5" ht="12.75">
      <c r="B208" s="173" t="s">
        <v>1502</v>
      </c>
      <c r="C208" s="173" t="s">
        <v>1502</v>
      </c>
      <c r="D208" s="173" t="s">
        <v>1502</v>
      </c>
      <c r="E208" s="173" t="s">
        <v>1502</v>
      </c>
    </row>
    <row r="209" spans="1:5" ht="12.75">
      <c r="A209" s="2"/>
      <c r="B209" s="2"/>
      <c r="C209" s="2"/>
      <c r="E209" s="2"/>
    </row>
    <row r="210" spans="1:5" ht="12.75">
      <c r="A210" s="2"/>
      <c r="B210" s="2"/>
      <c r="C210" s="2"/>
      <c r="E210" s="2"/>
    </row>
    <row r="211" spans="1:5" ht="12.75">
      <c r="A211" s="13" t="s">
        <v>1058</v>
      </c>
      <c r="B211" s="2" t="s">
        <v>1530</v>
      </c>
      <c r="C211" s="2"/>
      <c r="E211" s="2"/>
    </row>
    <row r="212" spans="1:5" ht="12.75">
      <c r="A212" s="2" t="s">
        <v>128</v>
      </c>
      <c r="B212" s="173" t="s">
        <v>1502</v>
      </c>
      <c r="C212" s="173" t="s">
        <v>1502</v>
      </c>
      <c r="D212" s="173" t="s">
        <v>1502</v>
      </c>
      <c r="E212" s="173" t="s">
        <v>1502</v>
      </c>
    </row>
    <row r="213" spans="1:5" ht="12.75">
      <c r="A213" s="2"/>
      <c r="B213" s="2" t="s">
        <v>1537</v>
      </c>
      <c r="C213" s="2" t="s">
        <v>1538</v>
      </c>
      <c r="D213" s="157" t="s">
        <v>1539</v>
      </c>
      <c r="E213" s="2" t="s">
        <v>1540</v>
      </c>
    </row>
    <row r="214" spans="1:5" ht="12.75">
      <c r="A214" s="2"/>
      <c r="B214" s="2"/>
      <c r="C214" s="2"/>
      <c r="E214" s="2"/>
    </row>
    <row r="215" ht="12.75">
      <c r="A215" s="2"/>
    </row>
    <row r="216" spans="1:5" ht="12.75">
      <c r="A216" s="2" t="s">
        <v>1507</v>
      </c>
      <c r="B216" s="2">
        <f>'SCH Summary'!C217/30</f>
        <v>17135.466666666667</v>
      </c>
      <c r="C216" s="2">
        <f>'SCH Summary'!E217/24</f>
        <v>5545.041666666667</v>
      </c>
      <c r="E216" s="2">
        <f aca="true" t="shared" si="11" ref="E216:E224">SUM(B216:D216)</f>
        <v>22680.508333333335</v>
      </c>
    </row>
    <row r="217" spans="1:5" ht="12.75">
      <c r="A217" s="2" t="s">
        <v>1509</v>
      </c>
      <c r="B217" s="2">
        <f>'SCH Summary'!C218/30</f>
        <v>13260.833333333334</v>
      </c>
      <c r="C217" s="2">
        <f>'SCH Summary'!E218/24</f>
        <v>3742.7083333333335</v>
      </c>
      <c r="E217" s="2">
        <f t="shared" si="11"/>
        <v>17003.541666666668</v>
      </c>
    </row>
    <row r="218" spans="1:5" ht="12.75">
      <c r="A218" s="2" t="s">
        <v>1510</v>
      </c>
      <c r="B218" s="2">
        <f>'SCH Summary'!C219/30</f>
        <v>28802.966666666667</v>
      </c>
      <c r="C218" s="2">
        <f>'SCH Summary'!E219/24</f>
        <v>3644.25</v>
      </c>
      <c r="E218" s="2">
        <f t="shared" si="11"/>
        <v>32447.216666666667</v>
      </c>
    </row>
    <row r="219" spans="1:5" ht="12.75">
      <c r="A219" s="2" t="s">
        <v>1511</v>
      </c>
      <c r="B219" s="2">
        <f>'SCH Summary'!C220/30</f>
        <v>19047.166666666668</v>
      </c>
      <c r="C219" s="2">
        <f>'SCH Summary'!E220/24</f>
        <v>1889.9583333333333</v>
      </c>
      <c r="E219" s="2">
        <f t="shared" si="11"/>
        <v>20937.125</v>
      </c>
    </row>
    <row r="220" spans="1:5" ht="12.75">
      <c r="A220" s="2" t="s">
        <v>1512</v>
      </c>
      <c r="B220" s="2">
        <f>'SCH Summary'!C221/30</f>
        <v>5391.2</v>
      </c>
      <c r="C220" s="2">
        <f>'SCH Summary'!E221/24</f>
        <v>210.45833333333334</v>
      </c>
      <c r="E220" s="2">
        <f t="shared" si="11"/>
        <v>5601.658333333333</v>
      </c>
    </row>
    <row r="221" spans="1:5" ht="12.75">
      <c r="A221" s="2" t="s">
        <v>1513</v>
      </c>
      <c r="B221" s="2">
        <f>'SCH Summary'!C222/30</f>
        <v>0</v>
      </c>
      <c r="C221" s="2">
        <f>'SCH Summary'!E222/24</f>
        <v>0</v>
      </c>
      <c r="E221" s="2">
        <f t="shared" si="11"/>
        <v>0</v>
      </c>
    </row>
    <row r="222" spans="1:5" ht="12.75">
      <c r="A222" s="2" t="s">
        <v>1519</v>
      </c>
      <c r="B222" s="2">
        <f>'SCH Summary'!C223/30</f>
        <v>47780.03333333333</v>
      </c>
      <c r="C222" s="2">
        <f>'SCH Summary'!E223/24</f>
        <v>0</v>
      </c>
      <c r="D222">
        <f>'SCH Summary'!D223/900</f>
        <v>0</v>
      </c>
      <c r="E222" s="2">
        <f t="shared" si="11"/>
        <v>47780.03333333333</v>
      </c>
    </row>
    <row r="223" spans="1:5" ht="12.75">
      <c r="A223" s="2" t="s">
        <v>1520</v>
      </c>
      <c r="B223" s="2">
        <f>'SCH Summary'!C224/30</f>
        <v>0</v>
      </c>
      <c r="C223" s="2">
        <f>'SCH Summary'!E224/24</f>
        <v>0</v>
      </c>
      <c r="D223" s="2">
        <f>'SCH Summary'!D224/900</f>
        <v>5288.651111111111</v>
      </c>
      <c r="E223" s="2">
        <f t="shared" si="11"/>
        <v>5288.651111111111</v>
      </c>
    </row>
    <row r="224" spans="1:5" ht="12.75">
      <c r="A224" t="s">
        <v>1517</v>
      </c>
      <c r="B224" s="2">
        <f>'SCH Summary'!C225/30</f>
        <v>0</v>
      </c>
      <c r="C224" s="2">
        <f>'SCH Summary'!E225/24</f>
        <v>0</v>
      </c>
      <c r="E224" s="2">
        <f t="shared" si="11"/>
        <v>0</v>
      </c>
    </row>
    <row r="225" spans="2:5" ht="12.75">
      <c r="B225" s="2"/>
      <c r="C225" s="2"/>
      <c r="E225" s="2"/>
    </row>
    <row r="226" spans="2:5" ht="12.75">
      <c r="B226" s="2">
        <f>SUM(B216:B224)</f>
        <v>131417.66666666666</v>
      </c>
      <c r="C226" s="2">
        <f>SUM(C216:C224)</f>
        <v>15032.416666666668</v>
      </c>
      <c r="D226" s="2">
        <f>SUM(D216:D224)</f>
        <v>5288.651111111111</v>
      </c>
      <c r="E226" s="2">
        <f>SUM(B226:D226)</f>
        <v>151738.73444444442</v>
      </c>
    </row>
    <row r="227" spans="2:5" ht="12.75">
      <c r="B227" s="173" t="s">
        <v>1502</v>
      </c>
      <c r="C227" s="173" t="s">
        <v>1502</v>
      </c>
      <c r="D227" s="173" t="s">
        <v>1502</v>
      </c>
      <c r="E227" s="173" t="s">
        <v>1502</v>
      </c>
    </row>
    <row r="228" spans="1:5" ht="12.75">
      <c r="A228" s="2"/>
      <c r="B228" s="2"/>
      <c r="C228" s="2"/>
      <c r="E228" s="2"/>
    </row>
    <row r="229" spans="1:5" ht="12.75">
      <c r="A229" s="2"/>
      <c r="B229" s="2"/>
      <c r="C229" s="2"/>
      <c r="E229" s="2"/>
    </row>
    <row r="230" spans="1:5" ht="12.75">
      <c r="A230" s="13" t="s">
        <v>1162</v>
      </c>
      <c r="B230" s="2" t="s">
        <v>1530</v>
      </c>
      <c r="C230" s="2"/>
      <c r="E230" s="2"/>
    </row>
    <row r="231" spans="1:5" ht="12.75">
      <c r="A231" s="2" t="s">
        <v>128</v>
      </c>
      <c r="B231" s="173" t="s">
        <v>1502</v>
      </c>
      <c r="C231" s="173" t="s">
        <v>1502</v>
      </c>
      <c r="D231" s="173" t="s">
        <v>1502</v>
      </c>
      <c r="E231" s="173" t="s">
        <v>1502</v>
      </c>
    </row>
    <row r="232" spans="1:5" ht="12.75">
      <c r="A232" s="2"/>
      <c r="B232" s="2" t="s">
        <v>1537</v>
      </c>
      <c r="C232" s="2" t="s">
        <v>1538</v>
      </c>
      <c r="D232" s="157" t="s">
        <v>1539</v>
      </c>
      <c r="E232" s="2" t="s">
        <v>1540</v>
      </c>
    </row>
    <row r="233" spans="1:5" ht="12.75">
      <c r="A233" s="2"/>
      <c r="B233" s="2"/>
      <c r="C233" s="2"/>
      <c r="E233" s="2"/>
    </row>
    <row r="234" ht="12.75">
      <c r="A234" s="2"/>
    </row>
    <row r="235" spans="1:5" ht="12.75">
      <c r="A235" s="2" t="s">
        <v>1507</v>
      </c>
      <c r="B235" s="2">
        <f>'SCH Summary'!C236/30</f>
        <v>125096.5</v>
      </c>
      <c r="C235" s="2">
        <f>'SCH Summary'!E236/24</f>
        <v>32649</v>
      </c>
      <c r="E235" s="2">
        <f aca="true" t="shared" si="12" ref="E235:E243">SUM(B235:D235)</f>
        <v>157745.5</v>
      </c>
    </row>
    <row r="236" spans="1:5" ht="12.75">
      <c r="A236" s="2" t="s">
        <v>1509</v>
      </c>
      <c r="B236" s="2">
        <f>'SCH Summary'!C237/30</f>
        <v>18381.9</v>
      </c>
      <c r="C236" s="2">
        <f>'SCH Summary'!E237/24</f>
        <v>5351.708333333333</v>
      </c>
      <c r="E236" s="2">
        <f t="shared" si="12"/>
        <v>23733.608333333334</v>
      </c>
    </row>
    <row r="237" spans="1:5" ht="12.75">
      <c r="A237" s="2" t="s">
        <v>1510</v>
      </c>
      <c r="B237" s="2">
        <f>'SCH Summary'!C238/30</f>
        <v>104623.53333333334</v>
      </c>
      <c r="C237" s="2">
        <f>'SCH Summary'!E238/24</f>
        <v>15147.625</v>
      </c>
      <c r="E237" s="2">
        <f t="shared" si="12"/>
        <v>119771.15833333334</v>
      </c>
    </row>
    <row r="238" spans="1:5" ht="12.75">
      <c r="A238" s="2" t="s">
        <v>1511</v>
      </c>
      <c r="B238" s="2">
        <f>'SCH Summary'!C239/30</f>
        <v>28274.2</v>
      </c>
      <c r="C238" s="2">
        <f>'SCH Summary'!E239/24</f>
        <v>2321.2083333333335</v>
      </c>
      <c r="E238" s="2">
        <f t="shared" si="12"/>
        <v>30595.408333333333</v>
      </c>
    </row>
    <row r="239" spans="1:5" ht="12.75">
      <c r="A239" s="2" t="s">
        <v>1512</v>
      </c>
      <c r="B239" s="2">
        <f>'SCH Summary'!C240/30</f>
        <v>2704.766666666667</v>
      </c>
      <c r="C239" s="2">
        <f>'SCH Summary'!E240/24</f>
        <v>1011.9166666666666</v>
      </c>
      <c r="E239" s="2">
        <f t="shared" si="12"/>
        <v>3716.6833333333334</v>
      </c>
    </row>
    <row r="240" spans="1:5" ht="12.75">
      <c r="A240" s="2" t="s">
        <v>1513</v>
      </c>
      <c r="B240" s="2">
        <f>'SCH Summary'!C241/30</f>
        <v>6697.133333333333</v>
      </c>
      <c r="C240" s="2">
        <f>'SCH Summary'!E241/24</f>
        <v>0</v>
      </c>
      <c r="E240" s="2">
        <f t="shared" si="12"/>
        <v>6697.133333333333</v>
      </c>
    </row>
    <row r="241" spans="1:5" ht="12.75">
      <c r="A241" s="2" t="s">
        <v>1519</v>
      </c>
      <c r="B241" s="2">
        <f>'SCH Summary'!C242/30</f>
        <v>285307.0333333333</v>
      </c>
      <c r="C241" s="2">
        <f>'SCH Summary'!E242/24</f>
        <v>0</v>
      </c>
      <c r="D241" s="2">
        <f>'SCH Summary'!D242/900</f>
        <v>20096.665555555555</v>
      </c>
      <c r="E241" s="2">
        <f t="shared" si="12"/>
        <v>305403.6988888889</v>
      </c>
    </row>
    <row r="242" spans="1:5" ht="12.75">
      <c r="A242" s="2" t="s">
        <v>1520</v>
      </c>
      <c r="B242" s="2">
        <f>'SCH Summary'!C243/30</f>
        <v>0</v>
      </c>
      <c r="C242" s="2">
        <f>'SCH Summary'!E243/24</f>
        <v>0</v>
      </c>
      <c r="D242">
        <f>'SCH Summary'!D243/900</f>
        <v>0</v>
      </c>
      <c r="E242" s="2">
        <f t="shared" si="12"/>
        <v>0</v>
      </c>
    </row>
    <row r="243" spans="1:5" ht="12.75">
      <c r="A243" t="s">
        <v>1517</v>
      </c>
      <c r="B243" s="2">
        <f>'SCH Summary'!C244/30</f>
        <v>0</v>
      </c>
      <c r="C243" s="2">
        <f>'SCH Summary'!E244/24</f>
        <v>0</v>
      </c>
      <c r="E243" s="2">
        <f t="shared" si="12"/>
        <v>0</v>
      </c>
    </row>
    <row r="244" spans="2:5" ht="12.75">
      <c r="B244" s="2"/>
      <c r="C244" s="2"/>
      <c r="E244" s="2"/>
    </row>
    <row r="245" spans="2:5" ht="12.75">
      <c r="B245" s="2">
        <f>SUM(B235:B243)</f>
        <v>571085.0666666667</v>
      </c>
      <c r="C245" s="2">
        <f>SUM(C235:C243)</f>
        <v>56481.458333333336</v>
      </c>
      <c r="D245" s="2">
        <f>SUM(D235:D243)</f>
        <v>20096.665555555555</v>
      </c>
      <c r="E245" s="2">
        <f>SUM(B245:D245)</f>
        <v>647663.1905555556</v>
      </c>
    </row>
    <row r="246" spans="2:5" ht="12.75">
      <c r="B246" s="173" t="s">
        <v>1502</v>
      </c>
      <c r="C246" s="173" t="s">
        <v>1502</v>
      </c>
      <c r="D246" s="173" t="s">
        <v>1502</v>
      </c>
      <c r="E246" s="173" t="s">
        <v>1502</v>
      </c>
    </row>
    <row r="247" spans="1:5" ht="12.75">
      <c r="A247" s="2"/>
      <c r="B247" s="2"/>
      <c r="C247" s="2"/>
      <c r="E247" s="2"/>
    </row>
    <row r="248" spans="1:5" ht="12.75">
      <c r="A248" s="2"/>
      <c r="B248" s="2"/>
      <c r="C248" s="2"/>
      <c r="E248" s="2"/>
    </row>
    <row r="249" spans="1:5" ht="12.75">
      <c r="A249" s="13" t="s">
        <v>1373</v>
      </c>
      <c r="B249" s="2" t="s">
        <v>1530</v>
      </c>
      <c r="C249" s="2"/>
      <c r="E249" s="2"/>
    </row>
    <row r="250" spans="1:5" ht="12.75">
      <c r="A250" s="2" t="s">
        <v>128</v>
      </c>
      <c r="B250" s="173" t="s">
        <v>1502</v>
      </c>
      <c r="C250" s="173" t="s">
        <v>1502</v>
      </c>
      <c r="D250" s="173" t="s">
        <v>1502</v>
      </c>
      <c r="E250" s="173" t="s">
        <v>1502</v>
      </c>
    </row>
    <row r="251" spans="1:5" ht="12.75">
      <c r="A251" s="2"/>
      <c r="B251" s="2" t="s">
        <v>1537</v>
      </c>
      <c r="C251" s="2" t="s">
        <v>1538</v>
      </c>
      <c r="D251" s="157" t="s">
        <v>1539</v>
      </c>
      <c r="E251" s="2" t="s">
        <v>1540</v>
      </c>
    </row>
    <row r="252" spans="1:5" ht="12.75">
      <c r="A252" s="2"/>
      <c r="B252" s="2"/>
      <c r="C252" s="82"/>
      <c r="E252" s="2"/>
    </row>
    <row r="253" ht="12.75">
      <c r="A253" s="2"/>
    </row>
    <row r="254" spans="1:5" ht="12.75">
      <c r="A254" s="2" t="s">
        <v>1507</v>
      </c>
      <c r="B254" s="2">
        <f>'SCH Summary'!C255/30</f>
        <v>32850.5</v>
      </c>
      <c r="C254" s="2">
        <f>'SCH Summary'!E255/24</f>
        <v>12124.083333333334</v>
      </c>
      <c r="E254" s="2">
        <f aca="true" t="shared" si="13" ref="E254:E262">SUM(B254:D254)</f>
        <v>44974.583333333336</v>
      </c>
    </row>
    <row r="255" spans="1:5" ht="12.75">
      <c r="A255" s="2" t="s">
        <v>1509</v>
      </c>
      <c r="B255" s="2">
        <f>'SCH Summary'!C256/30</f>
        <v>39150.96666666667</v>
      </c>
      <c r="C255" s="2">
        <f>'SCH Summary'!E256/24</f>
        <v>14607.625</v>
      </c>
      <c r="E255" s="2">
        <f t="shared" si="13"/>
        <v>53758.59166666667</v>
      </c>
    </row>
    <row r="256" spans="1:5" ht="12.75">
      <c r="A256" s="2" t="s">
        <v>1510</v>
      </c>
      <c r="B256" s="2">
        <f>'SCH Summary'!C257/30</f>
        <v>10997.3</v>
      </c>
      <c r="C256" s="2">
        <f>'SCH Summary'!E257/24</f>
        <v>790.2083333333334</v>
      </c>
      <c r="E256" s="2">
        <f t="shared" si="13"/>
        <v>11787.508333333333</v>
      </c>
    </row>
    <row r="257" spans="1:5" ht="12.75">
      <c r="A257" s="2" t="s">
        <v>1511</v>
      </c>
      <c r="B257" s="2">
        <f>'SCH Summary'!C258/30</f>
        <v>17830.566666666666</v>
      </c>
      <c r="C257" s="2">
        <f>'SCH Summary'!E258/24</f>
        <v>1724.3333333333333</v>
      </c>
      <c r="E257" s="2">
        <f t="shared" si="13"/>
        <v>19554.899999999998</v>
      </c>
    </row>
    <row r="258" spans="1:5" ht="12.75">
      <c r="A258" s="2" t="s">
        <v>1512</v>
      </c>
      <c r="B258" s="2">
        <f>'SCH Summary'!C259/30</f>
        <v>3099.7</v>
      </c>
      <c r="C258" s="2">
        <f>'SCH Summary'!E259/24</f>
        <v>268.4583333333333</v>
      </c>
      <c r="E258" s="2">
        <f t="shared" si="13"/>
        <v>3368.1583333333333</v>
      </c>
    </row>
    <row r="259" spans="1:5" ht="12.75">
      <c r="A259" s="2" t="s">
        <v>1513</v>
      </c>
      <c r="B259" s="2">
        <f>'SCH Summary'!C260/30</f>
        <v>8027.966666666666</v>
      </c>
      <c r="C259" s="2">
        <f>'SCH Summary'!E260/24</f>
        <v>73.20833333333333</v>
      </c>
      <c r="E259" s="2">
        <f t="shared" si="13"/>
        <v>8101.174999999999</v>
      </c>
    </row>
    <row r="260" spans="1:5" ht="12.75">
      <c r="A260" s="2" t="s">
        <v>1519</v>
      </c>
      <c r="B260" s="2">
        <f>'SCH Summary'!C261/30</f>
        <v>73519.86666666667</v>
      </c>
      <c r="C260" s="2">
        <f>'SCH Summary'!E261/24</f>
        <v>0</v>
      </c>
      <c r="D260">
        <f>'SCH Summary'!D261/900</f>
        <v>0</v>
      </c>
      <c r="E260" s="2">
        <f t="shared" si="13"/>
        <v>73519.86666666667</v>
      </c>
    </row>
    <row r="261" spans="1:5" ht="12.75">
      <c r="A261" s="2" t="s">
        <v>1520</v>
      </c>
      <c r="B261" s="2">
        <f>'SCH Summary'!C262/30</f>
        <v>0</v>
      </c>
      <c r="C261" s="2">
        <f>'SCH Summary'!E262/24</f>
        <v>0</v>
      </c>
      <c r="D261">
        <f>'SCH Summary'!D262/900</f>
        <v>0</v>
      </c>
      <c r="E261" s="2">
        <f t="shared" si="13"/>
        <v>0</v>
      </c>
    </row>
    <row r="262" spans="1:5" ht="12.75">
      <c r="A262" t="s">
        <v>1517</v>
      </c>
      <c r="B262" s="2">
        <f>'SCH Summary'!C263/30</f>
        <v>0</v>
      </c>
      <c r="C262" s="2">
        <f>'SCH Summary'!E263/24</f>
        <v>0</v>
      </c>
      <c r="E262" s="2">
        <f t="shared" si="13"/>
        <v>0</v>
      </c>
    </row>
    <row r="263" spans="2:5" ht="12.75">
      <c r="B263" s="2"/>
      <c r="C263" s="2"/>
      <c r="E263" s="2"/>
    </row>
    <row r="264" spans="2:5" ht="12.75">
      <c r="B264" s="2">
        <f>SUM(B254:B262)</f>
        <v>185476.86666666667</v>
      </c>
      <c r="C264" s="2">
        <f>SUM(C254:C262)</f>
        <v>29587.916666666664</v>
      </c>
      <c r="D264" s="2">
        <f>SUM(D254:D262)</f>
        <v>0</v>
      </c>
      <c r="E264" s="2">
        <f>SUM(B264:D264)</f>
        <v>215064.78333333333</v>
      </c>
    </row>
    <row r="265" spans="2:5" ht="12.75">
      <c r="B265" s="173" t="s">
        <v>1502</v>
      </c>
      <c r="C265" s="173" t="s">
        <v>1502</v>
      </c>
      <c r="D265" s="173" t="s">
        <v>1502</v>
      </c>
      <c r="E265" s="173" t="s">
        <v>1502</v>
      </c>
    </row>
    <row r="266" spans="1:5" ht="12.75">
      <c r="A266" s="2"/>
      <c r="B266" s="2"/>
      <c r="C266" s="2"/>
      <c r="E266" s="2"/>
    </row>
    <row r="267" spans="1:5" ht="12.75">
      <c r="A267" s="2"/>
      <c r="B267" s="2"/>
      <c r="C267" s="2"/>
      <c r="E267" s="2"/>
    </row>
    <row r="268" spans="1:5" ht="12.75">
      <c r="A268" s="13" t="s">
        <v>1408</v>
      </c>
      <c r="B268" s="2" t="s">
        <v>1530</v>
      </c>
      <c r="C268" s="2"/>
      <c r="E268" s="2"/>
    </row>
    <row r="269" spans="1:5" ht="12.75">
      <c r="A269" s="2" t="s">
        <v>128</v>
      </c>
      <c r="B269" s="173" t="s">
        <v>1502</v>
      </c>
      <c r="C269" s="173" t="s">
        <v>1502</v>
      </c>
      <c r="D269" s="173" t="s">
        <v>1502</v>
      </c>
      <c r="E269" s="173" t="s">
        <v>1502</v>
      </c>
    </row>
    <row r="270" spans="1:5" ht="12.75">
      <c r="A270" s="2"/>
      <c r="B270" s="2" t="s">
        <v>1537</v>
      </c>
      <c r="C270" s="2" t="s">
        <v>1538</v>
      </c>
      <c r="D270" s="157" t="s">
        <v>1539</v>
      </c>
      <c r="E270" s="2" t="s">
        <v>1540</v>
      </c>
    </row>
    <row r="271" spans="1:5" ht="12.75">
      <c r="A271" s="2"/>
      <c r="B271" s="2"/>
      <c r="C271" s="2"/>
      <c r="E271" s="2"/>
    </row>
    <row r="272" ht="12.75">
      <c r="A272" s="2"/>
    </row>
    <row r="273" spans="1:5" ht="12.75">
      <c r="A273" s="2" t="s">
        <v>1507</v>
      </c>
      <c r="B273" s="2">
        <f>'SCH Summary'!C274/30</f>
        <v>14467.6</v>
      </c>
      <c r="C273" s="2">
        <f>'SCH Summary'!E274/24</f>
        <v>4629.291666666667</v>
      </c>
      <c r="E273" s="2">
        <f aca="true" t="shared" si="14" ref="E273:E281">SUM(B273:D273)</f>
        <v>19096.891666666666</v>
      </c>
    </row>
    <row r="274" spans="1:5" ht="12.75">
      <c r="A274" s="2" t="s">
        <v>1509</v>
      </c>
      <c r="B274" s="2">
        <f>'SCH Summary'!C275/30</f>
        <v>0</v>
      </c>
      <c r="C274" s="2">
        <f>'SCH Summary'!E275/24</f>
        <v>0</v>
      </c>
      <c r="E274" s="2">
        <f t="shared" si="14"/>
        <v>0</v>
      </c>
    </row>
    <row r="275" spans="1:5" ht="12.75">
      <c r="A275" s="2" t="s">
        <v>1510</v>
      </c>
      <c r="B275" s="2">
        <f>'SCH Summary'!C276/30</f>
        <v>8590.833333333334</v>
      </c>
      <c r="C275" s="2">
        <f>'SCH Summary'!E276/24</f>
        <v>1193.8333333333333</v>
      </c>
      <c r="E275" s="2">
        <f t="shared" si="14"/>
        <v>9784.666666666668</v>
      </c>
    </row>
    <row r="276" spans="1:5" ht="12.75">
      <c r="A276" s="2" t="s">
        <v>1511</v>
      </c>
      <c r="B276" s="2">
        <f>'SCH Summary'!C277/30</f>
        <v>0</v>
      </c>
      <c r="C276" s="2">
        <f>'SCH Summary'!E277/24</f>
        <v>0</v>
      </c>
      <c r="E276" s="2">
        <f t="shared" si="14"/>
        <v>0</v>
      </c>
    </row>
    <row r="277" spans="1:5" ht="12.75">
      <c r="A277" s="2" t="s">
        <v>1512</v>
      </c>
      <c r="B277" s="2">
        <f>'SCH Summary'!C278/30</f>
        <v>0</v>
      </c>
      <c r="C277" s="2">
        <f>'SCH Summary'!E278/24</f>
        <v>0</v>
      </c>
      <c r="E277" s="2">
        <f t="shared" si="14"/>
        <v>0</v>
      </c>
    </row>
    <row r="278" spans="1:5" ht="12.75">
      <c r="A278" s="2" t="s">
        <v>1513</v>
      </c>
      <c r="B278" s="2">
        <f>'SCH Summary'!C279/30</f>
        <v>22118.966666666667</v>
      </c>
      <c r="C278" s="2">
        <f>'SCH Summary'!E279/24</f>
        <v>15.833333333333334</v>
      </c>
      <c r="E278" s="2">
        <f t="shared" si="14"/>
        <v>22134.8</v>
      </c>
    </row>
    <row r="279" spans="1:5" ht="12.75">
      <c r="A279" s="2" t="s">
        <v>1519</v>
      </c>
      <c r="B279" s="2">
        <f>'SCH Summary'!C280/30</f>
        <v>7226.266666666666</v>
      </c>
      <c r="C279" s="2">
        <f>'SCH Summary'!E280/24</f>
        <v>0</v>
      </c>
      <c r="D279">
        <f>'SCH Summary'!D280/900</f>
        <v>0</v>
      </c>
      <c r="E279" s="2">
        <f t="shared" si="14"/>
        <v>7226.266666666666</v>
      </c>
    </row>
    <row r="280" spans="1:5" ht="12.75">
      <c r="A280" s="2" t="s">
        <v>1520</v>
      </c>
      <c r="B280" s="2">
        <f>'SCH Summary'!C281/30</f>
        <v>0</v>
      </c>
      <c r="C280" s="2">
        <f>'SCH Summary'!E281/24</f>
        <v>0</v>
      </c>
      <c r="D280">
        <f>'SCH Summary'!D281/900</f>
        <v>0</v>
      </c>
      <c r="E280" s="2">
        <f t="shared" si="14"/>
        <v>0</v>
      </c>
    </row>
    <row r="281" spans="1:5" ht="12.75">
      <c r="A281" t="s">
        <v>1517</v>
      </c>
      <c r="B281" s="2">
        <f>'SCH Summary'!C282/30</f>
        <v>0</v>
      </c>
      <c r="C281" s="2">
        <f>'SCH Summary'!E282/24</f>
        <v>0</v>
      </c>
      <c r="E281" s="2">
        <f t="shared" si="14"/>
        <v>0</v>
      </c>
    </row>
    <row r="282" spans="2:5" ht="12.75">
      <c r="B282" s="2"/>
      <c r="C282" s="2"/>
      <c r="E282" s="2"/>
    </row>
    <row r="283" spans="2:5" ht="12.75">
      <c r="B283" s="2">
        <f>SUM(B273:B281)</f>
        <v>52403.66666666667</v>
      </c>
      <c r="C283" s="2">
        <f>SUM(C273:C281)</f>
        <v>5838.958333333333</v>
      </c>
      <c r="D283" s="2">
        <f>SUM(D273:D281)</f>
        <v>0</v>
      </c>
      <c r="E283" s="2">
        <f>SUM(B283:D283)</f>
        <v>58242.62500000001</v>
      </c>
    </row>
    <row r="284" spans="2:5" ht="12.75">
      <c r="B284" s="173" t="s">
        <v>1502</v>
      </c>
      <c r="C284" s="173" t="s">
        <v>1502</v>
      </c>
      <c r="D284" s="173" t="s">
        <v>1502</v>
      </c>
      <c r="E284" s="173" t="s">
        <v>1502</v>
      </c>
    </row>
    <row r="285" spans="1:5" ht="12.75">
      <c r="A285" s="2"/>
      <c r="B285" s="178" t="s">
        <v>1522</v>
      </c>
      <c r="C285" s="178" t="s">
        <v>1522</v>
      </c>
      <c r="D285" s="178" t="s">
        <v>1522</v>
      </c>
      <c r="E285" s="178" t="s">
        <v>1522</v>
      </c>
    </row>
    <row r="286" spans="1:5" ht="12.75">
      <c r="A286" s="178" t="s">
        <v>1522</v>
      </c>
      <c r="B286" s="2"/>
      <c r="C286" s="2"/>
      <c r="E286" s="2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285"/>
  <sheetViews>
    <sheetView showGridLines="0" defaultGridColor="0" zoomScale="87" zoomScaleNormal="87" colorId="22" workbookViewId="0" topLeftCell="A90">
      <selection activeCell="A100" sqref="A100"/>
    </sheetView>
  </sheetViews>
  <sheetFormatPr defaultColWidth="9.7109375" defaultRowHeight="12.75"/>
  <sheetData>
    <row r="1" spans="1:2" ht="12.75">
      <c r="A1" s="13" t="s">
        <v>127</v>
      </c>
      <c r="B1" s="2" t="s">
        <v>1444</v>
      </c>
    </row>
    <row r="2" spans="1:2" ht="12.75">
      <c r="A2" s="2"/>
      <c r="B2" s="2" t="s">
        <v>1542</v>
      </c>
    </row>
    <row r="3" spans="1:2" ht="12.75">
      <c r="A3" s="2"/>
      <c r="B3" s="2"/>
    </row>
    <row r="4" spans="1:2" ht="12.75">
      <c r="A4" s="2"/>
      <c r="B4" s="2"/>
    </row>
    <row r="5" spans="1:2" ht="12.75">
      <c r="A5" s="2" t="s">
        <v>1507</v>
      </c>
      <c r="B5" s="2">
        <f>IF('FTE Calc'!E6&gt;0,(('Apprp. Summary'!C7+'Apprp. Summary'!G7)/'FTE Calc'!E6),0)</f>
        <v>5076.007059482436</v>
      </c>
    </row>
    <row r="6" spans="1:2" ht="12.75">
      <c r="A6" s="2" t="s">
        <v>1509</v>
      </c>
      <c r="B6" s="2">
        <f>IF('FTE Calc'!E7&gt;0,(('Apprp. Summary'!C8+'Apprp. Summary'!G8)/'FTE Calc'!E7),0)</f>
        <v>3338.4755440786066</v>
      </c>
    </row>
    <row r="7" spans="1:2" ht="12.75">
      <c r="A7" s="2" t="s">
        <v>1510</v>
      </c>
      <c r="B7" s="2">
        <f>IF('FTE Calc'!E8&gt;0,(('Apprp. Summary'!C9+'Apprp. Summary'!G9)/'FTE Calc'!E8),0)</f>
        <v>3961.5060857449075</v>
      </c>
    </row>
    <row r="8" spans="1:2" ht="12.75">
      <c r="A8" s="2" t="s">
        <v>1511</v>
      </c>
      <c r="B8" s="2">
        <f>IF('FTE Calc'!E9&gt;0,(('Apprp. Summary'!C10+'Apprp. Summary'!G10)/'FTE Calc'!E9),0)</f>
        <v>3053.9983257997546</v>
      </c>
    </row>
    <row r="9" spans="1:2" ht="12.75">
      <c r="A9" s="2" t="s">
        <v>1512</v>
      </c>
      <c r="B9" s="2">
        <f>IF('FTE Calc'!E10&gt;0,(('Apprp. Summary'!C11+'Apprp. Summary'!G11)/'FTE Calc'!E10),0)</f>
        <v>3912.4979414538916</v>
      </c>
    </row>
    <row r="10" spans="1:2" ht="12.75">
      <c r="A10" s="2" t="s">
        <v>1513</v>
      </c>
      <c r="B10" s="2">
        <f>IF('FTE Calc'!E11&gt;0,(('Apprp. Summary'!C12+'Apprp. Summary'!G12)/'FTE Calc'!E11),0)</f>
        <v>2608.258989954044</v>
      </c>
    </row>
    <row r="11" spans="1:2" ht="12.75">
      <c r="A11" s="2" t="s">
        <v>1519</v>
      </c>
      <c r="B11" s="2">
        <f>IF('FTE Calc'!E12&gt;0,(('Apprp. Summary'!C13+'Apprp. Summary'!G13)/'FTE Calc'!E12),0)</f>
        <v>2416.8758753145667</v>
      </c>
    </row>
    <row r="12" spans="1:2" ht="12.75">
      <c r="A12" s="2" t="s">
        <v>1520</v>
      </c>
      <c r="B12" s="2">
        <f>IF('FTE Calc'!E14&gt;0,(('Apprp. Summary'!C14+'Apprp. Summary'!G14)/'FTE Calc'!E14),0)</f>
        <v>4293.029745155296</v>
      </c>
    </row>
    <row r="13" spans="1:2" ht="12.75">
      <c r="A13" s="2" t="s">
        <v>1517</v>
      </c>
      <c r="B13" s="2">
        <f>IF('FTE Calc'!E15&gt;0,(('Apprp. Summary'!C15+'Apprp. Summary'!G15)/'FTE Calc'!E15),0)</f>
        <v>0</v>
      </c>
    </row>
    <row r="14" spans="1:2" ht="12.75">
      <c r="A14" s="2"/>
      <c r="B14" s="2"/>
    </row>
    <row r="15" spans="1:2" ht="12.75">
      <c r="A15" s="2"/>
      <c r="B15" s="2">
        <f>IF('FTE Calc'!E17&gt;0,(('Apprp. Summary'!C17+'Apprp. Summary'!G17)/'FTE Calc'!E17),0)</f>
        <v>3514.4069662010816</v>
      </c>
    </row>
    <row r="16" spans="1:2" ht="12.75">
      <c r="A16" s="2"/>
      <c r="B16" s="173" t="s">
        <v>1502</v>
      </c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13" t="s">
        <v>239</v>
      </c>
      <c r="B20" s="2" t="s">
        <v>1444</v>
      </c>
    </row>
    <row r="21" spans="1:2" ht="12.75">
      <c r="A21" s="2"/>
      <c r="B21" s="2" t="s">
        <v>1542</v>
      </c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>
        <f>IF('FTE Calc'!E26&gt;0,(('Apprp. Summary'!C26+'Apprp. Summary'!G26)/'FTE Calc'!E26),0)</f>
        <v>5724.9241128968615</v>
      </c>
    </row>
    <row r="25" spans="1:2" ht="12.75">
      <c r="A25" s="2"/>
      <c r="B25" s="2">
        <f>IF('FTE Calc'!E27&gt;0,(('Apprp. Summary'!C27+'Apprp. Summary'!G27)/'FTE Calc'!E27),0)</f>
        <v>0</v>
      </c>
    </row>
    <row r="26" spans="1:2" ht="12.75">
      <c r="A26" s="2"/>
      <c r="B26" s="2">
        <f>IF('FTE Calc'!E28&gt;0,(('Apprp. Summary'!C28+'Apprp. Summary'!G28)/'FTE Calc'!E28),0)</f>
        <v>4403.770443088458</v>
      </c>
    </row>
    <row r="27" spans="1:2" ht="12.75">
      <c r="A27" s="2"/>
      <c r="B27" s="2">
        <f>IF('FTE Calc'!E29&gt;0,(('Apprp. Summary'!C29+'Apprp. Summary'!G29)/'FTE Calc'!E29),0)</f>
        <v>0</v>
      </c>
    </row>
    <row r="28" spans="1:2" ht="12.75">
      <c r="A28" s="2"/>
      <c r="B28" s="2">
        <f>IF('FTE Calc'!E30&gt;0,(('Apprp. Summary'!C30+'Apprp. Summary'!G30)/'FTE Calc'!E30),0)</f>
        <v>3848.0484365002353</v>
      </c>
    </row>
    <row r="29" spans="1:2" ht="12.75">
      <c r="A29" s="2"/>
      <c r="B29" s="2">
        <f>IF('FTE Calc'!E31&gt;0,(('Apprp. Summary'!C31+'Apprp. Summary'!G31)/'FTE Calc'!E31),0)</f>
        <v>4423.27727439901</v>
      </c>
    </row>
    <row r="30" spans="1:2" ht="12.75">
      <c r="A30" s="2"/>
      <c r="B30" s="2">
        <f>IF('FTE Calc'!E32&gt;0,(('Apprp. Summary'!C32+'Apprp. Summary'!G32)/'FTE Calc'!E32),0)</f>
        <v>4025.1167311019503</v>
      </c>
    </row>
    <row r="31" spans="1:2" ht="12.75">
      <c r="A31" s="2"/>
      <c r="B31" s="2">
        <f>IF('FTE Calc'!E33&gt;0,(('Apprp. Summary'!C33+'Apprp. Summary'!G33)/'FTE Calc'!E33),0)</f>
        <v>0</v>
      </c>
    </row>
    <row r="32" spans="1:2" ht="12.75">
      <c r="A32" s="2"/>
      <c r="B32" s="2">
        <f>IF('FTE Calc'!E34&gt;0,(('Apprp. Summary'!C34+'Apprp. Summary'!G34)/'FTE Calc'!E34),0)</f>
        <v>0</v>
      </c>
    </row>
    <row r="33" spans="1:2" ht="12.75">
      <c r="A33" s="2"/>
      <c r="B33" s="2"/>
    </row>
    <row r="34" spans="1:2" ht="12.75">
      <c r="A34" s="2"/>
      <c r="B34" s="2">
        <f>IF('FTE Calc'!E36&gt;0,(('Apprp. Summary'!C36+'Apprp. Summary'!G36)/'FTE Calc'!E36),0)</f>
        <v>5325.725727803511</v>
      </c>
    </row>
    <row r="35" spans="1:2" ht="12.75">
      <c r="A35" s="2"/>
      <c r="B35" s="173" t="s">
        <v>1502</v>
      </c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13" t="s">
        <v>307</v>
      </c>
      <c r="B39" s="2" t="s">
        <v>1444</v>
      </c>
    </row>
    <row r="40" spans="1:2" ht="12.75">
      <c r="A40" s="2"/>
      <c r="B40" s="2" t="s">
        <v>1542</v>
      </c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>
        <f>IF('FTE Calc'!E45&gt;0,(('Apprp. Summary'!C45+'Apprp. Summary'!G45)/'FTE Calc'!E45),0)</f>
        <v>6530.551684012932</v>
      </c>
    </row>
    <row r="44" spans="1:2" ht="12.75">
      <c r="A44" s="2"/>
      <c r="B44" s="2">
        <f>IF('FTE Calc'!E46&gt;0,(('Apprp. Summary'!C46+'Apprp. Summary'!G46)/'FTE Calc'!E46),0)</f>
        <v>5464.155458405045</v>
      </c>
    </row>
    <row r="45" spans="1:2" ht="12.75">
      <c r="A45" s="2"/>
      <c r="B45" s="2">
        <f>IF('FTE Calc'!E47&gt;0,(('Apprp. Summary'!C47+'Apprp. Summary'!G47)/'FTE Calc'!E47),0)</f>
        <v>5574.3178307134185</v>
      </c>
    </row>
    <row r="46" spans="1:2" ht="12.75">
      <c r="A46" s="2"/>
      <c r="B46" s="2">
        <f>IF('FTE Calc'!E48&gt;0,(('Apprp. Summary'!C48+'Apprp. Summary'!G48)/'FTE Calc'!E48),0)</f>
        <v>5915.193088771878</v>
      </c>
    </row>
    <row r="47" spans="1:2" ht="12.75">
      <c r="A47" s="2"/>
      <c r="B47" s="2">
        <f>IF('FTE Calc'!E49&gt;0,(('Apprp. Summary'!C49+'Apprp. Summary'!G49)/'FTE Calc'!E49),0)</f>
        <v>0</v>
      </c>
    </row>
    <row r="48" spans="1:2" ht="12.75">
      <c r="A48" s="2"/>
      <c r="B48" s="2">
        <f>IF('FTE Calc'!E50&gt;0,(('Apprp. Summary'!C50+'Apprp. Summary'!G50)/'FTE Calc'!E50),0)</f>
        <v>0</v>
      </c>
    </row>
    <row r="49" spans="1:2" ht="12.75">
      <c r="A49" s="2"/>
      <c r="B49" s="2">
        <f>IF('FTE Calc'!E51&gt;0,(('Apprp. Summary'!C51+'Apprp. Summary'!G51)/'FTE Calc'!E51),0)</f>
        <v>2752.375152453487</v>
      </c>
    </row>
    <row r="50" spans="1:2" ht="12.75">
      <c r="A50" s="2"/>
      <c r="B50" s="2">
        <f>IF('FTE Calc'!E52&gt;0,(('Apprp. Summary'!C52+'Apprp. Summary'!G52)/'FTE Calc'!E52),0)</f>
        <v>0</v>
      </c>
    </row>
    <row r="51" spans="1:2" ht="12.75">
      <c r="A51" s="2"/>
      <c r="B51" s="2">
        <f>IF('FTE Calc'!E53&gt;0,(('Apprp. Summary'!C53+'Apprp. Summary'!G53)/'FTE Calc'!E53),0)</f>
        <v>0</v>
      </c>
    </row>
    <row r="52" spans="1:2" ht="12.75">
      <c r="A52" s="2"/>
      <c r="B52" s="2"/>
    </row>
    <row r="53" spans="1:2" ht="12.75">
      <c r="A53" s="2"/>
      <c r="B53" s="2">
        <f>IF('FTE Calc'!E55&gt;0,(('Apprp. Summary'!C55+'Apprp. Summary'!G55)/'FTE Calc'!E55),0)</f>
        <v>4093.6083520275774</v>
      </c>
    </row>
    <row r="54" spans="1:2" ht="12.75">
      <c r="A54" s="2"/>
      <c r="B54" s="173" t="s">
        <v>1502</v>
      </c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13" t="s">
        <v>382</v>
      </c>
      <c r="B58" s="2" t="s">
        <v>1444</v>
      </c>
    </row>
    <row r="59" spans="1:2" ht="12.75">
      <c r="A59" s="2"/>
      <c r="B59" s="2" t="s">
        <v>1542</v>
      </c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>
        <f>IF('FTE Calc'!E64&gt;0,(('Apprp. Summary'!C64+'Apprp. Summary'!G64)/'FTE Calc'!E64),0)</f>
        <v>7451.939590066789</v>
      </c>
    </row>
    <row r="63" spans="1:2" ht="12.75">
      <c r="A63" s="2"/>
      <c r="B63" s="2">
        <f>IF('FTE Calc'!E65&gt;0,(('Apprp. Summary'!C65+'Apprp. Summary'!G65)/'FTE Calc'!E65),0)</f>
        <v>6790.685832078564</v>
      </c>
    </row>
    <row r="64" spans="1:2" ht="12.75">
      <c r="A64" s="2"/>
      <c r="B64" s="2">
        <f>IF('FTE Calc'!E66&gt;0,(('Apprp. Summary'!C66+'Apprp. Summary'!G66)/'FTE Calc'!E66),0)</f>
        <v>3919.878692678064</v>
      </c>
    </row>
    <row r="65" spans="1:2" ht="12.75">
      <c r="A65" s="2"/>
      <c r="B65" s="2">
        <f>IF('FTE Calc'!E67&gt;0,(('Apprp. Summary'!C67+'Apprp. Summary'!G67)/'FTE Calc'!E67),0)</f>
        <v>3654.902147689993</v>
      </c>
    </row>
    <row r="66" spans="1:2" ht="12.75">
      <c r="A66" s="2"/>
      <c r="B66" s="2">
        <f>IF('FTE Calc'!E68&gt;0,(('Apprp. Summary'!C68+'Apprp. Summary'!G68)/'FTE Calc'!E68),0)</f>
        <v>3914.336669676351</v>
      </c>
    </row>
    <row r="67" spans="1:2" ht="12.75">
      <c r="A67" s="2"/>
      <c r="B67" s="2">
        <f>IF('FTE Calc'!E69&gt;0,(('Apprp. Summary'!C69+'Apprp. Summary'!G69)/'FTE Calc'!E69),0)</f>
        <v>3963.916514625048</v>
      </c>
    </row>
    <row r="68" spans="1:2" ht="12.75">
      <c r="A68" s="2"/>
      <c r="B68" s="2">
        <f>IF('FTE Calc'!E70&gt;0,(('Apprp. Summary'!C70+'Apprp. Summary'!G70)/'FTE Calc'!E70),0)</f>
        <v>3725.434898693525</v>
      </c>
    </row>
    <row r="69" spans="1:2" ht="12.75">
      <c r="A69" s="2"/>
      <c r="B69" s="2">
        <f>IF('FTE Calc'!E71&gt;0,(('Apprp. Summary'!C71+'Apprp. Summary'!G71)/'FTE Calc'!E71),0)</f>
        <v>4278.030838435705</v>
      </c>
    </row>
    <row r="70" spans="1:2" ht="12.75">
      <c r="A70" s="2"/>
      <c r="B70" s="2">
        <f>IF('FTE Calc'!E72&gt;0,(('Apprp. Summary'!C72+'Apprp. Summary'!G72)/'FTE Calc'!E72),0)</f>
        <v>0</v>
      </c>
    </row>
    <row r="71" spans="1:2" ht="12.75">
      <c r="A71" s="2"/>
      <c r="B71" s="2"/>
    </row>
    <row r="72" spans="1:2" ht="12.75">
      <c r="A72" s="2"/>
      <c r="B72" s="2">
        <f>IF('FTE Calc'!E74&gt;0,(('Apprp. Summary'!C74+'Apprp. Summary'!G74)/'FTE Calc'!E74),0)</f>
        <v>4977.047751273809</v>
      </c>
    </row>
    <row r="73" spans="1:2" ht="12.75">
      <c r="A73" s="2"/>
      <c r="B73" s="173" t="s">
        <v>1502</v>
      </c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13" t="s">
        <v>517</v>
      </c>
      <c r="B77" s="2" t="s">
        <v>1444</v>
      </c>
    </row>
    <row r="78" spans="1:2" ht="12.75">
      <c r="A78" s="2"/>
      <c r="B78" s="2" t="s">
        <v>1542</v>
      </c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>
        <f>IF('FTE Calc'!E83&gt;0,(('Apprp. Summary'!C83+'Apprp. Summary'!G83)/'FTE Calc'!E83),0)</f>
        <v>4468.913216229576</v>
      </c>
    </row>
    <row r="82" spans="1:2" ht="12.75">
      <c r="A82" s="2"/>
      <c r="B82" s="2">
        <f>IF('FTE Calc'!E84&gt;0,(('Apprp. Summary'!C84+'Apprp. Summary'!G84)/'FTE Calc'!E84),0)</f>
        <v>5155.566667781802</v>
      </c>
    </row>
    <row r="83" spans="1:2" ht="12.75">
      <c r="A83" s="2"/>
      <c r="B83" s="2">
        <f>IF('FTE Calc'!E85&gt;0,(('Apprp. Summary'!C85+'Apprp. Summary'!G85)/'FTE Calc'!E85),0)</f>
        <v>3992.390979185687</v>
      </c>
    </row>
    <row r="84" spans="1:2" ht="12.75">
      <c r="A84" s="2"/>
      <c r="B84" s="2">
        <f>IF('FTE Calc'!E86&gt;0,(('Apprp. Summary'!C86+'Apprp. Summary'!G86)/'FTE Calc'!E86),0)</f>
        <v>3894.861326614162</v>
      </c>
    </row>
    <row r="85" spans="1:2" ht="12.75">
      <c r="A85" s="2"/>
      <c r="B85" s="2">
        <f>IF('FTE Calc'!E87&gt;0,(('Apprp. Summary'!C87+'Apprp. Summary'!G87)/'FTE Calc'!E87),0)</f>
        <v>2823.4901630077197</v>
      </c>
    </row>
    <row r="86" spans="1:2" ht="12.75">
      <c r="A86" s="2"/>
      <c r="B86" s="2">
        <f>IF('FTE Calc'!E88&gt;0,(('Apprp. Summary'!C88+'Apprp. Summary'!G88)/'FTE Calc'!E88),0)</f>
        <v>7586.600741464022</v>
      </c>
    </row>
    <row r="87" spans="1:2" ht="12.75">
      <c r="A87" s="2"/>
      <c r="B87" s="2">
        <f>IF('FTE Calc'!E89&gt;0,(('Apprp. Summary'!C89+'Apprp. Summary'!G89)/'FTE Calc'!E89),0)</f>
        <v>2319.4661245772872</v>
      </c>
    </row>
    <row r="88" spans="1:2" ht="12.75">
      <c r="A88" s="2"/>
      <c r="B88" s="2">
        <f>IF('FTE Calc'!E90&gt;0,(('Apprp. Summary'!C90+'Apprp. Summary'!G90)/'FTE Calc'!E90),0)</f>
        <v>0</v>
      </c>
    </row>
    <row r="89" spans="1:2" ht="12.75">
      <c r="A89" s="2"/>
      <c r="B89" s="2">
        <f>IF('FTE Calc'!E91&gt;0,(('Apprp. Summary'!C91+'Apprp. Summary'!G91)/'FTE Calc'!E91),0)</f>
        <v>0</v>
      </c>
    </row>
    <row r="90" spans="1:2" ht="12.75">
      <c r="A90" s="2"/>
      <c r="B90" s="2"/>
    </row>
    <row r="91" spans="1:2" ht="12.75">
      <c r="A91" s="2"/>
      <c r="B91" s="2">
        <f>IF('FTE Calc'!E93&gt;0,(('Apprp. Summary'!C93+'Apprp. Summary'!G93)/'FTE Calc'!E93),0)</f>
        <v>3770.9098380227333</v>
      </c>
    </row>
    <row r="92" spans="1:2" ht="12.75">
      <c r="A92" s="2"/>
      <c r="B92" s="173" t="s">
        <v>1502</v>
      </c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13" t="s">
        <v>536</v>
      </c>
      <c r="B96" s="2" t="s">
        <v>1444</v>
      </c>
    </row>
    <row r="97" spans="1:2" ht="12.75">
      <c r="A97" s="2"/>
      <c r="B97" s="2" t="s">
        <v>1542</v>
      </c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>
        <f>IF('FTE Calc'!E102&gt;0,(('Apprp. Summary'!C102+'Apprp. Summary'!G102)/'FTE Calc'!E102),0)</f>
        <v>4647.468393049176</v>
      </c>
    </row>
    <row r="101" spans="1:2" ht="12.75">
      <c r="A101" s="2"/>
      <c r="B101" s="2">
        <f>IF('FTE Calc'!E103&gt;0,(('Apprp. Summary'!C103+'Apprp. Summary'!G103)/'FTE Calc'!E103),0)</f>
        <v>2735.7665869229836</v>
      </c>
    </row>
    <row r="102" spans="1:2" ht="12.75">
      <c r="A102" s="2"/>
      <c r="B102" s="2">
        <f>IF('FTE Calc'!E104&gt;0,(('Apprp. Summary'!C104+'Apprp. Summary'!G104)/'FTE Calc'!E104),0)</f>
        <v>3056.679563420928</v>
      </c>
    </row>
    <row r="103" spans="1:2" ht="12.75">
      <c r="A103" s="2"/>
      <c r="B103" s="2">
        <f>IF('FTE Calc'!E105&gt;0,(('Apprp. Summary'!C105+'Apprp. Summary'!G105)/'FTE Calc'!E105),0)</f>
        <v>2242.1396274662984</v>
      </c>
    </row>
    <row r="104" spans="1:2" ht="12.75">
      <c r="A104" s="2"/>
      <c r="B104" s="2">
        <f>IF('FTE Calc'!E106&gt;0,(('Apprp. Summary'!C106+'Apprp. Summary'!G106)/'FTE Calc'!E106),0)</f>
        <v>2506.743160552983</v>
      </c>
    </row>
    <row r="105" spans="1:2" ht="12.75">
      <c r="A105" s="2"/>
      <c r="B105" s="2">
        <f>IF('FTE Calc'!E107&gt;0,(('Apprp. Summary'!C107+'Apprp. Summary'!G107)/'FTE Calc'!E107),0)</f>
        <v>0</v>
      </c>
    </row>
    <row r="106" spans="1:2" ht="12.75">
      <c r="A106" s="2"/>
      <c r="B106" s="2">
        <f>IF('FTE Calc'!E108&gt;0,(('Apprp. Summary'!C108+'Apprp. Summary'!G108)/'FTE Calc'!E108),0)</f>
        <v>2251.70073439543</v>
      </c>
    </row>
    <row r="107" spans="1:2" ht="12.75">
      <c r="A107" s="2"/>
      <c r="B107" s="2">
        <f>IF('FTE Calc'!E109&gt;0,(('Apprp. Summary'!C109+'Apprp. Summary'!G109)/'FTE Calc'!E109),0)</f>
        <v>0</v>
      </c>
    </row>
    <row r="108" spans="1:2" ht="12.75">
      <c r="A108" s="2"/>
      <c r="B108" s="2">
        <f>IF('FTE Calc'!E110&gt;0,(('Apprp. Summary'!C110+'Apprp. Summary'!G110)/'FTE Calc'!E110),0)</f>
        <v>95447.96707264238</v>
      </c>
    </row>
    <row r="109" spans="1:2" ht="12.75">
      <c r="A109" s="2"/>
      <c r="B109" s="2"/>
    </row>
    <row r="110" spans="1:2" ht="12.75">
      <c r="A110" s="2"/>
      <c r="B110" s="2">
        <f>IF('FTE Calc'!E112&gt;0,(('Apprp. Summary'!C112+'Apprp. Summary'!G112)/'FTE Calc'!E112),0)</f>
        <v>3724.9372434439547</v>
      </c>
    </row>
    <row r="111" spans="1:2" ht="12.75">
      <c r="A111" s="2"/>
      <c r="B111" s="173" t="s">
        <v>1502</v>
      </c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13" t="s">
        <v>661</v>
      </c>
      <c r="B115" s="2" t="s">
        <v>1444</v>
      </c>
    </row>
    <row r="116" spans="1:2" ht="12.75">
      <c r="A116" s="2"/>
      <c r="B116" s="2" t="s">
        <v>1542</v>
      </c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>
        <f>IF('FTE Calc'!E121&gt;0,(('Apprp. Summary'!C121+'Apprp. Summary'!G121)/'FTE Calc'!E121),0)</f>
        <v>9152.126678251083</v>
      </c>
    </row>
    <row r="120" spans="1:2" ht="12.75">
      <c r="A120" s="2"/>
      <c r="B120" s="2">
        <f>IF('FTE Calc'!E122&gt;0,(('Apprp. Summary'!C122+'Apprp. Summary'!G122)/'FTE Calc'!E122),0)</f>
        <v>5325.227180112075</v>
      </c>
    </row>
    <row r="121" spans="1:2" ht="12.75">
      <c r="A121" s="2"/>
      <c r="B121" s="2">
        <f>IF('FTE Calc'!E123&gt;0,(('Apprp. Summary'!C123+'Apprp. Summary'!G123)/'FTE Calc'!E123),0)</f>
        <v>0</v>
      </c>
    </row>
    <row r="122" spans="1:2" ht="12.75">
      <c r="A122" s="2"/>
      <c r="B122" s="2">
        <f>IF('FTE Calc'!E124&gt;0,(('Apprp. Summary'!C124+'Apprp. Summary'!G124)/'FTE Calc'!E124),0)</f>
        <v>4392.617935348608</v>
      </c>
    </row>
    <row r="123" spans="1:2" ht="12.75">
      <c r="A123" s="2"/>
      <c r="B123" s="2">
        <f>IF('FTE Calc'!E125&gt;0,(('Apprp. Summary'!C125+'Apprp. Summary'!G125)/'FTE Calc'!E125),0)</f>
        <v>5192.025048213272</v>
      </c>
    </row>
    <row r="124" spans="1:2" ht="12.75">
      <c r="A124" s="2"/>
      <c r="B124" s="2">
        <f>IF('FTE Calc'!E126&gt;0,(('Apprp. Summary'!C126+'Apprp. Summary'!G126)/'FTE Calc'!E126),0)</f>
        <v>7162.838942764784</v>
      </c>
    </row>
    <row r="125" spans="1:2" ht="12.75">
      <c r="A125" s="2"/>
      <c r="B125" s="2">
        <f>IF('FTE Calc'!E127&gt;0,(('Apprp. Summary'!C127+'Apprp. Summary'!G127)/'FTE Calc'!E127),0)</f>
        <v>3904.9336828351766</v>
      </c>
    </row>
    <row r="126" spans="1:2" ht="12.75">
      <c r="A126" s="2"/>
      <c r="B126" s="2">
        <f>IF('FTE Calc'!E128&gt;0,(('Apprp. Summary'!C128+'Apprp. Summary'!G128)/'FTE Calc'!E128),0)</f>
        <v>0</v>
      </c>
    </row>
    <row r="127" spans="1:2" ht="12.75">
      <c r="A127" s="2"/>
      <c r="B127" s="2">
        <f>IF('FTE Calc'!E129&gt;0,(('Apprp. Summary'!C129+'Apprp. Summary'!G129)/'FTE Calc'!E129),0)</f>
        <v>0</v>
      </c>
    </row>
    <row r="128" spans="1:2" ht="12.75">
      <c r="A128" s="2"/>
      <c r="B128" s="2"/>
    </row>
    <row r="129" spans="1:2" ht="12.75">
      <c r="A129" s="2"/>
      <c r="B129" s="2">
        <f>IF('FTE Calc'!E131&gt;0,(('Apprp. Summary'!C131+'Apprp. Summary'!G131)/'FTE Calc'!E131),0)</f>
        <v>5204.391069888971</v>
      </c>
    </row>
    <row r="130" spans="1:2" ht="12.75">
      <c r="A130" s="2"/>
      <c r="B130" s="173" t="s">
        <v>1502</v>
      </c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13" t="s">
        <v>731</v>
      </c>
      <c r="B134" s="2" t="s">
        <v>1444</v>
      </c>
    </row>
    <row r="135" spans="1:2" ht="12.75">
      <c r="A135" s="2"/>
      <c r="B135" s="2" t="s">
        <v>1542</v>
      </c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>
        <f>IF('FTE Calc'!E140&gt;0,(('Apprp. Summary'!C140+'Apprp. Summary'!G140)/'FTE Calc'!E140),0)</f>
        <v>4890.071665369425</v>
      </c>
    </row>
    <row r="139" spans="1:2" ht="12.75">
      <c r="A139" s="2"/>
      <c r="B139" s="2">
        <f>IF('FTE Calc'!E141&gt;0,(('Apprp. Summary'!C141+'Apprp. Summary'!G141)/'FTE Calc'!E141),0)</f>
        <v>4731.0377919844805</v>
      </c>
    </row>
    <row r="140" spans="1:2" ht="12.75">
      <c r="A140" s="2"/>
      <c r="B140" s="2">
        <f>IF('FTE Calc'!E142&gt;0,(('Apprp. Summary'!C142+'Apprp. Summary'!G142)/'FTE Calc'!E142),0)</f>
        <v>4577.433787874612</v>
      </c>
    </row>
    <row r="141" spans="1:2" ht="12.75">
      <c r="A141" s="2"/>
      <c r="B141" s="2">
        <f>IF('FTE Calc'!E143&gt;0,(('Apprp. Summary'!C143+'Apprp. Summary'!G143)/'FTE Calc'!E143),0)</f>
        <v>0</v>
      </c>
    </row>
    <row r="142" spans="1:2" ht="12.75">
      <c r="A142" s="2"/>
      <c r="B142" s="2">
        <f>IF('FTE Calc'!E144&gt;0,(('Apprp. Summary'!C144+'Apprp. Summary'!G144)/'FTE Calc'!E144),0)</f>
        <v>4521.988049105525</v>
      </c>
    </row>
    <row r="143" spans="1:2" ht="12.75">
      <c r="A143" s="2"/>
      <c r="B143" s="2">
        <f>IF('FTE Calc'!E145&gt;0,(('Apprp. Summary'!C145+'Apprp. Summary'!G145)/'FTE Calc'!E145),0)</f>
        <v>5161.726158396131</v>
      </c>
    </row>
    <row r="144" spans="1:2" ht="12.75">
      <c r="A144" s="2"/>
      <c r="B144" s="2">
        <f>IF('FTE Calc'!E146&gt;0,(('Apprp. Summary'!C146+'Apprp. Summary'!G146)/'FTE Calc'!E146),0)</f>
        <v>4328.924495303705</v>
      </c>
    </row>
    <row r="145" spans="1:2" ht="12.75">
      <c r="A145" s="2"/>
      <c r="B145" s="2">
        <f>IF('FTE Calc'!E147&gt;0,(('Apprp. Summary'!C147+'Apprp. Summary'!G147)/'FTE Calc'!E147),0)</f>
        <v>0</v>
      </c>
    </row>
    <row r="146" spans="1:2" ht="12.75">
      <c r="A146" s="2"/>
      <c r="B146" s="2">
        <f>IF('FTE Calc'!E148&gt;0,(('Apprp. Summary'!C148+'Apprp. Summary'!G148)/'FTE Calc'!E148),0)</f>
        <v>0</v>
      </c>
    </row>
    <row r="147" spans="1:2" ht="12.75">
      <c r="A147" s="2"/>
      <c r="B147" s="2"/>
    </row>
    <row r="148" spans="1:2" ht="12.75">
      <c r="A148" s="2"/>
      <c r="B148" s="2">
        <f>IF('FTE Calc'!E150&gt;0,(('Apprp. Summary'!C150+'Apprp. Summary'!G150)/'FTE Calc'!E150),0)</f>
        <v>5729.757658639871</v>
      </c>
    </row>
    <row r="149" spans="1:2" ht="12.75">
      <c r="A149" s="2"/>
      <c r="B149" s="173" t="s">
        <v>1502</v>
      </c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13" t="s">
        <v>781</v>
      </c>
      <c r="B153" s="2" t="s">
        <v>1444</v>
      </c>
    </row>
    <row r="154" spans="1:2" ht="12.75">
      <c r="A154" s="2"/>
      <c r="B154" s="2" t="s">
        <v>1542</v>
      </c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>
        <f>IF('FTE Calc'!E159&gt;0,(('Apprp. Summary'!C159+'Apprp. Summary'!G159)/'FTE Calc'!E159),0)</f>
        <v>7733.737072242532</v>
      </c>
    </row>
    <row r="158" spans="1:2" ht="12.75">
      <c r="A158" s="2"/>
      <c r="B158" s="2">
        <f>IF('FTE Calc'!E160&gt;0,(('Apprp. Summary'!C160+'Apprp. Summary'!G160)/'FTE Calc'!E160),0)</f>
        <v>5379.658109228791</v>
      </c>
    </row>
    <row r="159" spans="1:2" ht="12.75">
      <c r="A159" s="2"/>
      <c r="B159" s="2">
        <f>IF('FTE Calc'!E161&gt;0,(('Apprp. Summary'!C161+'Apprp. Summary'!G161)/'FTE Calc'!E161),0)</f>
        <v>5340.044779688991</v>
      </c>
    </row>
    <row r="160" spans="1:2" ht="12.75">
      <c r="A160" s="2"/>
      <c r="B160" s="2">
        <f>IF('FTE Calc'!E162&gt;0,(('Apprp. Summary'!C162+'Apprp. Summary'!G162)/'FTE Calc'!E162),0)</f>
        <v>4651.876159235836</v>
      </c>
    </row>
    <row r="161" spans="1:2" ht="12.75">
      <c r="A161" s="2"/>
      <c r="B161" s="2">
        <f>IF('FTE Calc'!E163&gt;0,(('Apprp. Summary'!C163+'Apprp. Summary'!G163)/'FTE Calc'!E163),0)</f>
        <v>6257.844185251863</v>
      </c>
    </row>
    <row r="162" spans="1:2" ht="12.75">
      <c r="A162" s="2"/>
      <c r="B162" s="2">
        <f>IF('FTE Calc'!E164&gt;0,(('Apprp. Summary'!C164+'Apprp. Summary'!G164)/'FTE Calc'!E164),0)</f>
        <v>7503.495296348524</v>
      </c>
    </row>
    <row r="163" spans="1:2" ht="12.75">
      <c r="A163" s="2"/>
      <c r="B163" s="2">
        <f>IF('FTE Calc'!E165&gt;0,(('Apprp. Summary'!C165+'Apprp. Summary'!G165)/'FTE Calc'!E165),0)</f>
        <v>4651.511785662094</v>
      </c>
    </row>
    <row r="164" spans="1:2" ht="12.75">
      <c r="A164" s="2"/>
      <c r="B164" s="2">
        <v>0</v>
      </c>
    </row>
    <row r="165" spans="1:2" ht="12.75">
      <c r="A165" s="2"/>
      <c r="B165" s="2">
        <f>IF('FTE Calc'!E167&gt;0,(('Apprp. Summary'!C167+'Apprp. Summary'!G167)/'FTE Calc'!E167),0)</f>
        <v>0</v>
      </c>
    </row>
    <row r="166" spans="1:2" ht="12.75">
      <c r="A166" s="2"/>
      <c r="B166" s="2"/>
    </row>
    <row r="167" spans="1:2" ht="12.75">
      <c r="A167" s="2"/>
      <c r="B167" s="2">
        <f>IF('FTE Calc'!E169&gt;0,(('Apprp. Summary'!C169+'Apprp. Summary'!G169)/'FTE Calc'!E169),0)</f>
        <v>5230.078606771684</v>
      </c>
    </row>
    <row r="168" spans="1:2" ht="12.75">
      <c r="A168" s="2"/>
      <c r="B168" s="173" t="s">
        <v>1502</v>
      </c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13" t="s">
        <v>930</v>
      </c>
      <c r="B172" s="2" t="s">
        <v>1444</v>
      </c>
    </row>
    <row r="173" spans="1:2" ht="12.75">
      <c r="A173" s="2"/>
      <c r="B173" s="2" t="s">
        <v>1542</v>
      </c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>
        <f>IF('FTE Calc'!E178&gt;0,(('Apprp. Summary'!C178+'Apprp. Summary'!G178)/'FTE Calc'!E178),0)</f>
        <v>5042.148420313331</v>
      </c>
    </row>
    <row r="177" spans="1:2" ht="12.75">
      <c r="A177" s="2"/>
      <c r="B177" s="2">
        <f>IF('FTE Calc'!E179&gt;0,(('Apprp. Summary'!C179+'Apprp. Summary'!G179)/'FTE Calc'!E179),0)</f>
        <v>0</v>
      </c>
    </row>
    <row r="178" spans="1:2" ht="12.75">
      <c r="A178" s="2"/>
      <c r="B178" s="2">
        <f>IF('FTE Calc'!E180&gt;0,(('Apprp. Summary'!C180+'Apprp. Summary'!G180)/'FTE Calc'!E180),0)</f>
        <v>2442.549203695368</v>
      </c>
    </row>
    <row r="179" spans="1:2" ht="12.75">
      <c r="A179" s="2"/>
      <c r="B179" s="2">
        <f>IF('FTE Calc'!E181&gt;0,(('Apprp. Summary'!C181+'Apprp. Summary'!G181)/'FTE Calc'!E181),0)</f>
        <v>3174.870512785674</v>
      </c>
    </row>
    <row r="180" spans="1:2" ht="12.75">
      <c r="A180" s="2"/>
      <c r="B180" s="2">
        <f>IF('FTE Calc'!E182&gt;0,(('Apprp. Summary'!C182+'Apprp. Summary'!G182)/'FTE Calc'!E182),0)</f>
        <v>3083.6192645987785</v>
      </c>
    </row>
    <row r="181" spans="1:2" ht="12.75">
      <c r="A181" s="2"/>
      <c r="B181" s="2">
        <f>IF('FTE Calc'!E183&gt;0,(('Apprp. Summary'!C183+'Apprp. Summary'!G183)/'FTE Calc'!E183),0)</f>
        <v>2800.443394615516</v>
      </c>
    </row>
    <row r="182" spans="1:2" ht="12.75">
      <c r="A182" s="2"/>
      <c r="B182" s="2">
        <f>IF('FTE Calc'!E184&gt;0,(('Apprp. Summary'!C184+'Apprp. Summary'!G184)/'FTE Calc'!E184),0)</f>
        <v>3270.0645751691227</v>
      </c>
    </row>
    <row r="183" spans="1:2" ht="12.75">
      <c r="A183" s="2"/>
      <c r="B183" s="2">
        <f>IF('FTE Calc'!E185&gt;0,(('Apprp. Summary'!C185+'Apprp. Summary'!G185)/'FTE Calc'!E185),0)</f>
        <v>0</v>
      </c>
    </row>
    <row r="184" spans="1:2" ht="12.75">
      <c r="A184" s="2"/>
      <c r="B184" s="2">
        <f>IF('FTE Calc'!E186&gt;0,(('Apprp. Summary'!C186+'Apprp. Summary'!G186)/'FTE Calc'!E186),0)</f>
        <v>0</v>
      </c>
    </row>
    <row r="185" spans="1:2" ht="12.75">
      <c r="A185" s="2"/>
      <c r="B185" s="2"/>
    </row>
    <row r="186" spans="1:2" ht="12.75">
      <c r="A186" s="2"/>
      <c r="B186" s="2">
        <f>IF('FTE Calc'!E188&gt;0,(('Apprp. Summary'!C188+'Apprp. Summary'!G188)/'FTE Calc'!E188),0)</f>
        <v>4348.384761657601</v>
      </c>
    </row>
    <row r="187" spans="1:2" ht="12.75">
      <c r="A187" s="2"/>
      <c r="B187" s="173" t="s">
        <v>1502</v>
      </c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13" t="s">
        <v>991</v>
      </c>
      <c r="B191" s="2" t="s">
        <v>1444</v>
      </c>
    </row>
    <row r="192" spans="1:2" ht="12.75">
      <c r="A192" s="2"/>
      <c r="B192" s="2" t="s">
        <v>1542</v>
      </c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>
        <f>IF('FTE Calc'!E197&gt;0,(('Apprp. Summary'!C197+'Apprp. Summary'!G197)/'FTE Calc'!E197),0)</f>
        <v>5943.74351311891</v>
      </c>
    </row>
    <row r="196" spans="1:2" ht="12.75">
      <c r="A196" s="2"/>
      <c r="B196" s="2">
        <f>IF('FTE Calc'!E198&gt;0,(('Apprp. Summary'!C198+'Apprp. Summary'!G198)/'FTE Calc'!E198),0)</f>
        <v>5413.688893139731</v>
      </c>
    </row>
    <row r="197" spans="1:2" ht="12.75">
      <c r="A197" s="2"/>
      <c r="B197" s="2">
        <f>IF('FTE Calc'!E199&gt;0,(('Apprp. Summary'!C199+'Apprp. Summary'!G199)/'FTE Calc'!E199),0)</f>
        <v>4144.023971799581</v>
      </c>
    </row>
    <row r="198" spans="1:2" ht="12.75">
      <c r="A198" s="2"/>
      <c r="B198" s="2">
        <f>IF('FTE Calc'!E200&gt;0,(('Apprp. Summary'!C200+'Apprp. Summary'!G200)/'FTE Calc'!E200),0)</f>
        <v>2735.365638360306</v>
      </c>
    </row>
    <row r="199" spans="1:2" ht="12.75">
      <c r="A199" s="2"/>
      <c r="B199" s="2">
        <f>IF('FTE Calc'!E201&gt;0,(('Apprp. Summary'!C201+'Apprp. Summary'!G201)/'FTE Calc'!E201),0)</f>
        <v>3970.976654906635</v>
      </c>
    </row>
    <row r="200" spans="1:2" ht="12.75">
      <c r="A200" s="2"/>
      <c r="B200" s="2">
        <f>IF('FTE Calc'!E202&gt;0,(('Apprp. Summary'!C202+'Apprp. Summary'!G202)/'FTE Calc'!E202),0)</f>
        <v>3454.0310706902546</v>
      </c>
    </row>
    <row r="201" spans="1:2" ht="12.75">
      <c r="A201" s="2"/>
      <c r="B201" s="2">
        <f>IF('FTE Calc'!E203&gt;0,(('Apprp. Summary'!C203+'Apprp. Summary'!G203)/'FTE Calc'!E203),0)</f>
        <v>3397.479021454815</v>
      </c>
    </row>
    <row r="202" spans="1:2" ht="12.75">
      <c r="A202" s="2"/>
      <c r="B202" s="2">
        <f>IF('FTE Calc'!E204&gt;0,(('Apprp. Summary'!C204+'Apprp. Summary'!G204)/'FTE Calc'!E204),0)</f>
        <v>0</v>
      </c>
    </row>
    <row r="203" spans="1:2" ht="12.75">
      <c r="A203" s="2"/>
      <c r="B203" s="2">
        <f>IF('FTE Calc'!E205&gt;0,(('Apprp. Summary'!C205+'Apprp. Summary'!G205)/'FTE Calc'!E205),0)</f>
        <v>0</v>
      </c>
    </row>
    <row r="204" spans="1:2" ht="12.75">
      <c r="A204" s="2"/>
      <c r="B204" s="2"/>
    </row>
    <row r="205" spans="1:2" ht="12.75">
      <c r="A205" s="2"/>
      <c r="B205" s="2">
        <f>IF('FTE Calc'!E207&gt;0,(('Apprp. Summary'!C207+'Apprp. Summary'!G207)/'FTE Calc'!E207),0)</f>
        <v>4200.365785086038</v>
      </c>
    </row>
    <row r="206" spans="1:2" ht="12.75">
      <c r="A206" s="2"/>
      <c r="B206" s="173" t="s">
        <v>1502</v>
      </c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13" t="s">
        <v>1058</v>
      </c>
      <c r="B210" s="2" t="s">
        <v>1444</v>
      </c>
    </row>
    <row r="211" spans="1:2" ht="12.75">
      <c r="A211" s="2"/>
      <c r="B211" s="2" t="s">
        <v>1542</v>
      </c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>
        <f>IF('FTE Calc'!E216&gt;0,(('Apprp. Summary'!C216+'Apprp. Summary'!G216)/'FTE Calc'!E216),0)</f>
        <v>6772.599394266957</v>
      </c>
    </row>
    <row r="215" spans="1:2" ht="12.75">
      <c r="A215" s="2"/>
      <c r="B215" s="2">
        <f>IF('FTE Calc'!E217&gt;0,(('Apprp. Summary'!C217+'Apprp. Summary'!G217)/'FTE Calc'!E217),0)</f>
        <v>5497.526623129985</v>
      </c>
    </row>
    <row r="216" spans="1:2" ht="12.75">
      <c r="A216" s="2"/>
      <c r="B216" s="2">
        <f>IF('FTE Calc'!E218&gt;0,(('Apprp. Summary'!C218+'Apprp. Summary'!G218)/'FTE Calc'!E218),0)</f>
        <v>4356.491419654382</v>
      </c>
    </row>
    <row r="217" spans="1:2" ht="12.75">
      <c r="A217" s="2"/>
      <c r="B217" s="2">
        <f>IF('FTE Calc'!E219&gt;0,(('Apprp. Summary'!C219+'Apprp. Summary'!G219)/'FTE Calc'!E219),0)</f>
        <v>4852.649062371266</v>
      </c>
    </row>
    <row r="218" spans="1:2" ht="12.75">
      <c r="A218" s="2"/>
      <c r="B218" s="2">
        <f>IF('FTE Calc'!E220&gt;0,(('Apprp. Summary'!C220+'Apprp. Summary'!G220)/'FTE Calc'!E220),0)</f>
        <v>4520.866231577256</v>
      </c>
    </row>
    <row r="219" spans="1:2" ht="12.75">
      <c r="A219" s="2"/>
      <c r="B219" s="2">
        <f>IF('FTE Calc'!E221&gt;0,(('Apprp. Summary'!C221+'Apprp. Summary'!G221)/'FTE Calc'!E221),0)</f>
        <v>0</v>
      </c>
    </row>
    <row r="220" spans="1:2" ht="12.75">
      <c r="A220" s="2"/>
      <c r="B220" s="2">
        <f>IF('FTE Calc'!E222&gt;0,(('Apprp. Summary'!C222+'Apprp. Summary'!G222)/'FTE Calc'!E222),0)</f>
        <v>3339.8051208280167</v>
      </c>
    </row>
    <row r="221" spans="1:2" ht="12.75">
      <c r="A221" s="2"/>
      <c r="B221" s="2">
        <f>IF('FTE Calc'!E223&gt;0,(('Apprp. Summary'!C223+'Apprp. Summary'!G223)/'FTE Calc'!E223),0)</f>
        <v>5559.375988752436</v>
      </c>
    </row>
    <row r="222" spans="1:2" ht="12.75">
      <c r="A222" s="2"/>
      <c r="B222" s="2">
        <f>IF('FTE Calc'!E224&gt;0,(('Apprp. Summary'!C224+'Apprp. Summary'!G224)/'FTE Calc'!E224),0)</f>
        <v>0</v>
      </c>
    </row>
    <row r="223" spans="1:2" ht="12.75">
      <c r="A223" s="2"/>
      <c r="B223" s="2"/>
    </row>
    <row r="224" spans="1:2" ht="12.75">
      <c r="A224" s="2"/>
      <c r="B224" s="2">
        <f>IF('FTE Calc'!E226&gt;0,(('Apprp. Summary'!C226+'Apprp. Summary'!G226)/'FTE Calc'!E226),0)</f>
        <v>4688.277186471856</v>
      </c>
    </row>
    <row r="225" spans="1:2" ht="12.75">
      <c r="A225" s="2"/>
      <c r="B225" s="173" t="s">
        <v>1502</v>
      </c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13" t="s">
        <v>1162</v>
      </c>
      <c r="B229" s="2" t="s">
        <v>1444</v>
      </c>
    </row>
    <row r="230" spans="1:2" ht="12.75">
      <c r="A230" s="2"/>
      <c r="B230" s="2" t="s">
        <v>1542</v>
      </c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>
        <f>IF('FTE Calc'!E235&gt;0,(('Apprp. Summary'!C235+'Apprp. Summary'!G235)/'FTE Calc'!E235),0)</f>
        <v>6158.102741441119</v>
      </c>
    </row>
    <row r="234" spans="1:2" ht="12.75">
      <c r="A234" s="2"/>
      <c r="B234" s="2">
        <f>IF('FTE Calc'!E236&gt;0,(('Apprp. Summary'!C236+'Apprp. Summary'!G236)/'FTE Calc'!E236),0)</f>
        <v>5058.334675195126</v>
      </c>
    </row>
    <row r="235" spans="1:2" ht="12.75">
      <c r="A235" s="2"/>
      <c r="B235" s="2">
        <f>IF('FTE Calc'!E237&gt;0,(('Apprp. Summary'!C237+'Apprp. Summary'!G237)/'FTE Calc'!E237),0)</f>
        <v>4146.449461713062</v>
      </c>
    </row>
    <row r="236" spans="1:2" ht="12.75">
      <c r="A236" s="2"/>
      <c r="B236" s="2">
        <f>IF('FTE Calc'!E238&gt;0,(('Apprp. Summary'!C238+'Apprp. Summary'!G238)/'FTE Calc'!E238),0)</f>
        <v>4181.597532745246</v>
      </c>
    </row>
    <row r="237" spans="1:2" ht="12.75">
      <c r="A237" s="2"/>
      <c r="B237" s="2">
        <f>IF('FTE Calc'!E239&gt;0,(('Apprp. Summary'!C239+'Apprp. Summary'!G239)/'FTE Calc'!E239),0)</f>
        <v>7379.2329182380345</v>
      </c>
    </row>
    <row r="238" spans="1:2" ht="12.75">
      <c r="A238" s="2"/>
      <c r="B238" s="2">
        <f>IF('FTE Calc'!E240&gt;0,(('Apprp. Summary'!C240+'Apprp. Summary'!G240)/'FTE Calc'!E240),0)</f>
        <v>3760.624993778433</v>
      </c>
    </row>
    <row r="239" spans="1:2" ht="12.75">
      <c r="A239" s="2"/>
      <c r="B239" s="2">
        <f>IF('FTE Calc'!E241&gt;0,(('Apprp. Summary'!C241+'Apprp. Summary'!G241)/'FTE Calc'!E241),0)</f>
        <v>3438.676619899339</v>
      </c>
    </row>
    <row r="240" spans="1:2" ht="12.75">
      <c r="A240" s="2"/>
      <c r="B240" s="2">
        <f>IF('FTE Calc'!E242&gt;0,(('Apprp. Summary'!C242+'Apprp. Summary'!G242)/'FTE Calc'!E242),0)</f>
        <v>0</v>
      </c>
    </row>
    <row r="241" spans="1:2" ht="12.75">
      <c r="A241" s="2"/>
      <c r="B241" s="2">
        <f>IF('FTE Calc'!E243&gt;0,(('Apprp. Summary'!C243+'Apprp. Summary'!G243)/'FTE Calc'!E243),0)</f>
        <v>0</v>
      </c>
    </row>
    <row r="242" spans="1:2" ht="12.75">
      <c r="A242" s="2"/>
      <c r="B242" s="2"/>
    </row>
    <row r="243" spans="1:2" ht="12.75">
      <c r="A243" s="2"/>
      <c r="B243" s="2">
        <f>IF('FTE Calc'!E245&gt;0,(('Apprp. Summary'!C245+'Apprp. Summary'!G245)/'FTE Calc'!E245),0)</f>
        <v>4352.300004238399</v>
      </c>
    </row>
    <row r="244" spans="1:2" ht="12.75">
      <c r="A244" s="2"/>
      <c r="B244" s="173" t="s">
        <v>1502</v>
      </c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13" t="s">
        <v>1373</v>
      </c>
      <c r="B248" s="2" t="s">
        <v>1444</v>
      </c>
    </row>
    <row r="249" spans="1:2" ht="12.75">
      <c r="A249" s="2"/>
      <c r="B249" s="2" t="s">
        <v>1542</v>
      </c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>
        <f>IF('FTE Calc'!E254&gt;0,(('Apprp. Summary'!C254+'Apprp. Summary'!G254)/'FTE Calc'!E254),0)</f>
        <v>4232.288948387515</v>
      </c>
    </row>
    <row r="253" spans="1:2" ht="12.75">
      <c r="A253" s="2"/>
      <c r="B253" s="2">
        <f>IF('FTE Calc'!E255&gt;0,(('Apprp. Summary'!C255+'Apprp. Summary'!G255)/'FTE Calc'!E255),0)</f>
        <v>3920.5495989710794</v>
      </c>
    </row>
    <row r="254" spans="1:2" ht="12.75">
      <c r="A254" s="2"/>
      <c r="B254" s="2">
        <f>IF('FTE Calc'!E256&gt;0,(('Apprp. Summary'!C256+'Apprp. Summary'!G256)/'FTE Calc'!E256),0)</f>
        <v>2739.3582330447275</v>
      </c>
    </row>
    <row r="255" spans="1:2" ht="12.75">
      <c r="A255" s="2"/>
      <c r="B255" s="2">
        <f>IF('FTE Calc'!E257&gt;0,(('Apprp. Summary'!C257+'Apprp. Summary'!G257)/'FTE Calc'!E257),0)</f>
        <v>3081.759763537528</v>
      </c>
    </row>
    <row r="256" spans="1:2" ht="12.75">
      <c r="A256" s="2"/>
      <c r="B256" s="2">
        <f>IF('FTE Calc'!E258&gt;0,(('Apprp. Summary'!C258+'Apprp. Summary'!G258)/'FTE Calc'!E258),0)</f>
        <v>3191.067917927453</v>
      </c>
    </row>
    <row r="257" spans="1:2" ht="12.75">
      <c r="A257" s="2"/>
      <c r="B257" s="2">
        <f>IF('FTE Calc'!E259&gt;0,(('Apprp. Summary'!C259+'Apprp. Summary'!G259)/'FTE Calc'!E259),0)</f>
        <v>3268.8001431891057</v>
      </c>
    </row>
    <row r="258" spans="1:2" ht="12.75">
      <c r="A258" s="2"/>
      <c r="B258" s="2">
        <f>IF('FTE Calc'!E260&gt;0,(('Apprp. Summary'!C260+'Apprp. Summary'!G260)/'FTE Calc'!E260),0)</f>
        <v>2484.622637146603</v>
      </c>
    </row>
    <row r="259" spans="1:2" ht="12.75">
      <c r="A259" s="2"/>
      <c r="B259" s="2">
        <f>IF('FTE Calc'!E261&gt;0,(('Apprp. Summary'!C261+'Apprp. Summary'!G261)/'FTE Calc'!E261),0)</f>
        <v>0</v>
      </c>
    </row>
    <row r="260" spans="1:2" ht="12.75">
      <c r="A260" s="2"/>
      <c r="B260" s="2">
        <f>IF('FTE Calc'!E262&gt;0,(('Apprp. Summary'!C262+'Apprp. Summary'!G262)/'FTE Calc'!E262),0)</f>
        <v>0</v>
      </c>
    </row>
    <row r="261" spans="1:2" ht="12.75">
      <c r="A261" s="2"/>
      <c r="B261" s="2"/>
    </row>
    <row r="262" spans="1:2" ht="12.75">
      <c r="A262" s="2"/>
      <c r="B262" s="2">
        <f>IF('FTE Calc'!E264&gt;0,(('Apprp. Summary'!C264+'Apprp. Summary'!G264)/'FTE Calc'!E264),0)</f>
        <v>3364.0612553411233</v>
      </c>
    </row>
    <row r="263" spans="1:2" ht="12.75">
      <c r="A263" s="2"/>
      <c r="B263" s="173" t="s">
        <v>1502</v>
      </c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13" t="s">
        <v>1408</v>
      </c>
      <c r="B267" s="2" t="s">
        <v>1444</v>
      </c>
    </row>
    <row r="268" spans="1:2" ht="12.75">
      <c r="A268" s="2"/>
      <c r="B268" s="2" t="s">
        <v>1542</v>
      </c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>
        <f>IF('FTE Calc'!E273&gt;0,(('Apprp. Summary'!C273+'Apprp. Summary'!G273)/'FTE Calc'!E273),0)</f>
        <v>4157.506330655033</v>
      </c>
    </row>
    <row r="272" spans="1:2" ht="12.75">
      <c r="A272" s="2"/>
      <c r="B272" s="2">
        <f>IF('FTE Calc'!E274&gt;0,(('Apprp. Summary'!C274+'Apprp. Summary'!G274)/'FTE Calc'!E274),0)</f>
        <v>0</v>
      </c>
    </row>
    <row r="273" spans="1:2" ht="12.75">
      <c r="A273" s="2"/>
      <c r="B273" s="2">
        <f>IF('FTE Calc'!E275&gt;0,(('Apprp. Summary'!C275+'Apprp. Summary'!G275)/'FTE Calc'!E275),0)</f>
        <v>3410.2180622743062</v>
      </c>
    </row>
    <row r="274" spans="1:2" ht="12.75">
      <c r="A274" s="2"/>
      <c r="B274" s="2">
        <f>IF('FTE Calc'!E276&gt;0,(('Apprp. Summary'!C276+'Apprp. Summary'!G276)/'FTE Calc'!E276),0)</f>
        <v>0</v>
      </c>
    </row>
    <row r="275" spans="1:2" ht="12.75">
      <c r="A275" s="2"/>
      <c r="B275" s="2">
        <f>IF('FTE Calc'!E277&gt;0,(('Apprp. Summary'!C277+'Apprp. Summary'!G277)/'FTE Calc'!E277),0)</f>
        <v>0</v>
      </c>
    </row>
    <row r="276" spans="1:2" ht="12.75">
      <c r="A276" s="2"/>
      <c r="B276" s="2">
        <f>IF('FTE Calc'!E278&gt;0,(('Apprp. Summary'!C278+'Apprp. Summary'!G278)/'FTE Calc'!E278),0)</f>
        <v>3339.298841643024</v>
      </c>
    </row>
    <row r="277" spans="1:2" ht="12.75">
      <c r="A277" s="2"/>
      <c r="B277" s="2">
        <f>IF('FTE Calc'!E279&gt;0,(('Apprp. Summary'!C279+'Apprp. Summary'!G279)/'FTE Calc'!E279),0)</f>
        <v>2734.0168736276914</v>
      </c>
    </row>
    <row r="278" spans="1:2" ht="12.75">
      <c r="A278" s="2"/>
      <c r="B278" s="2">
        <f>IF('FTE Calc'!E280&gt;0,(('Apprp. Summary'!C280+'Apprp. Summary'!G280)/'FTE Calc'!E280),0)</f>
        <v>0</v>
      </c>
    </row>
    <row r="279" spans="1:2" ht="12.75">
      <c r="A279" s="2"/>
      <c r="B279" s="2">
        <f>IF('FTE Calc'!E281&gt;0,(('Apprp. Summary'!C281+'Apprp. Summary'!G281)/'FTE Calc'!E281),0)</f>
        <v>0</v>
      </c>
    </row>
    <row r="280" spans="1:2" ht="12.75">
      <c r="A280" s="2"/>
      <c r="B280" s="2"/>
    </row>
    <row r="281" spans="1:2" ht="12.75">
      <c r="A281" s="2"/>
      <c r="B281" s="2">
        <f>IF('FTE Calc'!E283&gt;0,(('Apprp. Summary'!C283+'Apprp. Summary'!G283)/'FTE Calc'!E283),0)</f>
        <v>3654.263419617505</v>
      </c>
    </row>
    <row r="282" spans="1:2" ht="12.75">
      <c r="A282" s="2"/>
      <c r="B282" s="173" t="s">
        <v>1502</v>
      </c>
    </row>
    <row r="283" spans="1:2" ht="12.75">
      <c r="A283" s="2"/>
      <c r="B283" s="173" t="s">
        <v>1522</v>
      </c>
    </row>
    <row r="284" spans="1:2" ht="12.75">
      <c r="A284" s="2"/>
      <c r="B284" s="2"/>
    </row>
    <row r="285" spans="1:2" ht="12.75">
      <c r="A285" s="173" t="s">
        <v>1522</v>
      </c>
      <c r="B285" s="2"/>
    </row>
  </sheetData>
  <printOptions/>
  <pageMargins left="0.5" right="0.5" top="0.25" bottom="0.25" header="0.5" footer="0.5"/>
  <pageSetup horizontalDpi="600" verticalDpi="600" orientation="landscape" r:id="rId3"/>
  <headerFooter alignWithMargins="0">
    <oddHeader>&amp;C&amp;RSREB-State Data Exchange</oddHeader>
    <oddFooter>&amp;C--56--&amp;RSeptember 1997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34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2" max="10" width="6.7109375" style="0" customWidth="1"/>
  </cols>
  <sheetData>
    <row r="1" spans="1:10" ht="13.5" customHeight="1">
      <c r="A1" s="83" t="s">
        <v>1543</v>
      </c>
      <c r="B1" s="84"/>
      <c r="C1" s="85"/>
      <c r="D1" s="85"/>
      <c r="E1" s="85"/>
      <c r="F1" s="85"/>
      <c r="G1" s="86"/>
      <c r="H1" s="85"/>
      <c r="I1" s="86"/>
      <c r="J1" s="35"/>
    </row>
    <row r="2" spans="1:10" ht="13.5" customHeight="1">
      <c r="A2" s="87"/>
      <c r="B2" s="84"/>
      <c r="C2" s="85"/>
      <c r="D2" s="85"/>
      <c r="E2" s="85"/>
      <c r="F2" s="85"/>
      <c r="G2" s="85"/>
      <c r="H2" s="85"/>
      <c r="I2" s="85"/>
      <c r="J2" s="35"/>
    </row>
    <row r="3" spans="1:10" ht="13.5" customHeight="1">
      <c r="A3" s="88" t="s">
        <v>1544</v>
      </c>
      <c r="B3" s="84"/>
      <c r="C3" s="85"/>
      <c r="D3" s="85"/>
      <c r="E3" s="85"/>
      <c r="F3" s="85"/>
      <c r="G3" s="86"/>
      <c r="H3" s="85"/>
      <c r="I3" s="86"/>
      <c r="J3" s="35"/>
    </row>
    <row r="4" spans="1:10" ht="13.5" customHeight="1">
      <c r="A4" s="88" t="s">
        <v>1545</v>
      </c>
      <c r="B4" s="84"/>
      <c r="C4" s="85"/>
      <c r="D4" s="85"/>
      <c r="E4" s="85"/>
      <c r="F4" s="85"/>
      <c r="G4" s="85"/>
      <c r="H4" s="85"/>
      <c r="I4" s="85"/>
      <c r="J4" s="35"/>
    </row>
    <row r="5" spans="1:10" ht="13.5" customHeight="1">
      <c r="A5" s="88" t="s">
        <v>1447</v>
      </c>
      <c r="B5" s="84"/>
      <c r="C5" s="85"/>
      <c r="D5" s="85"/>
      <c r="E5" s="85"/>
      <c r="F5" s="85"/>
      <c r="G5" s="85"/>
      <c r="H5" s="85"/>
      <c r="I5" s="85"/>
      <c r="J5" s="35"/>
    </row>
    <row r="6" ht="4.5" customHeight="1"/>
    <row r="7" spans="1:10" ht="9.75" customHeight="1">
      <c r="A7" s="4"/>
      <c r="B7" s="89" t="s">
        <v>1546</v>
      </c>
      <c r="C7" s="89"/>
      <c r="D7" s="89"/>
      <c r="E7" s="89"/>
      <c r="F7" s="89"/>
      <c r="G7" s="90"/>
      <c r="H7" s="91" t="s">
        <v>1547</v>
      </c>
      <c r="I7" s="92"/>
      <c r="J7" s="93"/>
    </row>
    <row r="8" spans="1:10" ht="9.75" customHeight="1">
      <c r="A8" s="12"/>
      <c r="B8" s="183" t="s">
        <v>1548</v>
      </c>
      <c r="C8" s="183" t="s">
        <v>1549</v>
      </c>
      <c r="D8" s="183" t="s">
        <v>1550</v>
      </c>
      <c r="E8" s="183" t="s">
        <v>1551</v>
      </c>
      <c r="F8" s="183" t="s">
        <v>1552</v>
      </c>
      <c r="G8" s="123" t="s">
        <v>1553</v>
      </c>
      <c r="H8" s="183" t="s">
        <v>1554</v>
      </c>
      <c r="I8" s="184" t="s">
        <v>1555</v>
      </c>
      <c r="J8" s="126" t="s">
        <v>126</v>
      </c>
    </row>
    <row r="9" spans="1:10" ht="12.75">
      <c r="A9" s="4" t="s">
        <v>1556</v>
      </c>
      <c r="B9" s="95">
        <f aca="true" t="shared" si="0" ref="B9:J9">SUM(B11:B29)</f>
        <v>467613</v>
      </c>
      <c r="C9" s="95">
        <f t="shared" si="0"/>
        <v>217926</v>
      </c>
      <c r="D9" s="95">
        <f t="shared" si="0"/>
        <v>368240</v>
      </c>
      <c r="E9" s="95">
        <f t="shared" si="0"/>
        <v>201979</v>
      </c>
      <c r="F9" s="95">
        <f t="shared" si="0"/>
        <v>119624</v>
      </c>
      <c r="G9" s="96">
        <f t="shared" si="0"/>
        <v>89472</v>
      </c>
      <c r="H9" s="95">
        <f t="shared" si="0"/>
        <v>1046375</v>
      </c>
      <c r="I9" s="96">
        <f t="shared" si="0"/>
        <v>41475</v>
      </c>
      <c r="J9" s="95">
        <f t="shared" si="0"/>
        <v>2552704</v>
      </c>
    </row>
    <row r="10" spans="1:10" ht="12.75">
      <c r="A10" s="1"/>
      <c r="B10" s="97"/>
      <c r="C10" s="97"/>
      <c r="D10" s="97"/>
      <c r="E10" s="97"/>
      <c r="F10" s="97"/>
      <c r="G10" s="98"/>
      <c r="H10" s="97"/>
      <c r="I10" s="98"/>
      <c r="J10" s="97"/>
    </row>
    <row r="11" spans="1:10" ht="12.75">
      <c r="A11" s="1" t="s">
        <v>1557</v>
      </c>
      <c r="B11" s="97">
        <f>ROUND(+'FTE Calc'!B6,0)</f>
        <v>33095</v>
      </c>
      <c r="C11" s="97">
        <f>ROUND(+'FTE Calc'!B7,0)</f>
        <v>9039</v>
      </c>
      <c r="D11" s="97">
        <f>ROUND(+'FTE Calc'!B8,0)</f>
        <v>22570</v>
      </c>
      <c r="E11" s="97">
        <f>ROUND(+'FTE Calc'!B9,0)</f>
        <v>14712</v>
      </c>
      <c r="F11" s="97">
        <f>ROUND(+'FTE Calc'!B10,0)</f>
        <v>12719</v>
      </c>
      <c r="G11" s="98">
        <f>ROUND(+'FTE Calc'!B11,0)</f>
        <v>2691</v>
      </c>
      <c r="H11" s="97">
        <f>ROUND(+'FTE Calc'!E12,0)</f>
        <v>65072</v>
      </c>
      <c r="I11" s="98">
        <f>ROUND(+'FTE Calc'!B14,0)</f>
        <v>8371</v>
      </c>
      <c r="J11" s="97">
        <f>SUM(B11:I11)</f>
        <v>168269</v>
      </c>
    </row>
    <row r="12" spans="1:10" ht="12.75">
      <c r="A12" s="1" t="s">
        <v>1558</v>
      </c>
      <c r="B12" s="97">
        <f>ROUND(+'FTE Calc'!B26,0)</f>
        <v>11060</v>
      </c>
      <c r="C12" s="97">
        <f>(ROUND(+'FTE Calc'!B27,0))</f>
        <v>0</v>
      </c>
      <c r="D12" s="97">
        <f>ROUND(+'FTE Calc'!B28,0)</f>
        <v>22161</v>
      </c>
      <c r="E12" s="97">
        <f>ROUND(+'FTE Calc'!B29,0)</f>
        <v>0</v>
      </c>
      <c r="F12" s="97">
        <f>ROUND(+'FTE Calc'!B30,0)</f>
        <v>7162</v>
      </c>
      <c r="G12" s="98">
        <f>ROUND(+'FTE Calc'!B31,0)</f>
        <v>7512</v>
      </c>
      <c r="H12" s="97">
        <f>ROUND(+'FTE Calc'!B32,0)</f>
        <v>18727</v>
      </c>
      <c r="I12" s="98">
        <f>ROUND(+'FTE Calc'!B33,0)</f>
        <v>0</v>
      </c>
      <c r="J12" s="97">
        <f>SUM(B12:I12)</f>
        <v>66622</v>
      </c>
    </row>
    <row r="13" spans="1:10" ht="12.75">
      <c r="A13" s="1" t="s">
        <v>1559</v>
      </c>
      <c r="B13" s="97">
        <f>ROUND(+'FTE Calc'!B45,0)</f>
        <v>68375</v>
      </c>
      <c r="C13" s="97">
        <f>ROUND(+'FTE Calc'!B46,0)</f>
        <v>28823</v>
      </c>
      <c r="D13" s="97">
        <f>ROUND(+'FTE Calc'!B47,0)</f>
        <v>22849</v>
      </c>
      <c r="E13" s="97">
        <f>ROUND(+'FTE Calc'!B48,0)</f>
        <v>15211</v>
      </c>
      <c r="F13" s="97">
        <f>ROUND(+'FTE Calc'!B49,0)</f>
        <v>0</v>
      </c>
      <c r="G13" s="98">
        <f>ROUND(+'FTE Calc'!B50,0)</f>
        <v>0</v>
      </c>
      <c r="H13" s="97">
        <f>ROUND(+'FTE Calc'!B51,0)</f>
        <v>187258</v>
      </c>
      <c r="I13" s="98">
        <f>ROUND(+'FTE Calc'!B52,0)</f>
        <v>0</v>
      </c>
      <c r="J13" s="97">
        <f>SUM(B13:I13)</f>
        <v>322516</v>
      </c>
    </row>
    <row r="14" spans="1:10" ht="12.75">
      <c r="A14" s="1"/>
      <c r="B14" s="97"/>
      <c r="C14" s="97"/>
      <c r="D14" s="97"/>
      <c r="E14" s="97"/>
      <c r="F14" s="97"/>
      <c r="G14" s="98"/>
      <c r="H14" s="97"/>
      <c r="I14" s="98"/>
      <c r="J14" s="97"/>
    </row>
    <row r="15" spans="1:10" ht="12.75">
      <c r="A15" s="1" t="s">
        <v>1560</v>
      </c>
      <c r="B15" s="97">
        <f>ROUND(+'FTE Calc'!B64,0)</f>
        <v>23670</v>
      </c>
      <c r="C15" s="97">
        <f>ROUND(+'FTE Calc'!B65,0)</f>
        <v>24930</v>
      </c>
      <c r="D15" s="97">
        <f>ROUND(+'FTE Calc'!B66,0)</f>
        <v>12601</v>
      </c>
      <c r="E15" s="97">
        <f>ROUND(+'FTE Calc'!B67,0)</f>
        <v>18226</v>
      </c>
      <c r="F15" s="97">
        <f>ROUND(+'FTE Calc'!B68,0)</f>
        <v>28222</v>
      </c>
      <c r="G15" s="98">
        <f>ROUND(+'FTE Calc'!B69,0)</f>
        <v>11203</v>
      </c>
      <c r="H15" s="97">
        <f>ROUND(+'FTE Calc'!B70,0)</f>
        <v>35165</v>
      </c>
      <c r="I15" s="98">
        <f>ROUND(+'FTE Calc'!B71,0)</f>
        <v>33104</v>
      </c>
      <c r="J15" s="97">
        <f>SUM(B15:I15)</f>
        <v>187121</v>
      </c>
    </row>
    <row r="16" spans="1:10" ht="12.75">
      <c r="A16" s="1" t="s">
        <v>1561</v>
      </c>
      <c r="B16" s="97">
        <f>ROUND(+'FTE Calc'!B83,0)</f>
        <v>15380</v>
      </c>
      <c r="C16" s="97">
        <f>ROUND(+'FTE Calc'!B84,0)</f>
        <v>11347</v>
      </c>
      <c r="D16" s="97">
        <f>ROUND(+'FTE Calc'!B85,0)</f>
        <v>29666</v>
      </c>
      <c r="E16" s="97">
        <f>ROUND(+'FTE Calc'!B86,0)</f>
        <v>6453</v>
      </c>
      <c r="F16" s="97">
        <f>ROUND(+'FTE Calc'!B87,0)</f>
        <v>8184</v>
      </c>
      <c r="G16" s="98">
        <f>ROUND(+'FTE Calc'!B88,0)</f>
        <v>2094</v>
      </c>
      <c r="H16" s="97">
        <f>ROUND(+'FTE Calc'!B89,0)</f>
        <v>27974</v>
      </c>
      <c r="I16" s="98">
        <f>ROUND(+'FTE Calc'!B90,0)</f>
        <v>0</v>
      </c>
      <c r="J16" s="97">
        <f>SUM(B16:I16)</f>
        <v>101098</v>
      </c>
    </row>
    <row r="17" spans="1:10" ht="12.75">
      <c r="A17" s="1" t="s">
        <v>1562</v>
      </c>
      <c r="B17" s="97">
        <f>ROUND(+'FTE Calc'!B102,0)</f>
        <v>18930</v>
      </c>
      <c r="C17" s="97">
        <f>ROUND(+'FTE Calc'!B103,0)</f>
        <v>24246</v>
      </c>
      <c r="D17" s="97">
        <f>ROUND(+'FTE Calc'!B104,0)</f>
        <v>32531</v>
      </c>
      <c r="E17" s="97">
        <f>ROUND(+'FTE Calc'!B105,0)</f>
        <v>27306</v>
      </c>
      <c r="F17" s="97">
        <f>ROUND(+'FTE Calc'!B106,0)</f>
        <v>13060</v>
      </c>
      <c r="G17" s="98">
        <f>ROUND(+'FTE Calc'!B107,0)</f>
        <v>0</v>
      </c>
      <c r="H17" s="97">
        <f>ROUND(+'FTE Calc'!B108,0)</f>
        <v>15627</v>
      </c>
      <c r="I17" s="98">
        <f>ROUND(+'FTE Calc'!D109,0)</f>
        <v>0</v>
      </c>
      <c r="J17" s="97">
        <f>SUM(B17:I17)</f>
        <v>131700</v>
      </c>
    </row>
    <row r="18" spans="1:10" ht="12.75">
      <c r="A18" s="1"/>
      <c r="B18" s="97"/>
      <c r="C18" s="97"/>
      <c r="D18" s="97"/>
      <c r="E18" s="97"/>
      <c r="F18" s="97"/>
      <c r="G18" s="98"/>
      <c r="H18" s="97"/>
      <c r="I18" s="98"/>
      <c r="J18" s="97"/>
    </row>
    <row r="19" spans="1:10" ht="12.75">
      <c r="A19" s="1" t="s">
        <v>1563</v>
      </c>
      <c r="B19" s="97">
        <f>ROUND(+'FTE Calc'!B121,0)</f>
        <v>21971</v>
      </c>
      <c r="C19" s="97">
        <f>ROUND(+'FTE Calc'!B122,0)</f>
        <v>7670</v>
      </c>
      <c r="D19" s="97">
        <f>ROUND(+'FTE Calc'!B123,0)</f>
        <v>0</v>
      </c>
      <c r="E19" s="97">
        <f>ROUND(+'FTE Calc'!B124,0)</f>
        <v>29214</v>
      </c>
      <c r="F19" s="97">
        <f>ROUND(+'FTE Calc'!B125,0)</f>
        <v>5004</v>
      </c>
      <c r="G19" s="98">
        <f>ROUND(+'FTE Calc'!B126,0)</f>
        <v>1578</v>
      </c>
      <c r="H19" s="97">
        <f>ROUND(+'FTE Calc'!B127,0)</f>
        <v>61739</v>
      </c>
      <c r="I19" s="98">
        <f>ROUND(+'FTE Calc'!B128,0)</f>
        <v>0</v>
      </c>
      <c r="J19" s="97">
        <f>SUM(B19:I19)</f>
        <v>127176</v>
      </c>
    </row>
    <row r="20" spans="1:10" ht="12.75">
      <c r="A20" s="1" t="s">
        <v>1564</v>
      </c>
      <c r="B20" s="97">
        <f>ROUND(+'FTE Calc'!B140,0)</f>
        <v>10987</v>
      </c>
      <c r="C20" s="97">
        <f>ROUND(+'FTE Calc'!B141,0)</f>
        <v>18796</v>
      </c>
      <c r="D20" s="97">
        <f>ROUND(+'FTE Calc'!B142,0)</f>
        <v>5202</v>
      </c>
      <c r="E20" s="97">
        <f>ROUND(+'FTE Calc'!B143,0)</f>
        <v>0</v>
      </c>
      <c r="F20" s="97">
        <f>ROUND(+'FTE Calc'!B144,0)</f>
        <v>6137</v>
      </c>
      <c r="G20" s="98">
        <f>ROUND(+'FTE Calc'!B145,0)</f>
        <v>4224</v>
      </c>
      <c r="H20" s="97">
        <f>ROUND(+'FTE Calc'!B146,0)</f>
        <v>37547</v>
      </c>
      <c r="I20" s="98">
        <f>ROUND(+'FTE Calc'!B147,0)</f>
        <v>0</v>
      </c>
      <c r="J20" s="97">
        <f>SUM(B20:I20)</f>
        <v>82893</v>
      </c>
    </row>
    <row r="21" spans="1:10" ht="12.75">
      <c r="A21" s="1" t="s">
        <v>1565</v>
      </c>
      <c r="B21" s="97">
        <f>ROUND(+'FTE Calc'!B159,0)</f>
        <v>33663</v>
      </c>
      <c r="C21" s="97">
        <f>ROUND(+'FTE Calc'!B160,0)</f>
        <v>9255</v>
      </c>
      <c r="D21" s="97">
        <f>ROUND(+'FTE Calc'!B161,0)</f>
        <v>54287</v>
      </c>
      <c r="E21" s="97">
        <f>ROUND(+'FTE Calc'!B162,0)</f>
        <v>7624</v>
      </c>
      <c r="F21" s="97">
        <f>ROUND(+'FTE Calc'!B163,0)</f>
        <v>5878</v>
      </c>
      <c r="G21" s="98">
        <f>ROUND(+'FTE Calc'!B164,0)</f>
        <v>7422</v>
      </c>
      <c r="H21" s="97">
        <f>ROUND(+'FTE Calc'!B165,0)</f>
        <v>101276</v>
      </c>
      <c r="I21" s="98">
        <f>ROUND(+'FTE Calc'!B166,0)</f>
        <v>0</v>
      </c>
      <c r="J21" s="97">
        <f>SUM(B21:I21)</f>
        <v>219405</v>
      </c>
    </row>
    <row r="22" spans="1:10" ht="12.75">
      <c r="A22" s="1"/>
      <c r="B22" s="97"/>
      <c r="C22" s="97"/>
      <c r="D22" s="97"/>
      <c r="E22" s="97"/>
      <c r="F22" s="97"/>
      <c r="G22" s="98"/>
      <c r="H22" s="97"/>
      <c r="I22" s="98"/>
      <c r="J22" s="97"/>
    </row>
    <row r="23" spans="1:10" ht="12.75">
      <c r="A23" s="1" t="s">
        <v>1566</v>
      </c>
      <c r="B23" s="97">
        <f>ROUND(+'FTE Calc'!B178,0)</f>
        <v>26953</v>
      </c>
      <c r="C23" s="97">
        <f>ROUND(+'FTE Calc'!B179,0)</f>
        <v>0</v>
      </c>
      <c r="D23" s="97">
        <f>ROUND(+'FTE Calc'!B180,0)</f>
        <v>9525</v>
      </c>
      <c r="E23" s="97">
        <f>ROUND(+'FTE Calc'!B181,0)</f>
        <v>10005</v>
      </c>
      <c r="F23" s="97">
        <f>ROUND(+'FTE Calc'!B182,0)</f>
        <v>12182</v>
      </c>
      <c r="G23" s="98">
        <f>ROUND(+'FTE Calc'!B183,0)</f>
        <v>5237</v>
      </c>
      <c r="H23" s="97">
        <f>ROUND(+'FTE Calc'!B184,0)</f>
        <v>38064</v>
      </c>
      <c r="I23" s="98">
        <f>ROUND(+'FTE Calc'!B185,0)</f>
        <v>0</v>
      </c>
      <c r="J23" s="97">
        <f>SUM(B23:I23)</f>
        <v>101966</v>
      </c>
    </row>
    <row r="24" spans="1:10" ht="12.75">
      <c r="A24" s="1" t="s">
        <v>1567</v>
      </c>
      <c r="B24" s="97">
        <f>ROUND(+'FTE Calc'!B197,0)</f>
        <v>13978</v>
      </c>
      <c r="C24" s="97">
        <f>ROUND(+'FTE Calc'!B198,0)</f>
        <v>13026</v>
      </c>
      <c r="D24" s="97">
        <f>ROUND(+'FTE Calc'!B199,0)</f>
        <v>3833</v>
      </c>
      <c r="E24" s="97">
        <f>ROUND(+'FTE Calc'!B200,0)</f>
        <v>8076</v>
      </c>
      <c r="F24" s="97">
        <f>ROUND(+'FTE Calc'!B201,0)</f>
        <v>9880</v>
      </c>
      <c r="G24" s="98">
        <f>ROUND(+'FTE Calc'!B202,0)</f>
        <v>10667</v>
      </c>
      <c r="H24" s="97">
        <f>ROUND(+'FTE Calc'!B203,0)</f>
        <v>44093</v>
      </c>
      <c r="I24" s="98">
        <f>ROUND(+'FTE Calc'!B204,0)</f>
        <v>0</v>
      </c>
      <c r="J24" s="97">
        <f>SUM(B24:I24)</f>
        <v>103553</v>
      </c>
    </row>
    <row r="25" spans="1:10" ht="12.75">
      <c r="A25" s="1" t="s">
        <v>1568</v>
      </c>
      <c r="B25" s="97">
        <f>ROUND(+'FTE Calc'!B216,0)</f>
        <v>17135</v>
      </c>
      <c r="C25" s="97">
        <f>ROUND(+'FTE Calc'!B217,0)</f>
        <v>13261</v>
      </c>
      <c r="D25" s="97">
        <f>ROUND(+'FTE Calc'!B218,0)</f>
        <v>28803</v>
      </c>
      <c r="E25" s="97">
        <f>ROUND(+'FTE Calc'!B219,0)</f>
        <v>19047</v>
      </c>
      <c r="F25" s="97">
        <f>ROUND(+'FTE Calc'!B220,0)</f>
        <v>5391</v>
      </c>
      <c r="G25" s="98">
        <f>ROUND(+'FTE Calc'!B221,0)</f>
        <v>0</v>
      </c>
      <c r="H25" s="97">
        <f>ROUND(+'FTE Calc'!B222,0)</f>
        <v>47780</v>
      </c>
      <c r="I25" s="98">
        <f>ROUND(+'FTE Calc'!B223,0)</f>
        <v>0</v>
      </c>
      <c r="J25" s="97">
        <f>SUM(B25:I25)</f>
        <v>131417</v>
      </c>
    </row>
    <row r="26" spans="1:10" ht="12.75">
      <c r="A26" s="1"/>
      <c r="B26" s="97"/>
      <c r="C26" s="97"/>
      <c r="D26" s="97"/>
      <c r="E26" s="97"/>
      <c r="F26" s="97"/>
      <c r="G26" s="98"/>
      <c r="H26" s="97"/>
      <c r="I26" s="98"/>
      <c r="J26" s="97"/>
    </row>
    <row r="27" spans="1:10" ht="12.75">
      <c r="A27" s="1" t="s">
        <v>1569</v>
      </c>
      <c r="B27" s="97">
        <f>ROUND(+'FTE Calc'!B235,0)</f>
        <v>125097</v>
      </c>
      <c r="C27" s="97">
        <f>ROUND(+'FTE Calc'!B236,0)</f>
        <v>18382</v>
      </c>
      <c r="D27" s="97">
        <f>ROUND(+'FTE Calc'!B237,0)</f>
        <v>104624</v>
      </c>
      <c r="E27" s="97">
        <f>ROUND(+'FTE Calc'!B238,0)</f>
        <v>28274</v>
      </c>
      <c r="F27" s="97">
        <f>ROUND(+'FTE Calc'!B239,0)</f>
        <v>2705</v>
      </c>
      <c r="G27" s="98">
        <f>ROUND(+'FTE Calc'!B240,0)</f>
        <v>6697</v>
      </c>
      <c r="H27" s="97">
        <f>ROUND(+'FTE Calc'!B241,0)</f>
        <v>285307</v>
      </c>
      <c r="I27" s="98">
        <f>ROUND(+'FTE Calc'!B242,0)</f>
        <v>0</v>
      </c>
      <c r="J27" s="97">
        <f>SUM(B27:I27)</f>
        <v>571086</v>
      </c>
    </row>
    <row r="28" spans="1:10" ht="12.75">
      <c r="A28" s="1" t="s">
        <v>1570</v>
      </c>
      <c r="B28" s="97">
        <f>ROUND(+'FTE Calc'!B254,0)</f>
        <v>32851</v>
      </c>
      <c r="C28" s="97">
        <f>ROUND(+'FTE Calc'!B255,0)</f>
        <v>39151</v>
      </c>
      <c r="D28" s="97">
        <f>ROUND(+'FTE Calc'!B256,0)</f>
        <v>10997</v>
      </c>
      <c r="E28" s="97">
        <f>ROUND(+'FTE Calc'!B257,0)</f>
        <v>17831</v>
      </c>
      <c r="F28" s="97">
        <f>ROUND(+'FTE Calc'!B258,0)</f>
        <v>3100</v>
      </c>
      <c r="G28" s="98">
        <f>ROUND(+'FTE Calc'!B259,0)</f>
        <v>8028</v>
      </c>
      <c r="H28" s="97">
        <f>ROUND(+'FTE Calc'!B260,0)</f>
        <v>73520</v>
      </c>
      <c r="I28" s="98">
        <f>ROUND(+'FTE Calc'!B261,0)</f>
        <v>0</v>
      </c>
      <c r="J28" s="97">
        <f>SUM(B28:I28)</f>
        <v>185478</v>
      </c>
    </row>
    <row r="29" spans="1:10" ht="12.75">
      <c r="A29" s="11" t="s">
        <v>1571</v>
      </c>
      <c r="B29" s="99">
        <f>ROUND(+'FTE Calc'!B273,0)</f>
        <v>14468</v>
      </c>
      <c r="C29" s="99">
        <f>ROUND(+'FTE Calc'!B274,0)</f>
        <v>0</v>
      </c>
      <c r="D29" s="99">
        <f>ROUND(+'FTE Calc'!B275,0)</f>
        <v>8591</v>
      </c>
      <c r="E29" s="99">
        <f>ROUND(+'FTE Calc'!B276,0)</f>
        <v>0</v>
      </c>
      <c r="F29" s="99">
        <f>ROUND(+'FTE Calc'!B277,0)</f>
        <v>0</v>
      </c>
      <c r="G29" s="100">
        <f>ROUND(+'FTE Calc'!B278,0)</f>
        <v>22119</v>
      </c>
      <c r="H29" s="99">
        <f>ROUND(+'FTE Calc'!B279,0)</f>
        <v>7226</v>
      </c>
      <c r="I29" s="100">
        <f>ROUND(+'FTE Calc'!B280,0)</f>
        <v>0</v>
      </c>
      <c r="J29" s="99">
        <f>SUM(B29:I29)</f>
        <v>52404</v>
      </c>
    </row>
    <row r="31" spans="1:10" ht="12.75">
      <c r="A31" s="101" t="s">
        <v>1572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101" t="s">
        <v>0</v>
      </c>
      <c r="B32" s="1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101" t="s">
        <v>1</v>
      </c>
      <c r="B33" s="1"/>
      <c r="C33" s="33"/>
      <c r="D33" s="33"/>
      <c r="E33" s="33"/>
      <c r="F33" s="33"/>
      <c r="G33" s="33"/>
      <c r="H33" s="33"/>
      <c r="I33" s="33"/>
      <c r="J33" s="33"/>
    </row>
    <row r="34" ht="12.75">
      <c r="A34" s="101" t="s">
        <v>2</v>
      </c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.7109375" style="0" customWidth="1"/>
    <col min="2" max="2" width="8.7109375" style="0" customWidth="1"/>
    <col min="3" max="9" width="6.7109375" style="0" customWidth="1"/>
    <col min="10" max="10" width="4.7109375" style="0" customWidth="1"/>
  </cols>
  <sheetData>
    <row r="1" spans="1:9" ht="13.5" customHeight="1">
      <c r="A1" s="83" t="s">
        <v>3</v>
      </c>
      <c r="B1" s="83"/>
      <c r="C1" s="84"/>
      <c r="D1" s="85"/>
      <c r="E1" s="85"/>
      <c r="F1" s="85"/>
      <c r="G1" s="85"/>
      <c r="H1" s="85"/>
      <c r="I1" s="85"/>
    </row>
    <row r="2" spans="1:9" ht="13.5" customHeight="1">
      <c r="A2" s="88"/>
      <c r="B2" s="88"/>
      <c r="C2" s="84"/>
      <c r="D2" s="85"/>
      <c r="E2" s="85"/>
      <c r="F2" s="85"/>
      <c r="G2" s="85"/>
      <c r="H2" s="85"/>
      <c r="I2" s="85"/>
    </row>
    <row r="3" spans="1:9" ht="13.5" customHeight="1">
      <c r="A3" s="88" t="s">
        <v>4</v>
      </c>
      <c r="B3" s="88"/>
      <c r="C3" s="84"/>
      <c r="D3" s="85"/>
      <c r="E3" s="85"/>
      <c r="F3" s="85"/>
      <c r="G3" s="85"/>
      <c r="H3" s="85"/>
      <c r="I3" s="85"/>
    </row>
    <row r="4" spans="1:9" ht="13.5" customHeight="1">
      <c r="A4" s="88" t="s">
        <v>1545</v>
      </c>
      <c r="B4" s="88"/>
      <c r="C4" s="84"/>
      <c r="D4" s="85"/>
      <c r="E4" s="85"/>
      <c r="F4" s="85"/>
      <c r="G4" s="85"/>
      <c r="H4" s="85"/>
      <c r="I4" s="85"/>
    </row>
    <row r="5" spans="1:9" ht="13.5" customHeight="1">
      <c r="A5" s="88" t="s">
        <v>1447</v>
      </c>
      <c r="B5" s="88"/>
      <c r="C5" s="84"/>
      <c r="D5" s="85"/>
      <c r="E5" s="85"/>
      <c r="F5" s="85"/>
      <c r="G5" s="85"/>
      <c r="H5" s="85"/>
      <c r="I5" s="85"/>
    </row>
    <row r="6" spans="1:9" ht="4.5" customHeight="1">
      <c r="A6" s="1"/>
      <c r="B6" s="40"/>
      <c r="C6" s="40"/>
      <c r="D6" s="40"/>
      <c r="E6" s="40"/>
      <c r="F6" s="40"/>
      <c r="G6" s="40"/>
      <c r="H6" s="40"/>
      <c r="I6" s="40"/>
    </row>
    <row r="7" spans="1:9" ht="9.75" customHeight="1">
      <c r="A7" s="1"/>
      <c r="B7" s="4"/>
      <c r="C7" s="89" t="s">
        <v>1546</v>
      </c>
      <c r="D7" s="89"/>
      <c r="E7" s="89"/>
      <c r="F7" s="89"/>
      <c r="G7" s="89"/>
      <c r="H7" s="89"/>
      <c r="I7" s="93"/>
    </row>
    <row r="8" spans="1:9" ht="9.75" customHeight="1">
      <c r="A8" s="1"/>
      <c r="B8" s="1"/>
      <c r="C8" s="183" t="s">
        <v>1548</v>
      </c>
      <c r="D8" s="183" t="s">
        <v>1549</v>
      </c>
      <c r="E8" s="183" t="s">
        <v>1550</v>
      </c>
      <c r="F8" s="183" t="s">
        <v>1551</v>
      </c>
      <c r="G8" s="183" t="s">
        <v>1552</v>
      </c>
      <c r="H8" s="123" t="s">
        <v>1553</v>
      </c>
      <c r="I8" s="183" t="s">
        <v>126</v>
      </c>
    </row>
    <row r="9" spans="1:9" ht="12" customHeight="1">
      <c r="A9" s="1"/>
      <c r="B9" s="4" t="s">
        <v>1556</v>
      </c>
      <c r="C9" s="95">
        <f aca="true" t="shared" si="0" ref="C9:I9">SUM(C11:C29)</f>
        <v>118146</v>
      </c>
      <c r="D9" s="95">
        <f t="shared" si="0"/>
        <v>57812</v>
      </c>
      <c r="E9" s="95">
        <f t="shared" si="0"/>
        <v>50374</v>
      </c>
      <c r="F9" s="95">
        <f t="shared" si="0"/>
        <v>23647</v>
      </c>
      <c r="G9" s="95">
        <f t="shared" si="0"/>
        <v>13062</v>
      </c>
      <c r="H9" s="96">
        <f t="shared" si="0"/>
        <v>1119</v>
      </c>
      <c r="I9" s="95">
        <f t="shared" si="0"/>
        <v>264160</v>
      </c>
    </row>
    <row r="10" spans="1:9" ht="12" customHeight="1">
      <c r="A10" s="1"/>
      <c r="B10" s="1"/>
      <c r="C10" s="97"/>
      <c r="D10" s="97"/>
      <c r="E10" s="97"/>
      <c r="F10" s="97"/>
      <c r="G10" s="97"/>
      <c r="H10" s="98"/>
      <c r="I10" s="97"/>
    </row>
    <row r="11" spans="1:9" ht="12" customHeight="1">
      <c r="A11" s="1"/>
      <c r="B11" s="1" t="s">
        <v>1557</v>
      </c>
      <c r="C11" s="97">
        <f>ROUND(+'FTE Calc'!C6,0)</f>
        <v>5293</v>
      </c>
      <c r="D11" s="97">
        <f>ROUND(+'FTE Calc'!C7,0)</f>
        <v>2466</v>
      </c>
      <c r="E11" s="97">
        <f>ROUND(+'FTE Calc'!C8,0)</f>
        <v>3602</v>
      </c>
      <c r="F11" s="97">
        <f>ROUND(+'FTE Calc'!C9,0)</f>
        <v>2520</v>
      </c>
      <c r="G11" s="97">
        <f>ROUND(+'FTE Calc'!C10,0)</f>
        <v>1470</v>
      </c>
      <c r="H11" s="98">
        <f>ROUND(+'FTE Calc'!C11,0)</f>
        <v>0</v>
      </c>
      <c r="I11" s="97">
        <f>SUM(C11:H11)</f>
        <v>15351</v>
      </c>
    </row>
    <row r="12" spans="1:9" ht="12" customHeight="1">
      <c r="A12" s="1"/>
      <c r="B12" s="1" t="s">
        <v>1558</v>
      </c>
      <c r="C12" s="97">
        <f>ROUND(+'FTE Calc'!C26,0)</f>
        <v>2246</v>
      </c>
      <c r="D12" s="97">
        <f>ROUND(+'FTE Calc'!C27,0)</f>
        <v>0</v>
      </c>
      <c r="E12" s="97">
        <f>ROUND(+'FTE Calc'!C28,0)</f>
        <v>2881</v>
      </c>
      <c r="F12" s="97">
        <f>ROUND(+'FTE Calc'!C29,0)</f>
        <v>0</v>
      </c>
      <c r="G12" s="97">
        <f>ROUND(+'FTE Calc'!C30,0)</f>
        <v>300</v>
      </c>
      <c r="H12" s="98">
        <f>ROUND(+'FTE Calc'!C31,0)</f>
        <v>214</v>
      </c>
      <c r="I12" s="97">
        <f>SUM(C12:H12)</f>
        <v>5641</v>
      </c>
    </row>
    <row r="13" spans="1:9" ht="12" customHeight="1">
      <c r="A13" s="1"/>
      <c r="B13" s="1" t="s">
        <v>1559</v>
      </c>
      <c r="C13" s="97">
        <f>ROUND(+'FTE Calc'!C45,0)</f>
        <v>15773</v>
      </c>
      <c r="D13" s="97">
        <f>ROUND(+'FTE Calc'!C46,0)</f>
        <v>4451</v>
      </c>
      <c r="E13" s="97">
        <f>ROUND(+'FTE Calc'!C47,0)</f>
        <v>4100</v>
      </c>
      <c r="F13" s="97">
        <f>ROUND(+'FTE Calc'!C48,0)</f>
        <v>1624</v>
      </c>
      <c r="G13" s="97">
        <f>ROUND(+'FTE Calc'!C49,0)</f>
        <v>0</v>
      </c>
      <c r="H13" s="98">
        <f>ROUND(+'FTE Calc'!C50,0)</f>
        <v>0</v>
      </c>
      <c r="I13" s="97">
        <f>SUM(C13:H13)</f>
        <v>25948</v>
      </c>
    </row>
    <row r="14" spans="1:9" ht="12" customHeight="1">
      <c r="A14" s="1"/>
      <c r="B14" s="1"/>
      <c r="C14" s="97"/>
      <c r="D14" s="97"/>
      <c r="E14" s="97"/>
      <c r="F14" s="97"/>
      <c r="G14" s="97"/>
      <c r="H14" s="98"/>
      <c r="I14" s="97"/>
    </row>
    <row r="15" spans="1:9" ht="12" customHeight="1">
      <c r="A15" s="1"/>
      <c r="B15" s="1" t="s">
        <v>1560</v>
      </c>
      <c r="C15" s="97">
        <f>ROUND(+'FTE Calc'!C64,0)</f>
        <v>6560</v>
      </c>
      <c r="D15" s="97">
        <f>ROUND(+'FTE Calc'!C65,0)</f>
        <v>10664</v>
      </c>
      <c r="E15" s="97">
        <f>ROUND(+'FTE Calc'!C66,0)</f>
        <v>1398</v>
      </c>
      <c r="F15" s="97">
        <f>ROUND(+'FTE Calc'!C67,0)</f>
        <v>3828</v>
      </c>
      <c r="G15" s="97">
        <f>ROUND(+'FTE Calc'!C68,0)</f>
        <v>2918</v>
      </c>
      <c r="H15" s="98">
        <f>ROUND(+'FTE Calc'!C69,0)</f>
        <v>270</v>
      </c>
      <c r="I15" s="97">
        <f>SUM(C15:H15)</f>
        <v>25638</v>
      </c>
    </row>
    <row r="16" spans="1:9" ht="12" customHeight="1">
      <c r="A16" s="1"/>
      <c r="B16" s="1" t="s">
        <v>1561</v>
      </c>
      <c r="C16" s="97">
        <f>ROUND(+'FTE Calc'!C83,0)</f>
        <v>3266</v>
      </c>
      <c r="D16" s="97">
        <f>ROUND(+'FTE Calc'!C84,0)</f>
        <v>2852</v>
      </c>
      <c r="E16" s="97">
        <f>ROUND(+'FTE Calc'!C85,0)</f>
        <v>3567</v>
      </c>
      <c r="F16" s="97">
        <f>ROUND(+'FTE Calc'!C86,0)</f>
        <v>916</v>
      </c>
      <c r="G16" s="97">
        <f>ROUND(+'FTE Calc'!C87,0)</f>
        <v>808</v>
      </c>
      <c r="H16" s="98">
        <f>ROUND(+'FTE Calc'!C88,0)</f>
        <v>48</v>
      </c>
      <c r="I16" s="97">
        <f>SUM(C16:H16)</f>
        <v>11457</v>
      </c>
    </row>
    <row r="17" spans="1:9" ht="12" customHeight="1">
      <c r="A17" s="1"/>
      <c r="B17" s="1" t="s">
        <v>1562</v>
      </c>
      <c r="C17" s="97">
        <f>ROUND(+'FTE Calc'!C102,0)</f>
        <v>4178</v>
      </c>
      <c r="D17" s="97">
        <f>ROUND(+'FTE Calc'!C103,0)</f>
        <v>3318</v>
      </c>
      <c r="E17" s="97">
        <f>ROUND(+'FTE Calc'!C104,0)</f>
        <v>3612</v>
      </c>
      <c r="F17" s="97">
        <f>ROUND(+'FTE Calc'!C105,0)</f>
        <v>2049</v>
      </c>
      <c r="G17" s="97">
        <f>ROUND(+'FTE Calc'!C106,0)</f>
        <v>1097</v>
      </c>
      <c r="H17" s="98">
        <f>ROUND(+'FTE Calc'!C107,0)</f>
        <v>0</v>
      </c>
      <c r="I17" s="97">
        <f>SUM(C17:H17)</f>
        <v>14254</v>
      </c>
    </row>
    <row r="18" spans="1:9" ht="12" customHeight="1">
      <c r="A18" s="1"/>
      <c r="B18" s="1"/>
      <c r="C18" s="97"/>
      <c r="D18" s="97"/>
      <c r="E18" s="97"/>
      <c r="F18" s="97"/>
      <c r="G18" s="97"/>
      <c r="H18" s="98"/>
      <c r="I18" s="97"/>
    </row>
    <row r="19" spans="1:9" ht="12" customHeight="1">
      <c r="A19" s="1"/>
      <c r="B19" s="1" t="s">
        <v>1563</v>
      </c>
      <c r="C19" s="97">
        <f>ROUND(+'FTE Calc'!C121,0)</f>
        <v>4328</v>
      </c>
      <c r="D19" s="97">
        <f>ROUND(+'FTE Calc'!C122,0)</f>
        <v>714</v>
      </c>
      <c r="E19" s="97">
        <f>ROUND(+'FTE Calc'!C123,0)</f>
        <v>0</v>
      </c>
      <c r="F19" s="97">
        <f>ROUND(+'FTE Calc'!C124,0)</f>
        <v>4825</v>
      </c>
      <c r="G19" s="97">
        <f>ROUND(+'FTE Calc'!C125,0)</f>
        <v>505</v>
      </c>
      <c r="H19" s="98">
        <f>ROUND(+'FTE Calc'!C126,0)</f>
        <v>0</v>
      </c>
      <c r="I19" s="97">
        <f>SUM(C19:H19)</f>
        <v>10372</v>
      </c>
    </row>
    <row r="20" spans="1:9" ht="12" customHeight="1">
      <c r="A20" s="1"/>
      <c r="B20" s="1" t="s">
        <v>1564</v>
      </c>
      <c r="C20" s="97">
        <f>ROUND(+'FTE Calc'!C140,0)</f>
        <v>2022</v>
      </c>
      <c r="D20" s="97">
        <f>ROUND(+'FTE Calc'!C141,0)</f>
        <v>4830</v>
      </c>
      <c r="E20" s="97">
        <f>ROUND(+'FTE Calc'!C142,0)</f>
        <v>543</v>
      </c>
      <c r="F20" s="97">
        <f>ROUND(+'FTE Calc'!C143,0)</f>
        <v>0</v>
      </c>
      <c r="G20" s="97">
        <f>ROUND(+'FTE Calc'!C144,0)</f>
        <v>648</v>
      </c>
      <c r="H20" s="98">
        <f>ROUND(+'FTE Calc'!C145,0)</f>
        <v>121</v>
      </c>
      <c r="I20" s="97">
        <f>SUM(C20:H20)</f>
        <v>8164</v>
      </c>
    </row>
    <row r="21" spans="1:9" ht="12" customHeight="1">
      <c r="A21" s="1"/>
      <c r="B21" s="1" t="s">
        <v>1565</v>
      </c>
      <c r="C21" s="97">
        <f>ROUND(+'FTE Calc'!C159,0)</f>
        <v>7211</v>
      </c>
      <c r="D21" s="97">
        <f>ROUND(+'FTE Calc'!C160,0)</f>
        <v>1808</v>
      </c>
      <c r="E21" s="97">
        <f>ROUND(+'FTE Calc'!C161,0)</f>
        <v>6969</v>
      </c>
      <c r="F21" s="97">
        <f>ROUND(+'FTE Calc'!C162,0)</f>
        <v>315</v>
      </c>
      <c r="G21" s="97">
        <f>ROUND(+'FTE Calc'!C163,0)</f>
        <v>658</v>
      </c>
      <c r="H21" s="98">
        <f>ROUND(+'FTE Calc'!C164,0)</f>
        <v>18</v>
      </c>
      <c r="I21" s="97">
        <f>SUM(C21:H21)</f>
        <v>16979</v>
      </c>
    </row>
    <row r="22" spans="1:9" ht="12" customHeight="1">
      <c r="A22" s="1"/>
      <c r="B22" s="1"/>
      <c r="C22" s="97"/>
      <c r="D22" s="97"/>
      <c r="E22" s="97"/>
      <c r="F22" s="97"/>
      <c r="G22" s="97"/>
      <c r="H22" s="98"/>
      <c r="I22" s="97"/>
    </row>
    <row r="23" spans="1:9" ht="12" customHeight="1">
      <c r="A23" s="1"/>
      <c r="B23" s="1" t="s">
        <v>1566</v>
      </c>
      <c r="C23" s="97">
        <f>ROUND(+'FTE Calc'!C178,0)</f>
        <v>6780</v>
      </c>
      <c r="D23" s="97">
        <f>ROUND(+'FTE Calc'!C179,0)</f>
        <v>0</v>
      </c>
      <c r="E23" s="97">
        <f>ROUND(+'FTE Calc'!C180,0)</f>
        <v>2139</v>
      </c>
      <c r="F23" s="97">
        <f>ROUND(+'FTE Calc'!C181,0)</f>
        <v>1035</v>
      </c>
      <c r="G23" s="97">
        <f>ROUND(+'FTE Calc'!C182,0)</f>
        <v>1205</v>
      </c>
      <c r="H23" s="98">
        <f>ROUND(+'FTE Calc'!C183,0)</f>
        <v>34</v>
      </c>
      <c r="I23" s="97">
        <f>SUM(C23:H23)</f>
        <v>11193</v>
      </c>
    </row>
    <row r="24" spans="1:9" ht="12" customHeight="1">
      <c r="A24" s="1"/>
      <c r="B24" s="1" t="s">
        <v>1567</v>
      </c>
      <c r="C24" s="97">
        <f>ROUND(+'FTE Calc'!C197,0)</f>
        <v>5542</v>
      </c>
      <c r="D24" s="97">
        <f>ROUND(+'FTE Calc'!C198,0)</f>
        <v>3006</v>
      </c>
      <c r="E24" s="97">
        <f>ROUND(+'FTE Calc'!C199,0)</f>
        <v>787</v>
      </c>
      <c r="F24" s="97">
        <f>ROUND(+'FTE Calc'!C200,0)</f>
        <v>600</v>
      </c>
      <c r="G24" s="97">
        <f>ROUND(+'FTE Calc'!C201,0)</f>
        <v>1963</v>
      </c>
      <c r="H24" s="98">
        <f>ROUND(+'FTE Calc'!C202,0)</f>
        <v>325</v>
      </c>
      <c r="I24" s="97">
        <f>SUM(C24:H24)</f>
        <v>12223</v>
      </c>
    </row>
    <row r="25" spans="1:9" ht="12" customHeight="1">
      <c r="A25" s="1"/>
      <c r="B25" s="1" t="s">
        <v>1568</v>
      </c>
      <c r="C25" s="97">
        <f>ROUND(+'FTE Calc'!C216,0)</f>
        <v>5545</v>
      </c>
      <c r="D25" s="97">
        <f>ROUND(+'FTE Calc'!C217,0)</f>
        <v>3743</v>
      </c>
      <c r="E25" s="97">
        <f>ROUND(+'FTE Calc'!C218,0)</f>
        <v>3644</v>
      </c>
      <c r="F25" s="97">
        <f>ROUND(+'FTE Calc'!C219,0)</f>
        <v>1890</v>
      </c>
      <c r="G25" s="97">
        <f>ROUND(+'FTE Calc'!C220,0)</f>
        <v>210</v>
      </c>
      <c r="H25" s="98">
        <f>ROUND(+'FTE Calc'!C221,0)</f>
        <v>0</v>
      </c>
      <c r="I25" s="97">
        <f>SUM(C25:H25)</f>
        <v>15032</v>
      </c>
    </row>
    <row r="26" spans="1:9" ht="12" customHeight="1">
      <c r="A26" s="1"/>
      <c r="B26" s="1"/>
      <c r="C26" s="97"/>
      <c r="D26" s="97"/>
      <c r="E26" s="97"/>
      <c r="F26" s="97"/>
      <c r="G26" s="97"/>
      <c r="H26" s="98"/>
      <c r="I26" s="97"/>
    </row>
    <row r="27" spans="1:9" ht="12" customHeight="1">
      <c r="A27" s="1"/>
      <c r="B27" s="1" t="s">
        <v>1569</v>
      </c>
      <c r="C27" s="97">
        <f>ROUND(+'FTE Calc'!C235,0)</f>
        <v>32649</v>
      </c>
      <c r="D27" s="97">
        <f>ROUND(+'FTE Calc'!C236,0)</f>
        <v>5352</v>
      </c>
      <c r="E27" s="97">
        <f>ROUND(+'FTE Calc'!C237,0)</f>
        <v>15148</v>
      </c>
      <c r="F27" s="97">
        <f>ROUND(+'FTE Calc'!C238,0)</f>
        <v>2321</v>
      </c>
      <c r="G27" s="97">
        <f>ROUND(+'FTE Calc'!C239,0)</f>
        <v>1012</v>
      </c>
      <c r="H27" s="98">
        <f>ROUND(+'FTE Calc'!C240,0)</f>
        <v>0</v>
      </c>
      <c r="I27" s="97">
        <f>SUM(C27:H27)</f>
        <v>56482</v>
      </c>
    </row>
    <row r="28" spans="1:9" ht="12" customHeight="1">
      <c r="A28" s="1"/>
      <c r="B28" s="1" t="s">
        <v>1570</v>
      </c>
      <c r="C28" s="97">
        <f>ROUND(+'FTE Calc'!C254,0)</f>
        <v>12124</v>
      </c>
      <c r="D28" s="97">
        <f>ROUND(+'FTE Calc'!C255,0)</f>
        <v>14608</v>
      </c>
      <c r="E28" s="97">
        <f>ROUND(+'FTE Calc'!C256,0)</f>
        <v>790</v>
      </c>
      <c r="F28" s="97">
        <f>ROUND(+'FTE Calc'!C257,0)</f>
        <v>1724</v>
      </c>
      <c r="G28" s="97">
        <f>ROUND(+'FTE Calc'!C258,0)</f>
        <v>268</v>
      </c>
      <c r="H28" s="98">
        <f>ROUND(+'FTE Calc'!C259,0)</f>
        <v>73</v>
      </c>
      <c r="I28" s="97">
        <f>SUM(C28:H28)</f>
        <v>29587</v>
      </c>
    </row>
    <row r="29" spans="1:9" ht="12" customHeight="1">
      <c r="A29" s="1"/>
      <c r="B29" s="11" t="s">
        <v>1571</v>
      </c>
      <c r="C29" s="99">
        <f>ROUND(+'FTE Calc'!C273,0)</f>
        <v>4629</v>
      </c>
      <c r="D29" s="99">
        <f>ROUND(+'FTE Calc'!C274,0)</f>
        <v>0</v>
      </c>
      <c r="E29" s="99">
        <f>ROUND(+'FTE Calc'!C275,0)</f>
        <v>1194</v>
      </c>
      <c r="F29" s="99">
        <f>ROUND(+'FTE Calc'!C276,0)</f>
        <v>0</v>
      </c>
      <c r="G29" s="99">
        <f>ROUND(+'FTE Calc'!C277,0)</f>
        <v>0</v>
      </c>
      <c r="H29" s="100">
        <f>ROUND(+'FTE Calc'!C278,0)</f>
        <v>16</v>
      </c>
      <c r="I29" s="99">
        <f>SUM(C29:H29)</f>
        <v>5839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01" t="s">
        <v>5</v>
      </c>
      <c r="C31" s="33"/>
      <c r="D31" s="33"/>
      <c r="E31" s="33"/>
      <c r="F31" s="33"/>
      <c r="G31" s="33"/>
      <c r="H31" s="33"/>
      <c r="I31" s="33"/>
    </row>
    <row r="32" spans="1:9" ht="12.75">
      <c r="A32" s="1"/>
      <c r="B32" s="101" t="s">
        <v>6</v>
      </c>
      <c r="C32" s="103"/>
      <c r="D32" s="103"/>
      <c r="E32" s="103"/>
      <c r="F32" s="103"/>
      <c r="G32" s="103"/>
      <c r="H32" s="103"/>
      <c r="I32" s="103"/>
    </row>
    <row r="33" spans="1:9" ht="12.75">
      <c r="A33" s="1"/>
      <c r="B33" s="101" t="s">
        <v>7</v>
      </c>
      <c r="C33" s="33"/>
      <c r="D33" s="33"/>
      <c r="E33" s="33"/>
      <c r="F33" s="33"/>
      <c r="G33" s="9"/>
      <c r="H33" s="9"/>
      <c r="I33" s="9"/>
    </row>
    <row r="34" spans="1:9" ht="12.75">
      <c r="A34" s="1"/>
      <c r="B34" s="101" t="s">
        <v>8</v>
      </c>
      <c r="C34" s="33"/>
      <c r="D34" s="33"/>
      <c r="E34" s="33"/>
      <c r="F34" s="33"/>
      <c r="G34" s="9"/>
      <c r="H34" s="9"/>
      <c r="I34" s="9"/>
    </row>
    <row r="35" spans="1:9" ht="12.75">
      <c r="A35" s="1"/>
      <c r="B35" s="1"/>
      <c r="C35" s="9"/>
      <c r="D35" s="9"/>
      <c r="E35" s="9"/>
      <c r="F35" s="9"/>
      <c r="G35" s="9"/>
      <c r="H35" s="9"/>
      <c r="I35" s="9"/>
    </row>
    <row r="38" spans="1:2" ht="12.75">
      <c r="A38" s="1"/>
      <c r="B38" s="101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37"/>
  <sheetViews>
    <sheetView showGridLines="0" defaultGridColor="0" zoomScale="87" zoomScaleNormal="87" colorId="22" workbookViewId="0" topLeftCell="A1">
      <selection activeCell="E8" sqref="E8"/>
    </sheetView>
  </sheetViews>
  <sheetFormatPr defaultColWidth="9.7109375" defaultRowHeight="12.75"/>
  <cols>
    <col min="1" max="1" width="1.7109375" style="0" customWidth="1"/>
    <col min="3" max="3" width="12.7109375" style="0" customWidth="1"/>
    <col min="4" max="4" width="2.7109375" style="0" customWidth="1"/>
    <col min="5" max="5" width="12.7109375" style="0" customWidth="1"/>
    <col min="6" max="8" width="6.7109375" style="0" customWidth="1"/>
  </cols>
  <sheetData>
    <row r="1" spans="1:8" ht="13.5" customHeight="1">
      <c r="A1" s="83" t="s">
        <v>9</v>
      </c>
      <c r="B1" s="9"/>
      <c r="C1" s="104"/>
      <c r="D1" s="105"/>
      <c r="E1" s="9"/>
      <c r="F1" s="9"/>
      <c r="G1" s="9"/>
      <c r="H1" s="9"/>
    </row>
    <row r="2" spans="1:8" ht="13.5" customHeight="1">
      <c r="A2" s="88"/>
      <c r="B2" s="9"/>
      <c r="C2" s="104"/>
      <c r="D2" s="105"/>
      <c r="E2" s="9"/>
      <c r="F2" s="9"/>
      <c r="G2" s="9"/>
      <c r="H2" s="9"/>
    </row>
    <row r="3" spans="1:8" ht="13.5" customHeight="1">
      <c r="A3" s="88" t="s">
        <v>10</v>
      </c>
      <c r="B3" s="9"/>
      <c r="C3" s="104"/>
      <c r="D3" s="105"/>
      <c r="E3" s="9"/>
      <c r="F3" s="9"/>
      <c r="G3" s="9"/>
      <c r="H3" s="9"/>
    </row>
    <row r="4" spans="1:8" ht="13.5" customHeight="1">
      <c r="A4" s="88" t="s">
        <v>1545</v>
      </c>
      <c r="B4" s="9"/>
      <c r="C4" s="104"/>
      <c r="D4" s="105"/>
      <c r="E4" s="9"/>
      <c r="F4" s="9"/>
      <c r="G4" s="9"/>
      <c r="H4" s="9"/>
    </row>
    <row r="5" spans="1:8" ht="13.5" customHeight="1">
      <c r="A5" s="88" t="s">
        <v>1447</v>
      </c>
      <c r="B5" s="9"/>
      <c r="C5" s="104"/>
      <c r="D5" s="105"/>
      <c r="E5" s="9"/>
      <c r="F5" s="9"/>
      <c r="G5" s="9"/>
      <c r="H5" s="9"/>
    </row>
    <row r="6" spans="1:2" ht="4.5" customHeight="1">
      <c r="A6" s="1"/>
      <c r="B6" s="106"/>
    </row>
    <row r="7" spans="1:8" ht="12.75">
      <c r="A7" s="1"/>
      <c r="B7" s="42"/>
      <c r="C7" s="91" t="s">
        <v>11</v>
      </c>
      <c r="D7" s="91"/>
      <c r="E7" s="92"/>
      <c r="F7" s="93"/>
      <c r="G7" s="93"/>
      <c r="H7" s="107"/>
    </row>
    <row r="8" spans="1:8" ht="12.75">
      <c r="A8" s="1"/>
      <c r="B8" s="47"/>
      <c r="C8" s="183" t="s">
        <v>1554</v>
      </c>
      <c r="D8" s="93"/>
      <c r="E8" s="184" t="s">
        <v>1555</v>
      </c>
      <c r="F8" s="94"/>
      <c r="G8" s="126" t="s">
        <v>12</v>
      </c>
      <c r="H8" s="108"/>
    </row>
    <row r="9" spans="1:7" ht="12.75">
      <c r="A9" s="1"/>
      <c r="B9" s="4" t="s">
        <v>13</v>
      </c>
      <c r="C9" s="95">
        <f>SUM(C11:C29)</f>
        <v>72348</v>
      </c>
      <c r="D9" s="95"/>
      <c r="E9" s="96">
        <f>SUM(E11:E29)</f>
        <v>5289</v>
      </c>
      <c r="F9" s="95"/>
      <c r="G9" s="95">
        <f>SUM(G11:G29)</f>
        <v>77637</v>
      </c>
    </row>
    <row r="10" spans="1:7" ht="12.75">
      <c r="A10" s="1"/>
      <c r="B10" s="1"/>
      <c r="C10" s="97"/>
      <c r="D10" s="97"/>
      <c r="E10" s="98"/>
      <c r="F10" s="97"/>
      <c r="G10" s="97"/>
    </row>
    <row r="11" spans="1:7" ht="12.75">
      <c r="A11" s="1"/>
      <c r="B11" s="1" t="s">
        <v>1557</v>
      </c>
      <c r="C11" s="97">
        <f>ROUND(+'FTE Calc'!D12,0)</f>
        <v>0</v>
      </c>
      <c r="D11" s="97"/>
      <c r="E11" s="98">
        <f>ROUND(+'FTE Calc'!D14,0)</f>
        <v>0</v>
      </c>
      <c r="F11" s="97"/>
      <c r="G11" s="97">
        <f>SUM(C11:E11)</f>
        <v>0</v>
      </c>
    </row>
    <row r="12" spans="1:7" ht="12.75">
      <c r="A12" s="1"/>
      <c r="B12" s="1" t="s">
        <v>1558</v>
      </c>
      <c r="C12" s="97">
        <f>ROUND(+'FTE Calc'!D32,0)</f>
        <v>0</v>
      </c>
      <c r="D12" s="97"/>
      <c r="E12" s="98">
        <f>ROUND(+'FTE Calc'!D33,0)</f>
        <v>0</v>
      </c>
      <c r="F12" s="97"/>
      <c r="G12" s="97">
        <f>SUM(C12:E12)</f>
        <v>0</v>
      </c>
    </row>
    <row r="13" spans="1:7" ht="12.75">
      <c r="A13" s="1"/>
      <c r="B13" s="1" t="s">
        <v>1559</v>
      </c>
      <c r="C13" s="97">
        <f>ROUND(+'FTE Calc'!D51,0)</f>
        <v>52251</v>
      </c>
      <c r="D13" s="97"/>
      <c r="E13" s="98">
        <f>ROUND(+'FTE Calc'!D52,0)</f>
        <v>0</v>
      </c>
      <c r="F13" s="97"/>
      <c r="G13" s="97">
        <f>SUM(C13:E13)</f>
        <v>52251</v>
      </c>
    </row>
    <row r="14" spans="1:7" ht="12.75">
      <c r="A14" s="1"/>
      <c r="B14" s="1"/>
      <c r="C14" s="97"/>
      <c r="D14" s="97"/>
      <c r="E14" s="98"/>
      <c r="F14" s="97"/>
      <c r="G14" s="97"/>
    </row>
    <row r="15" spans="1:7" ht="12.75">
      <c r="A15" s="1"/>
      <c r="B15" s="1" t="s">
        <v>1560</v>
      </c>
      <c r="C15" s="97">
        <f>ROUND(+'FTE Calc'!D70,0)</f>
        <v>0</v>
      </c>
      <c r="D15" s="97"/>
      <c r="E15" s="98">
        <f>ROUND(+'FTE Calc'!D71,0)</f>
        <v>0</v>
      </c>
      <c r="F15" s="97"/>
      <c r="G15" s="97">
        <f>SUM(C15:E15)</f>
        <v>0</v>
      </c>
    </row>
    <row r="16" spans="1:7" ht="12.75">
      <c r="A16" s="1"/>
      <c r="B16" s="1" t="s">
        <v>1561</v>
      </c>
      <c r="C16" s="97">
        <f>ROUND(+'FTE Calc'!D89,0)</f>
        <v>0</v>
      </c>
      <c r="D16" s="97"/>
      <c r="E16" s="98">
        <f>ROUND(+'FTE Calc'!D90,0)</f>
        <v>0</v>
      </c>
      <c r="F16" s="97"/>
      <c r="G16" s="97">
        <f>SUM(C16:E16)</f>
        <v>0</v>
      </c>
    </row>
    <row r="17" spans="1:7" ht="12.75">
      <c r="A17" s="1"/>
      <c r="B17" s="1" t="s">
        <v>1562</v>
      </c>
      <c r="C17" s="97">
        <f>ROUND(+'FTE Calc'!D108,0)</f>
        <v>0</v>
      </c>
      <c r="D17" s="97"/>
      <c r="E17" s="98">
        <f>ROUND(+'FTE Calc'!D109,0)</f>
        <v>0</v>
      </c>
      <c r="F17" s="97"/>
      <c r="G17" s="97">
        <f>SUM(C17:E17)</f>
        <v>0</v>
      </c>
    </row>
    <row r="18" spans="1:7" ht="12.75">
      <c r="A18" s="1"/>
      <c r="B18" s="1"/>
      <c r="C18" s="97"/>
      <c r="D18" s="97"/>
      <c r="E18" s="98"/>
      <c r="F18" s="97"/>
      <c r="G18" s="97"/>
    </row>
    <row r="19" spans="1:7" ht="12.75">
      <c r="A19" s="1"/>
      <c r="B19" s="1" t="s">
        <v>1563</v>
      </c>
      <c r="C19" s="97">
        <f>ROUND(+'FTE Calc'!D127,0)</f>
        <v>0</v>
      </c>
      <c r="D19" s="97"/>
      <c r="E19" s="98">
        <f>ROUND(+'FTE Calc'!D128,0)</f>
        <v>0</v>
      </c>
      <c r="F19" s="97"/>
      <c r="G19" s="97">
        <f>SUM(C19:E19)</f>
        <v>0</v>
      </c>
    </row>
    <row r="20" spans="1:7" ht="12.75">
      <c r="A20" s="1"/>
      <c r="B20" s="1" t="s">
        <v>1564</v>
      </c>
      <c r="C20" s="97">
        <f>ROUND(+'FTE Calc'!D146,0)</f>
        <v>0</v>
      </c>
      <c r="D20" s="97"/>
      <c r="E20" s="98">
        <f>ROUND(+'FTE Calc'!D147,0)</f>
        <v>0</v>
      </c>
      <c r="F20" s="97"/>
      <c r="G20" s="97">
        <f>SUM(C20:E20)</f>
        <v>0</v>
      </c>
    </row>
    <row r="21" spans="1:7" ht="12.75">
      <c r="A21" s="1"/>
      <c r="B21" s="1" t="s">
        <v>1565</v>
      </c>
      <c r="C21" s="97">
        <f>ROUND(+'FTE Calc'!D165,0)</f>
        <v>0</v>
      </c>
      <c r="D21" s="97"/>
      <c r="E21" s="98">
        <f>ROUND(+'FTE Calc'!D166,0)</f>
        <v>0</v>
      </c>
      <c r="F21" s="97"/>
      <c r="G21" s="97">
        <f>SUM(C21:E21)</f>
        <v>0</v>
      </c>
    </row>
    <row r="22" spans="1:7" ht="12.75">
      <c r="A22" s="1"/>
      <c r="B22" s="1"/>
      <c r="C22" s="97"/>
      <c r="D22" s="97"/>
      <c r="E22" s="98"/>
      <c r="F22" s="97"/>
      <c r="G22" s="97"/>
    </row>
    <row r="23" spans="1:7" ht="12.75">
      <c r="A23" s="1"/>
      <c r="B23" s="1" t="s">
        <v>1566</v>
      </c>
      <c r="C23" s="97">
        <f>ROUND(+'FTE Calc'!D184,0)</f>
        <v>0</v>
      </c>
      <c r="D23" s="97"/>
      <c r="E23" s="98">
        <f>ROUND(+'FTE Calc'!D185,0)</f>
        <v>0</v>
      </c>
      <c r="F23" s="97"/>
      <c r="G23" s="97">
        <f>SUM(C23:E23)</f>
        <v>0</v>
      </c>
    </row>
    <row r="24" spans="1:7" ht="12.75">
      <c r="A24" s="1"/>
      <c r="B24" s="1" t="s">
        <v>1567</v>
      </c>
      <c r="C24" s="97">
        <f>ROUND(+'FTE Calc'!D203,0)</f>
        <v>0</v>
      </c>
      <c r="D24" s="97"/>
      <c r="E24" s="98">
        <f>ROUND(+'FTE Calc'!D204,0)</f>
        <v>0</v>
      </c>
      <c r="F24" s="97"/>
      <c r="G24" s="97">
        <f>SUM(C24:E24)</f>
        <v>0</v>
      </c>
    </row>
    <row r="25" spans="1:7" ht="12.75">
      <c r="A25" s="1"/>
      <c r="B25" s="1" t="s">
        <v>1568</v>
      </c>
      <c r="C25" s="97">
        <f>ROUND(+'FTE Calc'!D222,0)</f>
        <v>0</v>
      </c>
      <c r="D25" s="97"/>
      <c r="E25" s="98">
        <f>ROUND(+'FTE Calc'!D223,0)</f>
        <v>5289</v>
      </c>
      <c r="F25" s="97"/>
      <c r="G25" s="97">
        <f>SUM(C25:E25)</f>
        <v>5289</v>
      </c>
    </row>
    <row r="26" spans="1:7" ht="12.75">
      <c r="A26" s="1"/>
      <c r="B26" s="1"/>
      <c r="C26" s="97"/>
      <c r="D26" s="97"/>
      <c r="E26" s="98"/>
      <c r="F26" s="97"/>
      <c r="G26" s="97"/>
    </row>
    <row r="27" spans="1:7" ht="12.75">
      <c r="A27" s="1"/>
      <c r="B27" s="1" t="s">
        <v>1569</v>
      </c>
      <c r="C27" s="97">
        <f>ROUND(+'FTE Calc'!D241,0)</f>
        <v>20097</v>
      </c>
      <c r="D27" s="97"/>
      <c r="E27" s="98">
        <f>ROUND(+'FTE Calc'!D242,0)</f>
        <v>0</v>
      </c>
      <c r="F27" s="97"/>
      <c r="G27" s="97">
        <f>SUM(C27:E27)</f>
        <v>20097</v>
      </c>
    </row>
    <row r="28" spans="1:7" ht="12.75">
      <c r="A28" s="1"/>
      <c r="B28" s="1" t="s">
        <v>1570</v>
      </c>
      <c r="C28" s="97">
        <f>ROUND(+'FTE Calc'!D260,0)</f>
        <v>0</v>
      </c>
      <c r="D28" s="97"/>
      <c r="E28" s="98">
        <f>ROUND(+'FTE Calc'!D261,0)</f>
        <v>0</v>
      </c>
      <c r="F28" s="97"/>
      <c r="G28" s="97">
        <f>SUM(C28:E28)</f>
        <v>0</v>
      </c>
    </row>
    <row r="29" spans="1:8" ht="12.75">
      <c r="A29" s="1"/>
      <c r="B29" s="11" t="s">
        <v>1571</v>
      </c>
      <c r="C29" s="99">
        <f>ROUND(+'FTE Calc'!D279,0)</f>
        <v>0</v>
      </c>
      <c r="D29" s="99"/>
      <c r="E29" s="100">
        <f>ROUND(+'FTE Calc'!D280,0)</f>
        <v>0</v>
      </c>
      <c r="F29" s="99"/>
      <c r="G29" s="99">
        <f>SUM(C29:E29)</f>
        <v>0</v>
      </c>
      <c r="H29" s="11"/>
    </row>
    <row r="31" spans="1:8" ht="12.75">
      <c r="A31" s="1"/>
      <c r="B31" s="101" t="s">
        <v>14</v>
      </c>
      <c r="C31" s="103"/>
      <c r="D31" s="103"/>
      <c r="E31" s="103"/>
      <c r="F31" s="33"/>
      <c r="G31" s="33"/>
      <c r="H31" s="33"/>
    </row>
    <row r="32" spans="1:8" ht="12.75">
      <c r="A32" s="1"/>
      <c r="B32" s="101" t="s">
        <v>15</v>
      </c>
      <c r="C32" s="33"/>
      <c r="D32" s="33"/>
      <c r="E32" s="33"/>
      <c r="F32" s="33"/>
      <c r="G32" s="33"/>
      <c r="H32" s="33"/>
    </row>
    <row r="33" spans="1:8" ht="12.75">
      <c r="A33" s="1"/>
      <c r="B33" s="101" t="s">
        <v>16</v>
      </c>
      <c r="C33" s="33"/>
      <c r="D33" s="33"/>
      <c r="E33" s="33"/>
      <c r="F33" s="33"/>
      <c r="G33" s="33"/>
      <c r="H33" s="33"/>
    </row>
    <row r="34" spans="1:8" ht="12.75">
      <c r="A34" s="1"/>
      <c r="B34" s="1"/>
      <c r="C34" s="33"/>
      <c r="D34" s="33"/>
      <c r="E34" s="33"/>
      <c r="F34" s="33"/>
      <c r="G34" s="33"/>
      <c r="H34" s="33"/>
    </row>
    <row r="37" spans="1:2" ht="12.75">
      <c r="A37" s="1"/>
      <c r="B37" s="101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2000-01-19T16:13:16Z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