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SCH Database" sheetId="1" r:id="rId1"/>
    <sheet name="Apprp. Database" sheetId="2" r:id="rId2"/>
    <sheet name="SCH Summary" sheetId="3" r:id="rId3"/>
    <sheet name="Apprp. Summary" sheetId="4" r:id="rId4"/>
    <sheet name="FTE Calc" sheetId="5" r:id="rId5"/>
    <sheet name="FTE$ Calc." sheetId="6" r:id="rId6"/>
    <sheet name="Table 1" sheetId="7" r:id="rId7"/>
    <sheet name="Table 2" sheetId="8" r:id="rId8"/>
    <sheet name="Table 3" sheetId="9" r:id="rId9"/>
    <sheet name="Table 4" sheetId="10" r:id="rId10"/>
    <sheet name="Table 5a" sheetId="11" r:id="rId11"/>
    <sheet name="Table 5b" sheetId="12" r:id="rId12"/>
    <sheet name="Table 6" sheetId="13" r:id="rId13"/>
    <sheet name="Graph" sheetId="14" r:id="rId14"/>
    <sheet name="Macros" sheetId="15" r:id="rId15"/>
  </sheets>
  <definedNames>
    <definedName name="\E">'Macros'!$B$3</definedName>
    <definedName name="\L">'Macros'!$E$14:$E$23</definedName>
    <definedName name="\P">'Macros'!$E$3</definedName>
    <definedName name="\S">'SCH Database'!$DA$1081</definedName>
    <definedName name="__123Graph_AChart1N" hidden="1">'Graph'!$B$4:$B$12</definedName>
    <definedName name="_2YR1">'Table 4'!$H$9:$H$29</definedName>
    <definedName name="_2YR2">'Table 4'!$I$9:$I$29</definedName>
    <definedName name="_Sort" hidden="1">'SCH Database'!$A$9:$Q$810</definedName>
    <definedName name="AL">'SCH Database:Apprp. Summary'!$D$53:$E$115</definedName>
    <definedName name="AL_DAT">'SCH Database:Apprp. Summary'!$A$50:$G$118</definedName>
    <definedName name="AR">'SCH Summary:Apprp. Summary'!$C$11:$G$49</definedName>
    <definedName name="AR_DAT">'SCH Summary:Apprp. Summary'!$A$15:$G$43</definedName>
    <definedName name="BAC">'Table 4'!$G$9:$G$29</definedName>
    <definedName name="DATA">'SCH Database:Apprp. Summary'!$A$224:$G$312</definedName>
    <definedName name="DOC1">'Table 4'!$B$9:$B$29</definedName>
    <definedName name="DOC2">'Table 4'!$C$9:$C$29</definedName>
    <definedName name="DOC3">'Table 4'!$D$9:$D$29</definedName>
    <definedName name="FL">'SCH Summary:Apprp. Summary'!$C$31:$G$68</definedName>
    <definedName name="FL_DAT">'SCH Summary:Apprp. Summary'!$A$34:$G$62</definedName>
    <definedName name="G_1">'Graph'!$D$1:$D$44</definedName>
    <definedName name="GA">'SCH Summary:Apprp. Summary'!$C$50:$G$87</definedName>
    <definedName name="GA_DAT">'SCH Summary:Apprp. Summary'!$A$53:$G$81</definedName>
    <definedName name="GRAPHS">'Graph'!$A$2</definedName>
    <definedName name="HERE">'Graph'!$A$4</definedName>
    <definedName name="KY">'SCH Summary:Apprp. Summary'!$C$69:$G$106</definedName>
    <definedName name="KY_DAT">'SCH Summary:Apprp. Summary'!$A$72:$G$100</definedName>
    <definedName name="LA">'SCH Summary:Apprp. Summary'!$C$88:$G$125</definedName>
    <definedName name="LA_DAT">'SCH Summary:Apprp. Summary'!$A$91:$G$119</definedName>
    <definedName name="LAFTE">'SCH Database'!$BB$254:$CF$918</definedName>
    <definedName name="MAST1">'Table 4'!$E$9:$E$29</definedName>
    <definedName name="MAST2">'Table 4'!$F$9:$F$29</definedName>
    <definedName name="MD">'SCH Summary:Apprp. Summary'!$C$107:$G$144</definedName>
    <definedName name="MD_DAT">'SCH Summary:Apprp. Summary'!$A$110:$G$138</definedName>
    <definedName name="MS">'SCH Summary:Apprp. Summary'!$C$126:$G$163</definedName>
    <definedName name="MS_DAT">'SCH Summary:Apprp. Summary'!$A$129:$G$157</definedName>
    <definedName name="N_1">'Table 1'!$B$9:$J$29</definedName>
    <definedName name="N_2">'Table 2'!$C$9:$I$29</definedName>
    <definedName name="N_3">'Table 3'!$C$9:$G$29</definedName>
    <definedName name="N_4">'Table 4'!$B$9:$J$29</definedName>
    <definedName name="N_5A">'Table 5a'!$B$10:$J$30</definedName>
    <definedName name="N_5B">'Table 5b'!$B$13:$O$33</definedName>
    <definedName name="N_6">'Table 6'!$B$10:$I$30</definedName>
    <definedName name="NC">'SCH Summary:Apprp. Summary'!$C$145:$E$182</definedName>
    <definedName name="NC_DAT">'SCH Summary:Apprp. Summary'!$A$149:$G$176</definedName>
    <definedName name="NOTE">'SCH Database:Table 6'!$G$265:$IV$8192</definedName>
    <definedName name="OK">'SCH Summary:Apprp. Summary'!$C$164:$G$201</definedName>
    <definedName name="OK_DAT">'SCH Summary'!$A$173</definedName>
    <definedName name="_xlnm.Print_Area" localSheetId="0">'SCH Database'!$CH$1021:$CP$1083</definedName>
    <definedName name="_xlnm.Print_Area" localSheetId="9">'Table 4'!$A$1:$K$40</definedName>
    <definedName name="_xlnm.Print_Area">'SCH Database'!$CH$1021:$CP$1083</definedName>
    <definedName name="PRINT_AREA_MI">'SCH Database'!$CH$1021:$CP$1083</definedName>
    <definedName name="SC">'SCH Summary:Apprp. Summary'!$C$183:$G$220</definedName>
    <definedName name="SC_DAT">'SCH Summary'!$A$192</definedName>
    <definedName name="STATES">'Table 1'!$A$11:$A$29</definedName>
    <definedName name="T">'Apprp. Summary'!$B$1:$N$6</definedName>
    <definedName name="T_1">'Table 1'!$A$1:$K$34</definedName>
    <definedName name="T_2">'Table 2'!$A$1:$J$34</definedName>
    <definedName name="T_3">'Table 3'!$A$1:$I$34</definedName>
    <definedName name="T_4">'Table 4'!$A$1:$K$40</definedName>
    <definedName name="T_5A">'Table 5a'!$A$1:$J$45</definedName>
    <definedName name="T_5B">'Table 5b'!$A$2:$O$44</definedName>
    <definedName name="T_6">'Table 6'!$A$1:$J$42</definedName>
    <definedName name="TABLES">'SCH Database:Table 1'!$A$1:$CM$610</definedName>
    <definedName name="TN">'SCH Summary:Apprp. Summary'!$C$202:$G$239</definedName>
    <definedName name="TN_DAT">'SCH Summary:Apprp. Summary'!$A$209:$G$231</definedName>
    <definedName name="TOT">'Table 4'!$J$9:$J$29</definedName>
    <definedName name="TX">'SCH Summary:Apprp. Summary'!$C$221:$G$258</definedName>
    <definedName name="TX_DAT">'SCH Summary:Apprp. Summary'!$A$228:$G$250</definedName>
    <definedName name="VA">'SCH Summary:Apprp. Summary'!$C$240:$G$277</definedName>
    <definedName name="VA_DAT">'SCH Summary:Apprp. Summary'!$A$245:$G$271</definedName>
    <definedName name="WV">'SCH Summary:Apprp. Summary'!$C$259:$G$296</definedName>
    <definedName name="WV_DAT">'SCH Database:SCH Summary'!$A$477:$L$554</definedName>
  </definedNames>
  <calcPr fullCalcOnLoad="1" iterate="1" iterateCount="50" iterateDelta="0.00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431" authorId="0">
      <text>
        <r>
          <rPr>
            <sz val="8"/>
            <rFont val="Tahoma"/>
            <family val="0"/>
          </rPr>
          <t>This information comes from the Revised Unrestricted State Appropriations Attachment A-2 for the Technology Centers.  PD 1/21/97</t>
        </r>
      </text>
    </comment>
  </commentList>
</comments>
</file>

<file path=xl/sharedStrings.xml><?xml version="1.0" encoding="utf-8"?>
<sst xmlns="http://schemas.openxmlformats.org/spreadsheetml/2006/main" count="6543" uniqueCount="1120">
  <si>
    <t>revenue funds used to match employee contributions to the state retirement plans, the available "university fund" amounts used for current operations at three universities, overhead on sponsored research, and</t>
  </si>
  <si>
    <t>exclude "higher education assistance fund" amounts not used for current operations.  In West Virginia, approximately 19 percent of regular student fees ($30.0 million) are dedicated by law to debt retirement and capital</t>
  </si>
  <si>
    <t>improvements.  In South Carolina also, a portion of tuition and fees revenues are dedicated to debt retirement.  The inability, in these two states, to use these revenues for operating expenses results in higher</t>
  </si>
  <si>
    <t>levels of state appropriations, and to some extent may overstate state support per student.</t>
  </si>
  <si>
    <t>TABLE 6</t>
  </si>
  <si>
    <t>State and Local General Operating Appropriations Per FTE Student</t>
  </si>
  <si>
    <t>(reflecting cuts announced by 12/31/96)</t>
  </si>
  <si>
    <t>as a Percent</t>
  </si>
  <si>
    <t>of Total*</t>
  </si>
  <si>
    <t>NOTES:  Total full-time-equivalent (FTE) enrollment is the sum of undergraduate credit-hour FTE, undergraduate contact-hour FTE, and graduate credit-hour</t>
  </si>
  <si>
    <t>FTE.  Undergraduate credit-hour FTE equals undergraduate credit hours divided by 30.  Undergraduate contact-hour FTE equals total contact hours divided by</t>
  </si>
  <si>
    <t>900. Graduate FTE equals graduate credit hours (including law) divided by 24.  Amounts for two-year institutions include state and local appropriations (where</t>
  </si>
  <si>
    <t>applicable).  Amounts for four-year institutions include state appropriations only. Tennessee appropriations include amounts for Centers of Excellence, Centers</t>
  </si>
  <si>
    <t xml:space="preserve">of Emphasis, Vocational Improvements, Instruction and Research Equipment, and interest income from Chairs of Excellence. The data for Texas include </t>
  </si>
  <si>
    <t>general revenue funds used to match employee contributions to the state retirement plans, the available "university fund" amounts used for current operations</t>
  </si>
  <si>
    <t>at three universities, overhead on sponsored research, and exclude "higher education assistance fund" amounts not used for current operations. In West</t>
  </si>
  <si>
    <t>Virginia, approximately 19 percent of regular student fees ($30.0 million) are dedicated by law to capital improvements.  In South Carolina also, a portion of</t>
  </si>
  <si>
    <t>tuition and fees revenues are dedicated to debt retirement. The inability in these two states to use these revenues for operating expenses results in higher</t>
  </si>
  <si>
    <t>$ PER S (000s)</t>
  </si>
  <si>
    <t>FTE Students and</t>
  </si>
  <si>
    <t xml:space="preserve"> (thousands)</t>
  </si>
  <si>
    <t>ALL</t>
  </si>
  <si>
    <t>EXTRACT MACRO</t>
  </si>
  <si>
    <t>PRINT MACRO</t>
  </si>
  <si>
    <t>(requires files named "n_...")</t>
  </si>
  <si>
    <t>\P</t>
  </si>
  <si>
    <t>:prsg 1~g</t>
  </si>
  <si>
    <t>\e</t>
  </si>
  <si>
    <t>/fxvn_1.wk4~n_1~r</t>
  </si>
  <si>
    <t>:prst 1~g</t>
  </si>
  <si>
    <t>/fxvn_2.wk4~n_2~r</t>
  </si>
  <si>
    <t>:prst 2~g</t>
  </si>
  <si>
    <t>/fxvn_3.wk4~n_3~r</t>
  </si>
  <si>
    <t>:prst 3~g</t>
  </si>
  <si>
    <t>/fxvn_4.wk4~n_4~r</t>
  </si>
  <si>
    <t>:prst 4~g</t>
  </si>
  <si>
    <t>/fxvn_5a.wk4~n_5a~r</t>
  </si>
  <si>
    <t>:prst 5a~g</t>
  </si>
  <si>
    <t>/fxvn_5b.wk4~n_5b~r</t>
  </si>
  <si>
    <t>:prst 5b~g</t>
  </si>
  <si>
    <t>/fxvn_6.wk4~n_6~r</t>
  </si>
  <si>
    <t>:prst 6~g</t>
  </si>
  <si>
    <t>LABEL MACRO</t>
  </si>
  <si>
    <t>\L</t>
  </si>
  <si>
    <t>{EDIT}{HOME}^{DOWN}</t>
  </si>
  <si>
    <t>Student Credit Hours, 1996-97</t>
  </si>
  <si>
    <t>Undergraduate</t>
  </si>
  <si>
    <t>Graduate</t>
  </si>
  <si>
    <t>Quarter/</t>
  </si>
  <si>
    <t>Credit Hours</t>
  </si>
  <si>
    <t>Contact Hours</t>
  </si>
  <si>
    <t>State</t>
  </si>
  <si>
    <t>Semester</t>
  </si>
  <si>
    <t>Institution</t>
  </si>
  <si>
    <t>IPEDS ID</t>
  </si>
  <si>
    <t>Code</t>
  </si>
  <si>
    <t>Winter '96</t>
  </si>
  <si>
    <t>Spring '96</t>
  </si>
  <si>
    <t>Summer '96</t>
  </si>
  <si>
    <t>Fall '96</t>
  </si>
  <si>
    <t>Total</t>
  </si>
  <si>
    <t>AL</t>
  </si>
  <si>
    <t>S</t>
  </si>
  <si>
    <t xml:space="preserve">Auburn University  </t>
  </si>
  <si>
    <t xml:space="preserve">University of Alabama </t>
  </si>
  <si>
    <t>University of Alabama at Birmingham</t>
  </si>
  <si>
    <t>Alabama Agricultural &amp; Mechanical University</t>
  </si>
  <si>
    <t>Jacksonville State University</t>
  </si>
  <si>
    <t>University of Alabama in Huntsville  a</t>
  </si>
  <si>
    <t>University of South Alabama</t>
  </si>
  <si>
    <t>Auburn University at Montgomery</t>
  </si>
  <si>
    <t>Troy State University</t>
  </si>
  <si>
    <t xml:space="preserve">Troy State University in Montgomery </t>
  </si>
  <si>
    <t>University of Montevallo</t>
  </si>
  <si>
    <t xml:space="preserve">Alabama State University </t>
  </si>
  <si>
    <t xml:space="preserve">University of West Alabama </t>
  </si>
  <si>
    <t>Troy State University at Dothan</t>
  </si>
  <si>
    <t>University of North Alabama b</t>
  </si>
  <si>
    <t xml:space="preserve">Athens State College </t>
  </si>
  <si>
    <t>Alabama Southern Community College</t>
  </si>
  <si>
    <t>Bevill State Community College</t>
  </si>
  <si>
    <t>Bishop State Community College</t>
  </si>
  <si>
    <t>Central Alabama Community College</t>
  </si>
  <si>
    <t xml:space="preserve">Chattahoochee Valley State Community College </t>
  </si>
  <si>
    <t xml:space="preserve">Enterprise State Junior College </t>
  </si>
  <si>
    <t>Gadsden State Community College</t>
  </si>
  <si>
    <t>George Corley Wallace State Community College - Selma</t>
  </si>
  <si>
    <t>George C. Wallace State Community College - Dothan</t>
  </si>
  <si>
    <t xml:space="preserve">James H. Faulkner State Community College </t>
  </si>
  <si>
    <t>Jefferson Davis Community College  c</t>
  </si>
  <si>
    <t>Jefferson State Community College</t>
  </si>
  <si>
    <t xml:space="preserve">John C. Calhoun State Commmunity College </t>
  </si>
  <si>
    <t xml:space="preserve">Lawson State Community College </t>
  </si>
  <si>
    <t xml:space="preserve">Lurleen B. Wallace State Junior College </t>
  </si>
  <si>
    <t xml:space="preserve">Northeast Alabama State Community College </t>
  </si>
  <si>
    <t>Northwest Community College d</t>
  </si>
  <si>
    <t>Shelton State Community College  e</t>
  </si>
  <si>
    <t>Shoals Community College   d</t>
  </si>
  <si>
    <t xml:space="preserve">Snead State Community College </t>
  </si>
  <si>
    <t xml:space="preserve">Southern Union State Commmunity College </t>
  </si>
  <si>
    <t>Wallace Community College - Hanceville</t>
  </si>
  <si>
    <t xml:space="preserve">Alabama Aviation &amp; Technical College </t>
  </si>
  <si>
    <t xml:space="preserve">Bessemer State Technical College </t>
  </si>
  <si>
    <t xml:space="preserve">Harry F. Ayers State Technical College </t>
  </si>
  <si>
    <t xml:space="preserve">John M. Patterson State Technical College </t>
  </si>
  <si>
    <t xml:space="preserve">J.F. Drake State Technical College </t>
  </si>
  <si>
    <t xml:space="preserve">J.F. Ingram State Technical College </t>
  </si>
  <si>
    <t xml:space="preserve">MacArthur Technical College </t>
  </si>
  <si>
    <t xml:space="preserve">Reid State Technical College </t>
  </si>
  <si>
    <t xml:space="preserve">Sparks State Technical College </t>
  </si>
  <si>
    <t xml:space="preserve">Trenholm Technical College </t>
  </si>
  <si>
    <t>AR</t>
  </si>
  <si>
    <t>University of Arkansas Main Campus</t>
  </si>
  <si>
    <t>Arkansas State University</t>
  </si>
  <si>
    <t>University of Arkansas at Little Rock</t>
  </si>
  <si>
    <t xml:space="preserve">University of Central Arkansas </t>
  </si>
  <si>
    <t xml:space="preserve">Arkansas Tech University </t>
  </si>
  <si>
    <t xml:space="preserve">Henderson State University </t>
  </si>
  <si>
    <t>Southern Arkansas University</t>
  </si>
  <si>
    <t>University of Arkansas at Monticello</t>
  </si>
  <si>
    <t>University of Arkansas at Pine Bluff</t>
  </si>
  <si>
    <t>AR State Univ-Beebe/Newport</t>
  </si>
  <si>
    <t>Arkansas State Univ Mountain Home</t>
  </si>
  <si>
    <t>Black River Technical College</t>
  </si>
  <si>
    <t>Cossatot Technical College</t>
  </si>
  <si>
    <t xml:space="preserve">East Arkansas Community College </t>
  </si>
  <si>
    <t xml:space="preserve">Garland County Community College </t>
  </si>
  <si>
    <t>Gateway Technical College</t>
  </si>
  <si>
    <t xml:space="preserve">Mid-South Technical College </t>
  </si>
  <si>
    <t xml:space="preserve">Mississippi County Community College </t>
  </si>
  <si>
    <t>North Arkansas Community College</t>
  </si>
  <si>
    <t xml:space="preserve">NorthWest Arkansas Community College </t>
  </si>
  <si>
    <t xml:space="preserve">Ouachita Technical College </t>
  </si>
  <si>
    <t xml:space="preserve">Ozarka Technical College </t>
  </si>
  <si>
    <t>Petit Jean Technical College</t>
  </si>
  <si>
    <t xml:space="preserve">Phillips County Community College </t>
  </si>
  <si>
    <t>Pines Technical College</t>
  </si>
  <si>
    <t>Pulaski Technical College</t>
  </si>
  <si>
    <t xml:space="preserve">Red River Technical College </t>
  </si>
  <si>
    <t xml:space="preserve">Rich Mountain Community College </t>
  </si>
  <si>
    <t>South Arkansas Community College</t>
  </si>
  <si>
    <t>Southern Arkansas University Tech</t>
  </si>
  <si>
    <t xml:space="preserve">Westark Community College </t>
  </si>
  <si>
    <t>Univ of AR for Medical Sciences</t>
  </si>
  <si>
    <t>FL</t>
  </si>
  <si>
    <t xml:space="preserve">Florida State University </t>
  </si>
  <si>
    <t>134097</t>
  </si>
  <si>
    <t>University of Florida</t>
  </si>
  <si>
    <t>134130</t>
  </si>
  <si>
    <t>University of South Florida *</t>
  </si>
  <si>
    <t>137351</t>
  </si>
  <si>
    <t xml:space="preserve">Florida Atlantic University </t>
  </si>
  <si>
    <t>133669</t>
  </si>
  <si>
    <t>University of Central Florida  **</t>
  </si>
  <si>
    <t>132903</t>
  </si>
  <si>
    <t>Florida International University ***</t>
  </si>
  <si>
    <t>133951</t>
  </si>
  <si>
    <t>University of West Florida</t>
  </si>
  <si>
    <t>138354</t>
  </si>
  <si>
    <t>Florida Agricultural &amp; Mechanical University ****</t>
  </si>
  <si>
    <t>133650</t>
  </si>
  <si>
    <t>University of North Florida</t>
  </si>
  <si>
    <t>136172</t>
  </si>
  <si>
    <t>University of Florida - Inst of Food &amp; Ag Science</t>
  </si>
  <si>
    <t>University of Florida - Medical</t>
  </si>
  <si>
    <t>University of South Florida - Medical</t>
  </si>
  <si>
    <t xml:space="preserve">Brevard Community College </t>
  </si>
  <si>
    <t>7</t>
  </si>
  <si>
    <t xml:space="preserve">Broward Community College </t>
  </si>
  <si>
    <t xml:space="preserve">Central Florida Community College </t>
  </si>
  <si>
    <t xml:space="preserve">Chipola Junior College </t>
  </si>
  <si>
    <t xml:space="preserve">Daytona Beach Community College </t>
  </si>
  <si>
    <t xml:space="preserve">Edison Community College </t>
  </si>
  <si>
    <t>Florida Community College at Jacksonville</t>
  </si>
  <si>
    <t xml:space="preserve">Florida Keys Community College </t>
  </si>
  <si>
    <t xml:space="preserve">Gulf Coast Community College </t>
  </si>
  <si>
    <t xml:space="preserve">Hillsborough Community College </t>
  </si>
  <si>
    <t xml:space="preserve">Indian River Community College </t>
  </si>
  <si>
    <t xml:space="preserve">Lake City Community College </t>
  </si>
  <si>
    <t xml:space="preserve">Lake-Sumter Community College </t>
  </si>
  <si>
    <t xml:space="preserve">Manatee Community College </t>
  </si>
  <si>
    <t xml:space="preserve">Miami-Dade Community College </t>
  </si>
  <si>
    <t xml:space="preserve">North Florida Junior College </t>
  </si>
  <si>
    <t xml:space="preserve">Okaloosa-Walton Junior College </t>
  </si>
  <si>
    <t xml:space="preserve">Palm Beach Community College </t>
  </si>
  <si>
    <t xml:space="preserve">Pasco-Hernando Community College </t>
  </si>
  <si>
    <t xml:space="preserve">Pensacola Junior College </t>
  </si>
  <si>
    <t xml:space="preserve">Polk Community College </t>
  </si>
  <si>
    <t xml:space="preserve">Santa Fe Community College </t>
  </si>
  <si>
    <t xml:space="preserve">Seminole Community College </t>
  </si>
  <si>
    <t xml:space="preserve">South Florida Community College </t>
  </si>
  <si>
    <t xml:space="preserve">St. Johns River Community College </t>
  </si>
  <si>
    <t xml:space="preserve">St. Petersburg Junior College </t>
  </si>
  <si>
    <t xml:space="preserve">Tallahassee Community College </t>
  </si>
  <si>
    <t xml:space="preserve">Valencia Community College </t>
  </si>
  <si>
    <t>GA</t>
  </si>
  <si>
    <t>Q</t>
  </si>
  <si>
    <t>University of Georgia</t>
  </si>
  <si>
    <t>139959</t>
  </si>
  <si>
    <t>1</t>
  </si>
  <si>
    <t>Georgia State University *</t>
  </si>
  <si>
    <t>139940</t>
  </si>
  <si>
    <t>Georgia Institute of Technology</t>
  </si>
  <si>
    <t>139755</t>
  </si>
  <si>
    <t>2</t>
  </si>
  <si>
    <t>Georgia Southern University</t>
  </si>
  <si>
    <t>139931</t>
  </si>
  <si>
    <t>3</t>
  </si>
  <si>
    <t>Georgia College &amp; State Univ.</t>
  </si>
  <si>
    <t>139861</t>
  </si>
  <si>
    <t>4</t>
  </si>
  <si>
    <t xml:space="preserve">Valdosta State College </t>
  </si>
  <si>
    <t>141264</t>
  </si>
  <si>
    <t>State Univ. of West Georgia</t>
  </si>
  <si>
    <t>141334</t>
  </si>
  <si>
    <t>Albany State University  **</t>
  </si>
  <si>
    <t>138716</t>
  </si>
  <si>
    <t>Augusta State University</t>
  </si>
  <si>
    <t>138983</t>
  </si>
  <si>
    <t>5</t>
  </si>
  <si>
    <t>Columbus State University</t>
  </si>
  <si>
    <t>139366</t>
  </si>
  <si>
    <t>Fort Valley State University</t>
  </si>
  <si>
    <t>139719</t>
  </si>
  <si>
    <t>Georgia Southwestern St. Univ.</t>
  </si>
  <si>
    <t>139764</t>
  </si>
  <si>
    <t>Kennesaw State University</t>
  </si>
  <si>
    <t>140164</t>
  </si>
  <si>
    <t>North Georgia College &amp; St. Univ.</t>
  </si>
  <si>
    <t>140669</t>
  </si>
  <si>
    <t>Armstrong Atlantic State Univ.</t>
  </si>
  <si>
    <t>138789</t>
  </si>
  <si>
    <t>6</t>
  </si>
  <si>
    <t>Clayton College &amp; State Univ.</t>
  </si>
  <si>
    <t>139311</t>
  </si>
  <si>
    <t>Savannah State University</t>
  </si>
  <si>
    <t>140960</t>
  </si>
  <si>
    <t xml:space="preserve">Abraham Baldwin Agricultural College </t>
  </si>
  <si>
    <t>138558</t>
  </si>
  <si>
    <t>Atlanta Metropolitan College</t>
  </si>
  <si>
    <t>138901</t>
  </si>
  <si>
    <t xml:space="preserve">Bainbridge College </t>
  </si>
  <si>
    <t>139010</t>
  </si>
  <si>
    <t>Coastal Georgia Comm. College</t>
  </si>
  <si>
    <t>139250</t>
  </si>
  <si>
    <t xml:space="preserve">Dalton College </t>
  </si>
  <si>
    <t>139463</t>
  </si>
  <si>
    <t xml:space="preserve">Darton College </t>
  </si>
  <si>
    <t>138691</t>
  </si>
  <si>
    <t xml:space="preserve">DeKalb College </t>
  </si>
  <si>
    <t>244437</t>
  </si>
  <si>
    <t>East Georgia College</t>
  </si>
  <si>
    <t>139621</t>
  </si>
  <si>
    <t xml:space="preserve">Floyd College </t>
  </si>
  <si>
    <t>139700</t>
  </si>
  <si>
    <t xml:space="preserve">Gainesville College </t>
  </si>
  <si>
    <t>139773</t>
  </si>
  <si>
    <t xml:space="preserve">Gordon College </t>
  </si>
  <si>
    <t>139968</t>
  </si>
  <si>
    <t xml:space="preserve">Macon College </t>
  </si>
  <si>
    <t>140322</t>
  </si>
  <si>
    <t xml:space="preserve">Middle Georgia College </t>
  </si>
  <si>
    <t>140483</t>
  </si>
  <si>
    <t xml:space="preserve">South Georgia College </t>
  </si>
  <si>
    <t>140997</t>
  </si>
  <si>
    <t xml:space="preserve">Waycross College </t>
  </si>
  <si>
    <t>141307</t>
  </si>
  <si>
    <t>Medical College of Georgia</t>
  </si>
  <si>
    <t>140401</t>
  </si>
  <si>
    <t>9</t>
  </si>
  <si>
    <t>Southern Polytechnic St. Univ.</t>
  </si>
  <si>
    <t>141097</t>
  </si>
  <si>
    <t>Albany Technical Institute</t>
  </si>
  <si>
    <t>Altamaha Technical Institute</t>
  </si>
  <si>
    <t>Athens Area Technical Institute</t>
  </si>
  <si>
    <t>Atlanta Area Technical School</t>
  </si>
  <si>
    <t>Augusta Technical Institute</t>
  </si>
  <si>
    <t>Ben Hill-Irwin Technical Institute</t>
  </si>
  <si>
    <t>Carroll Technical Institute</t>
  </si>
  <si>
    <t>Chattahoochee Technical Institute</t>
  </si>
  <si>
    <t>Columbus Technical Institute</t>
  </si>
  <si>
    <t>Coosa Valley Technical Institute</t>
  </si>
  <si>
    <t>DeKalb Technical Institute</t>
  </si>
  <si>
    <t>Flint River Technical Institute</t>
  </si>
  <si>
    <t>Griffin Technical Institute</t>
  </si>
  <si>
    <t>Gwinnett Technical Institute</t>
  </si>
  <si>
    <t>Heart of Georgia Technical Institute</t>
  </si>
  <si>
    <t>Lanier Technical Institute</t>
  </si>
  <si>
    <t>Macon Technical Institute</t>
  </si>
  <si>
    <t>Middle Georgia Technical Institute</t>
  </si>
  <si>
    <t>Moultrie Area Technical Institute</t>
  </si>
  <si>
    <t>North Georgia Technical Institute</t>
  </si>
  <si>
    <t>North Metro Technical Institute</t>
  </si>
  <si>
    <t>Ogeechee Technical Institute</t>
  </si>
  <si>
    <t>Okefenokee Technical Institute</t>
  </si>
  <si>
    <t>Pickens Technical Institute</t>
  </si>
  <si>
    <t>Sandersville Technical Institute</t>
  </si>
  <si>
    <t>Savannah Technical Institute</t>
  </si>
  <si>
    <t>South Georgia Technical Institute</t>
  </si>
  <si>
    <t>Southeastern Technical Institute</t>
  </si>
  <si>
    <t>Swainsboro Technical Institute</t>
  </si>
  <si>
    <t>Thomas Technical Institute</t>
  </si>
  <si>
    <t>Valdosta Technical Institute</t>
  </si>
  <si>
    <t>Walker Technical Institute</t>
  </si>
  <si>
    <t>West Georgia Technical Institute</t>
  </si>
  <si>
    <t>KY</t>
  </si>
  <si>
    <t>University of Kentucky</t>
  </si>
  <si>
    <t>University of Louisville</t>
  </si>
  <si>
    <t xml:space="preserve">Eastern Kentucky University </t>
  </si>
  <si>
    <t xml:space="preserve">Murray State University </t>
  </si>
  <si>
    <t xml:space="preserve">Western Kentucky University </t>
  </si>
  <si>
    <t xml:space="preserve">Morehead State University </t>
  </si>
  <si>
    <t xml:space="preserve">Northern Kentucky University </t>
  </si>
  <si>
    <t xml:space="preserve">Kentucky State University </t>
  </si>
  <si>
    <t>UK Community College System</t>
  </si>
  <si>
    <t>LA</t>
  </si>
  <si>
    <t>LSU and Agricultural and Mechanical College</t>
  </si>
  <si>
    <t>159391</t>
  </si>
  <si>
    <t>Univ of Southwestern Louisiana</t>
  </si>
  <si>
    <t>160658</t>
  </si>
  <si>
    <t>Univ of New Orleans</t>
  </si>
  <si>
    <t>159939</t>
  </si>
  <si>
    <t>Northeast Louisiana Univ</t>
  </si>
  <si>
    <t>159993</t>
  </si>
  <si>
    <t>Southern Univ and A&amp;M College at Baton Rouge</t>
  </si>
  <si>
    <t>160621</t>
  </si>
  <si>
    <t>Louisiana Tech Univ</t>
  </si>
  <si>
    <t>159647</t>
  </si>
  <si>
    <t>McNeese State Univ</t>
  </si>
  <si>
    <t>159717</t>
  </si>
  <si>
    <t>Grambling State Univ</t>
  </si>
  <si>
    <t>159009</t>
  </si>
  <si>
    <t>Northwestern State Univ</t>
  </si>
  <si>
    <t>160038</t>
  </si>
  <si>
    <t>Southeastern Louisiana Univ</t>
  </si>
  <si>
    <t>160612</t>
  </si>
  <si>
    <t>LSU in Shreveport</t>
  </si>
  <si>
    <t>159416</t>
  </si>
  <si>
    <t>Nicholls State Univ</t>
  </si>
  <si>
    <t>159966</t>
  </si>
  <si>
    <t>Southern Univ at New Orleans</t>
  </si>
  <si>
    <t>160360</t>
  </si>
  <si>
    <t>Bossier Parish Community College</t>
  </si>
  <si>
    <t>158431</t>
  </si>
  <si>
    <t>Delgado Community College</t>
  </si>
  <si>
    <t>158662</t>
  </si>
  <si>
    <t>LSU in Alexandria</t>
  </si>
  <si>
    <t>159382</t>
  </si>
  <si>
    <t>LSU in Eunice</t>
  </si>
  <si>
    <t>159407</t>
  </si>
  <si>
    <t>Nunez Community College</t>
  </si>
  <si>
    <t>158884</t>
  </si>
  <si>
    <t>Southern Univ in Shreveport</t>
  </si>
  <si>
    <t>160649</t>
  </si>
  <si>
    <t>LSU Law Center</t>
  </si>
  <si>
    <t>LSU Medical Center</t>
  </si>
  <si>
    <t>159373</t>
  </si>
  <si>
    <t>Acadian Technical Institute</t>
  </si>
  <si>
    <t>Alexandria Regional Technical Institute</t>
  </si>
  <si>
    <t>Ascension Parish Technical Institute</t>
  </si>
  <si>
    <t>Avoyelles Technical Institute</t>
  </si>
  <si>
    <t>Bastrop Technical Institute</t>
  </si>
  <si>
    <t>Baton Rouge Vocational-Technical Institute</t>
  </si>
  <si>
    <t>Claiborne Technical Institute</t>
  </si>
  <si>
    <t>Concordia Technical Institute</t>
  </si>
  <si>
    <t>C.B. Coreil Technical Institute</t>
  </si>
  <si>
    <t>Delta-Ouachita Regional-Technical Institute</t>
  </si>
  <si>
    <t>Evangeline Technical Institute</t>
  </si>
  <si>
    <t>Florida Parishes Technical Institute</t>
  </si>
  <si>
    <t>Folkes Technical Institute</t>
  </si>
  <si>
    <t>Gulf Area Technical Institute</t>
  </si>
  <si>
    <t>Huey P. Long Memorial Technical Institute</t>
  </si>
  <si>
    <t>Jefferson Parish Technical Institute</t>
  </si>
  <si>
    <t>Jumonville Memorial Technical Institute</t>
  </si>
  <si>
    <t>Lafayette Regional Technical Institute</t>
  </si>
  <si>
    <t>Lamar Salter Vocational-Technical Institute</t>
  </si>
  <si>
    <t>Mansfield Branch Technical Institute</t>
  </si>
  <si>
    <t>Nachitoches Technical Institute</t>
  </si>
  <si>
    <t>New Orleans Regional Technical Institute</t>
  </si>
  <si>
    <t>North Central Technical Institute</t>
  </si>
  <si>
    <t>Northeast Louisiana Technical Institute</t>
  </si>
  <si>
    <t>Northwest Louisiana Technical Institute</t>
  </si>
  <si>
    <t>Oakdale Branch Technical Institute</t>
  </si>
  <si>
    <t>Port Sulphur Branch Technical Institute</t>
  </si>
  <si>
    <t>River Parishes Technical Institute</t>
  </si>
  <si>
    <t>Ruston Technical Institute</t>
  </si>
  <si>
    <t>Sabine Valley Technical Institute</t>
  </si>
  <si>
    <t>Shreveport-Bossier Regional Technical Institute</t>
  </si>
  <si>
    <t>Sidney N. Collier Memorial Technical Institute</t>
  </si>
  <si>
    <t>Slidell Technical Institute</t>
  </si>
  <si>
    <t>South Louisiana Regional Technical Institute</t>
  </si>
  <si>
    <t>Sowela Regional Technical Institute</t>
  </si>
  <si>
    <t>Sullivan Technical Institute</t>
  </si>
  <si>
    <t>Tallulah Technical Institute</t>
  </si>
  <si>
    <t>Teche Area Technical Institute</t>
  </si>
  <si>
    <t>Thibodaux Area Technical Institute</t>
  </si>
  <si>
    <t>T.H. Harris Technical Institute</t>
  </si>
  <si>
    <t>West Jefferson Technical Institute</t>
  </si>
  <si>
    <t>Westside Technical Institute</t>
  </si>
  <si>
    <t>Young Memorial Technical Institute</t>
  </si>
  <si>
    <t>Hammond Technical Institute</t>
  </si>
  <si>
    <t>Jefferson Davis Technical Institute</t>
  </si>
  <si>
    <t>MD</t>
  </si>
  <si>
    <t>University of Maryland College Park</t>
  </si>
  <si>
    <t>University of Maryland Baltimore County</t>
  </si>
  <si>
    <t xml:space="preserve">Bowie State University </t>
  </si>
  <si>
    <t xml:space="preserve">Frostburg State University </t>
  </si>
  <si>
    <t>Morgan State University</t>
  </si>
  <si>
    <t xml:space="preserve">Salisbury State University </t>
  </si>
  <si>
    <t xml:space="preserve">Towson State University  </t>
  </si>
  <si>
    <t>University of Baltimore</t>
  </si>
  <si>
    <t>Coppin State College</t>
  </si>
  <si>
    <t>University of Maryland Eastern Shore</t>
  </si>
  <si>
    <t>Saint Mary's College of Maryland</t>
  </si>
  <si>
    <t xml:space="preserve">Allegany Community College </t>
  </si>
  <si>
    <t xml:space="preserve">Anne Arundel Community College </t>
  </si>
  <si>
    <t>Baltimore City Community College</t>
  </si>
  <si>
    <t>Carroll Community College</t>
  </si>
  <si>
    <t xml:space="preserve">Catonsville Community College </t>
  </si>
  <si>
    <t xml:space="preserve">Cecil Community College </t>
  </si>
  <si>
    <t xml:space="preserve">Charles County Community College </t>
  </si>
  <si>
    <t xml:space="preserve">Chesapeake College </t>
  </si>
  <si>
    <t xml:space="preserve">Dundalk Community College </t>
  </si>
  <si>
    <t xml:space="preserve">Essex Community College </t>
  </si>
  <si>
    <t xml:space="preserve">Frederick Community College </t>
  </si>
  <si>
    <t xml:space="preserve">Garrett Community College </t>
  </si>
  <si>
    <t xml:space="preserve">Hagerstown Junior College </t>
  </si>
  <si>
    <t xml:space="preserve">Harford Community College </t>
  </si>
  <si>
    <t xml:space="preserve">Howard Community College </t>
  </si>
  <si>
    <t>Montgomery College (TOTAL)</t>
  </si>
  <si>
    <t xml:space="preserve">Prince George's Community College </t>
  </si>
  <si>
    <t xml:space="preserve">Wor-Wic Community College </t>
  </si>
  <si>
    <t xml:space="preserve">University of Maryland at Baltimore </t>
  </si>
  <si>
    <t>Medical school</t>
  </si>
  <si>
    <t>University of Maryland University College</t>
  </si>
  <si>
    <t>MS</t>
  </si>
  <si>
    <t>Mississippi State University</t>
  </si>
  <si>
    <t>University of Mississippi</t>
  </si>
  <si>
    <t>University of Southern Mississippi *</t>
  </si>
  <si>
    <t xml:space="preserve">Jackson State University </t>
  </si>
  <si>
    <t>Alcorn State University *</t>
  </si>
  <si>
    <t>Delta State University  *</t>
  </si>
  <si>
    <t>Mississippi University for Women</t>
  </si>
  <si>
    <t>Mississippi Valley State University</t>
  </si>
  <si>
    <t>University of Mississippi Medical Center</t>
  </si>
  <si>
    <t>FQ</t>
  </si>
  <si>
    <t xml:space="preserve">Coahoma Community College </t>
  </si>
  <si>
    <t xml:space="preserve">Copiah-Lincoln Community College </t>
  </si>
  <si>
    <t xml:space="preserve">East Central Community College </t>
  </si>
  <si>
    <t xml:space="preserve">East Mississippi Community College </t>
  </si>
  <si>
    <t xml:space="preserve">Hinds Community College </t>
  </si>
  <si>
    <t xml:space="preserve">Holmes Community College </t>
  </si>
  <si>
    <t xml:space="preserve">Itawamba Community College </t>
  </si>
  <si>
    <t xml:space="preserve">Jones County Junior College </t>
  </si>
  <si>
    <t xml:space="preserve">Meridian Community College </t>
  </si>
  <si>
    <t xml:space="preserve">Mississippi Delta Community College </t>
  </si>
  <si>
    <t xml:space="preserve">Mississippi Gulf Coast Community College </t>
  </si>
  <si>
    <t xml:space="preserve">Northeast Mississippi Community College </t>
  </si>
  <si>
    <t xml:space="preserve">Northwest Mississippi Community College </t>
  </si>
  <si>
    <t xml:space="preserve">Pearl River Community College </t>
  </si>
  <si>
    <t xml:space="preserve">Southwest Mississippi Community College  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</si>
  <si>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</si>
  <si>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</si>
  <si>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</si>
  <si>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</si>
  <si>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</si>
  <si>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University of North Carolina at Greensboro</t>
  </si>
  <si>
    <t>199148</t>
  </si>
  <si>
    <t xml:space="preserve">Appalachian State University </t>
  </si>
  <si>
    <t>197869</t>
  </si>
  <si>
    <t xml:space="preserve">East Carolina University </t>
  </si>
  <si>
    <t>198464</t>
  </si>
  <si>
    <t>North Carolina Agricultural &amp; Technical State University</t>
  </si>
  <si>
    <t>199102</t>
  </si>
  <si>
    <t xml:space="preserve">North Carolina Central University </t>
  </si>
  <si>
    <t>199157</t>
  </si>
  <si>
    <t>University of North Carolina at Charlotte</t>
  </si>
  <si>
    <t>199139</t>
  </si>
  <si>
    <t xml:space="preserve">Western Carolina University </t>
  </si>
  <si>
    <t>200004</t>
  </si>
  <si>
    <t>Fayetteville State University *</t>
  </si>
  <si>
    <t>198543</t>
  </si>
  <si>
    <t>University of North Carolina at Wilmington</t>
  </si>
  <si>
    <t>199218</t>
  </si>
  <si>
    <t>University of North Carolina at Pembroke</t>
  </si>
  <si>
    <t>199281</t>
  </si>
  <si>
    <t xml:space="preserve">Elizabeth City State University </t>
  </si>
  <si>
    <t>198507</t>
  </si>
  <si>
    <t>University of North Carolina at Asheville</t>
  </si>
  <si>
    <t>199111</t>
  </si>
  <si>
    <t xml:space="preserve">Winston-Salem State University </t>
  </si>
  <si>
    <t>199999</t>
  </si>
  <si>
    <t>NC School of the Arts</t>
  </si>
  <si>
    <t>199184</t>
  </si>
  <si>
    <t>Alamance Community College</t>
  </si>
  <si>
    <t>Anson Community College</t>
  </si>
  <si>
    <t>Asheville-Buncombe Technical Community College</t>
  </si>
  <si>
    <t xml:space="preserve">Beaufort County Community College </t>
  </si>
  <si>
    <t>Bladen Community College</t>
  </si>
  <si>
    <t>Blue Ridge Community College</t>
  </si>
  <si>
    <t>Brunswick Community College</t>
  </si>
  <si>
    <t>Caldwell Community College  &amp; Technical Institute</t>
  </si>
  <si>
    <t>Cape Fear Community College</t>
  </si>
  <si>
    <t>Carteret Community College</t>
  </si>
  <si>
    <t>Catawba Valley Community College</t>
  </si>
  <si>
    <t>Central Carolina Commuity College</t>
  </si>
  <si>
    <t xml:space="preserve">Central Piedmont Community College </t>
  </si>
  <si>
    <t>Cleveland Community College</t>
  </si>
  <si>
    <t xml:space="preserve">Coastal Carolina Community College </t>
  </si>
  <si>
    <t>College of the Albemarle</t>
  </si>
  <si>
    <t xml:space="preserve">Craven Community College </t>
  </si>
  <si>
    <t xml:space="preserve">Davidson County Community College </t>
  </si>
  <si>
    <t>Durham Technical Community College</t>
  </si>
  <si>
    <t>Edgecombe Community College</t>
  </si>
  <si>
    <t>Fayetteville Technical Community College</t>
  </si>
  <si>
    <t>Forsyth Technical Community College</t>
  </si>
  <si>
    <t xml:space="preserve">Gaston College </t>
  </si>
  <si>
    <t>Guilford Technical Community College</t>
  </si>
  <si>
    <t xml:space="preserve">Halifax Community College </t>
  </si>
  <si>
    <t>Haywood Community College</t>
  </si>
  <si>
    <t xml:space="preserve">Isothermal Community College </t>
  </si>
  <si>
    <t>James Sprunt Community College</t>
  </si>
  <si>
    <t>Johnston Community College</t>
  </si>
  <si>
    <t xml:space="preserve">Lenoir Community College </t>
  </si>
  <si>
    <t xml:space="preserve">Martin Community College </t>
  </si>
  <si>
    <t>Mayland Community College</t>
  </si>
  <si>
    <t>McDowell Technical Community College</t>
  </si>
  <si>
    <t xml:space="preserve">Mitchell Community College </t>
  </si>
  <si>
    <t>Montgomery Community College</t>
  </si>
  <si>
    <t>Nash Community College</t>
  </si>
  <si>
    <t>Pamlico Community College</t>
  </si>
  <si>
    <t>Piedmont Community College</t>
  </si>
  <si>
    <t>Pitt Community College</t>
  </si>
  <si>
    <t>Randolph Community College</t>
  </si>
  <si>
    <t>Richmond Community College</t>
  </si>
  <si>
    <t>Roanoke-Chowan Community College</t>
  </si>
  <si>
    <t>Robeson Community College</t>
  </si>
  <si>
    <t xml:space="preserve">Rockingham Community College </t>
  </si>
  <si>
    <t>Rowan-Cabarrus Community College</t>
  </si>
  <si>
    <t>Sampson Community College</t>
  </si>
  <si>
    <t xml:space="preserve">Sandhills Community College </t>
  </si>
  <si>
    <t xml:space="preserve">Southeastern Community College </t>
  </si>
  <si>
    <t xml:space="preserve">Southwestern Community College </t>
  </si>
  <si>
    <t>Stanly Community College</t>
  </si>
  <si>
    <t xml:space="preserve">Surry Community College </t>
  </si>
  <si>
    <t xml:space="preserve">Tri-County Community College </t>
  </si>
  <si>
    <t xml:space="preserve">Vance-Granville Community College </t>
  </si>
  <si>
    <t>Wake Technical Community College</t>
  </si>
  <si>
    <t>Wayne Community College</t>
  </si>
  <si>
    <t xml:space="preserve">Western Piedmont Community College </t>
  </si>
  <si>
    <t xml:space="preserve">Wilkes Community College </t>
  </si>
  <si>
    <t>Wilson Technical Community College</t>
  </si>
  <si>
    <t>OK</t>
  </si>
  <si>
    <t>Oklahoma State University Main Campus</t>
  </si>
  <si>
    <t>University of Oklahoma Norman Campus</t>
  </si>
  <si>
    <t>University of Central Oklahoma</t>
  </si>
  <si>
    <t>Northeastern State University</t>
  </si>
  <si>
    <t xml:space="preserve">Southwestern Oklahoma State University </t>
  </si>
  <si>
    <t xml:space="preserve">East Central University </t>
  </si>
  <si>
    <t xml:space="preserve">Northwestern State University </t>
  </si>
  <si>
    <t xml:space="preserve">Southeastern Oklahoma State University </t>
  </si>
  <si>
    <t>Cameron University</t>
  </si>
  <si>
    <t>Langston University</t>
  </si>
  <si>
    <t xml:space="preserve">Oklahoma Panhandle State University </t>
  </si>
  <si>
    <t>University of Science and Arts of Oklahoma</t>
  </si>
  <si>
    <t>Carl Albert State College</t>
  </si>
  <si>
    <t xml:space="preserve">Connors State College </t>
  </si>
  <si>
    <t xml:space="preserve">Eastern Oklahoma State College </t>
  </si>
  <si>
    <t xml:space="preserve">Murray State College </t>
  </si>
  <si>
    <t xml:space="preserve">Northeastern Oklahoma Agricultural &amp; Mechanical College </t>
  </si>
  <si>
    <t xml:space="preserve">Northern Oklahoma College </t>
  </si>
  <si>
    <t xml:space="preserve">Oklahoma City Community College </t>
  </si>
  <si>
    <t xml:space="preserve">Oklahoma State University-Oklahoma City </t>
  </si>
  <si>
    <t xml:space="preserve">Oklahoma State University-Okmulgee </t>
  </si>
  <si>
    <t>Redlands Community College</t>
  </si>
  <si>
    <t>Rogers University-Claremore Campus</t>
  </si>
  <si>
    <t xml:space="preserve">Rose State College </t>
  </si>
  <si>
    <t xml:space="preserve">Seminole Junior College </t>
  </si>
  <si>
    <t xml:space="preserve">Tulsa Junior College </t>
  </si>
  <si>
    <t xml:space="preserve">Western Oklahoma State College </t>
  </si>
  <si>
    <t>Oklahoma College of Osteopathic Medicine and Surgery</t>
  </si>
  <si>
    <t>Oklahoma State University-Veterinary Medicine</t>
  </si>
  <si>
    <t>University of Oklahoma Health Sciences Center</t>
  </si>
  <si>
    <t>University of Oklahoma-Law Center</t>
  </si>
  <si>
    <t>SC</t>
  </si>
  <si>
    <t>University of South Carolina-Columbia</t>
  </si>
  <si>
    <t>Clemson University</t>
  </si>
  <si>
    <t xml:space="preserve">Winthrop University </t>
  </si>
  <si>
    <t>College of Charleston</t>
  </si>
  <si>
    <t>The Citadel, the Military College of South Carolina *</t>
  </si>
  <si>
    <t xml:space="preserve">Francis Marion University </t>
  </si>
  <si>
    <t xml:space="preserve">South Carolina State University </t>
  </si>
  <si>
    <t>Coastal Carolina University</t>
  </si>
  <si>
    <t>Lander University **</t>
  </si>
  <si>
    <t>University of South Carolina-Aiken</t>
  </si>
  <si>
    <t>University of South Carolina-Spartanburg</t>
  </si>
  <si>
    <t xml:space="preserve">Aiken Technical College </t>
  </si>
  <si>
    <t xml:space="preserve">Central Carolina Technical College </t>
  </si>
  <si>
    <t xml:space="preserve">Chesterfield-Marlboro Technical College </t>
  </si>
  <si>
    <t xml:space="preserve">Denmark Technical College </t>
  </si>
  <si>
    <t xml:space="preserve">Florence-Darlington Technical College </t>
  </si>
  <si>
    <t xml:space="preserve">Greenville Technical College </t>
  </si>
  <si>
    <t xml:space="preserve">Horry-Georgetown Technical College </t>
  </si>
  <si>
    <t xml:space="preserve">Midlands Technical College </t>
  </si>
  <si>
    <t xml:space="preserve">Orangeburg-Calhoun Technical College </t>
  </si>
  <si>
    <t xml:space="preserve">Piedmont Technical College </t>
  </si>
  <si>
    <t xml:space="preserve">Spartanburg Technical College </t>
  </si>
  <si>
    <t>Technical College of the Low Country</t>
  </si>
  <si>
    <t xml:space="preserve">Tri-County Technical College </t>
  </si>
  <si>
    <t xml:space="preserve">Trident Technical College </t>
  </si>
  <si>
    <t>University of South Carolina-Beaufort</t>
  </si>
  <si>
    <t>University of South Carolina-Lancaster</t>
  </si>
  <si>
    <t>University of South Carolina-Salkehatchie</t>
  </si>
  <si>
    <t>University of South Carolina-Sumter</t>
  </si>
  <si>
    <t>University of South Carolina-Union</t>
  </si>
  <si>
    <t xml:space="preserve">Willamsburg Technical College </t>
  </si>
  <si>
    <t xml:space="preserve">York Technical College </t>
  </si>
  <si>
    <t>Medical University of South Carolina</t>
  </si>
  <si>
    <t>TN</t>
  </si>
  <si>
    <t>University of Tennessee, Knoxville</t>
  </si>
  <si>
    <t>University of Memphis</t>
  </si>
  <si>
    <t xml:space="preserve">East Tennessee State University </t>
  </si>
  <si>
    <t xml:space="preserve">Middle Tennessee State University </t>
  </si>
  <si>
    <t xml:space="preserve">Tennessee State University </t>
  </si>
  <si>
    <t xml:space="preserve">Austin Peay State University </t>
  </si>
  <si>
    <t xml:space="preserve">Tennessee Technological University </t>
  </si>
  <si>
    <t>University of Tennessee at Chattanooga</t>
  </si>
  <si>
    <t>University of Tennessee at Martin</t>
  </si>
  <si>
    <t>Chattanooga State Technical Community College</t>
  </si>
  <si>
    <t>Cleveland State Community College</t>
  </si>
  <si>
    <t>Columbia State Community College</t>
  </si>
  <si>
    <t>Dyersburg State Community College</t>
  </si>
  <si>
    <t>Jackson State Community College</t>
  </si>
  <si>
    <t>Motlow State Community College</t>
  </si>
  <si>
    <t>Nashville State Technical Institute</t>
  </si>
  <si>
    <t>Northeast State Technical Community College</t>
  </si>
  <si>
    <t>Pellissippi State Technical Community College</t>
  </si>
  <si>
    <t>Roane State Community College</t>
  </si>
  <si>
    <t>Shelby State Community College</t>
  </si>
  <si>
    <t>State Technical Institute at Memphis</t>
  </si>
  <si>
    <t>Volunteer State Community College</t>
  </si>
  <si>
    <t>Walters State Community College</t>
  </si>
  <si>
    <t>TTC at Athens</t>
  </si>
  <si>
    <t>TTC at Chattanooga</t>
  </si>
  <si>
    <t>TTC at Covington</t>
  </si>
  <si>
    <t>TTC at Crossville</t>
  </si>
  <si>
    <t>TTC at Dickson</t>
  </si>
  <si>
    <t>TTC at Elizabethton</t>
  </si>
  <si>
    <t>TTC at Harriman</t>
  </si>
  <si>
    <t>TTC at Hartsville</t>
  </si>
  <si>
    <t>TTC at Holenwald</t>
  </si>
  <si>
    <t>TTC at Jacksboro</t>
  </si>
  <si>
    <t>TTC at Jackson</t>
  </si>
  <si>
    <t>TTC at Knoxville</t>
  </si>
  <si>
    <t>TTC at Livingston</t>
  </si>
  <si>
    <t>TTC at McKenzie</t>
  </si>
  <si>
    <t>TTC at McMinnville</t>
  </si>
  <si>
    <t>TTC at Memphis</t>
  </si>
  <si>
    <t>TTC at Morristown</t>
  </si>
  <si>
    <t>TTC at Murphressboro</t>
  </si>
  <si>
    <t>TTC at Nashville</t>
  </si>
  <si>
    <t>TTC at Newbern</t>
  </si>
  <si>
    <t>TTC at Oneida</t>
  </si>
  <si>
    <t>TTC at Paris</t>
  </si>
  <si>
    <t>TTC at Pulaski</t>
  </si>
  <si>
    <t>TTC at Ripley</t>
  </si>
  <si>
    <t>TTC at Crump (formerly Savannah)</t>
  </si>
  <si>
    <t>221430</t>
  </si>
  <si>
    <t>TTC at Shelbyville</t>
  </si>
  <si>
    <t>TTC at Whiteville</t>
  </si>
  <si>
    <t>University of Tennessee at Memphis</t>
  </si>
  <si>
    <t>University of Tennessee Space Institute</t>
  </si>
  <si>
    <t>University of Tennessee Veterinary Medicine</t>
  </si>
  <si>
    <t>TX</t>
  </si>
  <si>
    <t xml:space="preserve">Texas A &amp; M Univ </t>
  </si>
  <si>
    <t>228723</t>
  </si>
  <si>
    <t xml:space="preserve">Texas Tech Univ </t>
  </si>
  <si>
    <t>229115</t>
  </si>
  <si>
    <t>Univ of Houston</t>
  </si>
  <si>
    <t>225511</t>
  </si>
  <si>
    <t>Univ of North Texas</t>
  </si>
  <si>
    <t>227216</t>
  </si>
  <si>
    <t>Univ of Texas at Austin</t>
  </si>
  <si>
    <t>228778</t>
  </si>
  <si>
    <t>Texas Woman's Univ *</t>
  </si>
  <si>
    <t>229179</t>
  </si>
  <si>
    <t>Univ of Texas at Arlington</t>
  </si>
  <si>
    <t>228769</t>
  </si>
  <si>
    <t>Univ of Texas at Dallas</t>
  </si>
  <si>
    <t>228787</t>
  </si>
  <si>
    <t>Lamar Univ-Beaumont</t>
  </si>
  <si>
    <t>226091</t>
  </si>
  <si>
    <t xml:space="preserve">Prairie View A &amp; M Univ </t>
  </si>
  <si>
    <t>227526</t>
  </si>
  <si>
    <t xml:space="preserve">Sam Houston State Univ </t>
  </si>
  <si>
    <t>227881</t>
  </si>
  <si>
    <t xml:space="preserve">Southwest Texas State Univ </t>
  </si>
  <si>
    <t>228459</t>
  </si>
  <si>
    <t>Stephen F. Austin State Univ</t>
  </si>
  <si>
    <t>228431</t>
  </si>
  <si>
    <t xml:space="preserve">Sul Ross State Univ </t>
  </si>
  <si>
    <t>228501</t>
  </si>
  <si>
    <t>Texas A &amp; M Univ-Commerce</t>
  </si>
  <si>
    <t>224554</t>
  </si>
  <si>
    <t>Texas A &amp; M Univ-Kingsville</t>
  </si>
  <si>
    <t>228705</t>
  </si>
  <si>
    <t xml:space="preserve">Texas Southern Univ </t>
  </si>
  <si>
    <t>229063</t>
  </si>
  <si>
    <t xml:space="preserve">Univ of Houston-Clear Lake </t>
  </si>
  <si>
    <t>225414</t>
  </si>
  <si>
    <t>Univ of Texas at El Paso</t>
  </si>
  <si>
    <t>228796</t>
  </si>
  <si>
    <t>Univ of Texas at San Antonio</t>
  </si>
  <si>
    <t>229027</t>
  </si>
  <si>
    <t>Univ of Texas at Tyler</t>
  </si>
  <si>
    <t>228802</t>
  </si>
  <si>
    <t>West Texas A &amp; M Univ</t>
  </si>
  <si>
    <t>229814</t>
  </si>
  <si>
    <t>Texas A &amp; M Univ-Corpus Christi</t>
  </si>
  <si>
    <t>224147</t>
  </si>
  <si>
    <t>Angelo State Univ **</t>
  </si>
  <si>
    <t>222831</t>
  </si>
  <si>
    <t xml:space="preserve">Midwestern State Univ  </t>
  </si>
  <si>
    <t>226833</t>
  </si>
  <si>
    <t xml:space="preserve">Tarleton State Univ  </t>
  </si>
  <si>
    <t>228529</t>
  </si>
  <si>
    <t>Texas A &amp; M International Univ</t>
  </si>
  <si>
    <t>226152</t>
  </si>
  <si>
    <t>Univ of Texas of the Permian Basin</t>
  </si>
  <si>
    <t>229018</t>
  </si>
  <si>
    <t>Univ of Texas-Pan American</t>
  </si>
  <si>
    <t>227368</t>
  </si>
  <si>
    <t>Sul Ross State Univ-Rio Grande College</t>
  </si>
  <si>
    <t>227924</t>
  </si>
  <si>
    <t>Texas A&amp;M Univ - Texarkana</t>
  </si>
  <si>
    <t>224545</t>
  </si>
  <si>
    <t>Univ of Houston-Victoria</t>
  </si>
  <si>
    <t>225502</t>
  </si>
  <si>
    <t>Univ of Texas at Brownsville ***</t>
  </si>
  <si>
    <t>227377</t>
  </si>
  <si>
    <t>Texas A &amp; M Univ at Galveston</t>
  </si>
  <si>
    <t>228714</t>
  </si>
  <si>
    <t>Univ of Houston-Downtown</t>
  </si>
  <si>
    <t>225432</t>
  </si>
  <si>
    <t xml:space="preserve">Alvin Community College </t>
  </si>
  <si>
    <t>222567</t>
  </si>
  <si>
    <t xml:space="preserve">Amarillo College </t>
  </si>
  <si>
    <t>222576</t>
  </si>
  <si>
    <t xml:space="preserve">Angelina College </t>
  </si>
  <si>
    <t>222822</t>
  </si>
  <si>
    <t xml:space="preserve">Austin Community College </t>
  </si>
  <si>
    <t>222992</t>
  </si>
  <si>
    <t xml:space="preserve">Bee County College </t>
  </si>
  <si>
    <t>223320</t>
  </si>
  <si>
    <t xml:space="preserve">Blinn College </t>
  </si>
  <si>
    <t>223427</t>
  </si>
  <si>
    <t xml:space="preserve">Brazosport College </t>
  </si>
  <si>
    <t>223506</t>
  </si>
  <si>
    <t>Brookhaven College  (DCCCD)</t>
  </si>
  <si>
    <t>223524</t>
  </si>
  <si>
    <t>Cedar Valley College  (DCCCD)</t>
  </si>
  <si>
    <t>223773</t>
  </si>
  <si>
    <t xml:space="preserve">Central Texas College </t>
  </si>
  <si>
    <t>223816</t>
  </si>
  <si>
    <t xml:space="preserve">Cisco Junior College </t>
  </si>
  <si>
    <t>223898</t>
  </si>
  <si>
    <t xml:space="preserve">Clarendon College </t>
  </si>
  <si>
    <t>223922</t>
  </si>
  <si>
    <t>College of the Mainland</t>
  </si>
  <si>
    <t>226408</t>
  </si>
  <si>
    <t>Collin County Community College</t>
  </si>
  <si>
    <t>247834</t>
  </si>
  <si>
    <t xml:space="preserve">Del Mar College </t>
  </si>
  <si>
    <t>224350</t>
  </si>
  <si>
    <t>Eastfield College  (DCCCD)</t>
  </si>
  <si>
    <t>224572</t>
  </si>
  <si>
    <t>El Centro College  (DCCCD)</t>
  </si>
  <si>
    <t>224615</t>
  </si>
  <si>
    <t xml:space="preserve">El Paso County Community College </t>
  </si>
  <si>
    <t>224642</t>
  </si>
  <si>
    <t xml:space="preserve">Frank Phillips College </t>
  </si>
  <si>
    <t>224891</t>
  </si>
  <si>
    <t xml:space="preserve">Galveston College </t>
  </si>
  <si>
    <t>224961</t>
  </si>
  <si>
    <t xml:space="preserve">Grayson County College </t>
  </si>
  <si>
    <t>225070</t>
  </si>
  <si>
    <t>Hill College</t>
  </si>
  <si>
    <t>225371</t>
  </si>
  <si>
    <t>Houston Community College</t>
  </si>
  <si>
    <t>225423</t>
  </si>
  <si>
    <t>Howard College</t>
  </si>
  <si>
    <t>225520</t>
  </si>
  <si>
    <t xml:space="preserve">Kilgore College </t>
  </si>
  <si>
    <t>226019</t>
  </si>
  <si>
    <t>Lamar Institute of Technology</t>
  </si>
  <si>
    <t>229337</t>
  </si>
  <si>
    <t>Lamar Univ-Orange Campus</t>
  </si>
  <si>
    <t>226107</t>
  </si>
  <si>
    <t>Lamar Univ-Port Arthur Campus</t>
  </si>
  <si>
    <t>226116</t>
  </si>
  <si>
    <t xml:space="preserve">Laredo Community College </t>
  </si>
  <si>
    <t>226134</t>
  </si>
  <si>
    <t xml:space="preserve">Lee College </t>
  </si>
  <si>
    <t>226204</t>
  </si>
  <si>
    <t xml:space="preserve">McLennan Community College </t>
  </si>
  <si>
    <t>226578</t>
  </si>
  <si>
    <t xml:space="preserve">Midland College </t>
  </si>
  <si>
    <t>226806</t>
  </si>
  <si>
    <t>Mountain View College  (DCCCD)</t>
  </si>
  <si>
    <t>226930</t>
  </si>
  <si>
    <t xml:space="preserve">Navarro College </t>
  </si>
  <si>
    <t>227146</t>
  </si>
  <si>
    <t>North Central Texas College</t>
  </si>
  <si>
    <t>224110</t>
  </si>
  <si>
    <t>North Harris Montgomery Community College District</t>
  </si>
  <si>
    <t>227182</t>
  </si>
  <si>
    <t>North Lake College  (DCCCD)</t>
  </si>
  <si>
    <t>227191</t>
  </si>
  <si>
    <t xml:space="preserve">Northeast Texas Community College </t>
  </si>
  <si>
    <t>227225</t>
  </si>
  <si>
    <t xml:space="preserve">Odessa College </t>
  </si>
  <si>
    <t>227304</t>
  </si>
  <si>
    <t>Palo Alto College  (ACCD)</t>
  </si>
  <si>
    <t>246354</t>
  </si>
  <si>
    <t>Panola College</t>
  </si>
  <si>
    <t>227386</t>
  </si>
  <si>
    <t>Paris Junior College</t>
  </si>
  <si>
    <t>227401</t>
  </si>
  <si>
    <t xml:space="preserve">Ranger College </t>
  </si>
  <si>
    <t>227687</t>
  </si>
  <si>
    <t>Richland College  (DCCCD)</t>
  </si>
  <si>
    <t>227766</t>
  </si>
  <si>
    <t>San Antonio College (ACCD)</t>
  </si>
  <si>
    <t>San Jacinto College (SJCDS)</t>
  </si>
  <si>
    <t>227979</t>
  </si>
  <si>
    <t xml:space="preserve">South Plains College </t>
  </si>
  <si>
    <t>228158</t>
  </si>
  <si>
    <t>South Texas Community College</t>
  </si>
  <si>
    <t>409315</t>
  </si>
  <si>
    <t xml:space="preserve">Southwest Texas Junior College </t>
  </si>
  <si>
    <t>228316</t>
  </si>
  <si>
    <t>St. Philip's College  (ACCD)</t>
  </si>
  <si>
    <t>227854</t>
  </si>
  <si>
    <t>Tarrant Co. Junior College (TCJCD)</t>
  </si>
  <si>
    <t>228547</t>
  </si>
  <si>
    <t xml:space="preserve">Temple College </t>
  </si>
  <si>
    <t>228608</t>
  </si>
  <si>
    <t xml:space="preserve">Texarkana College </t>
  </si>
  <si>
    <t>228699</t>
  </si>
  <si>
    <t xml:space="preserve">Texas Southmost College </t>
  </si>
  <si>
    <t>229072</t>
  </si>
  <si>
    <t xml:space="preserve">Texas State Technical College-Amarillo </t>
  </si>
  <si>
    <t>228662</t>
  </si>
  <si>
    <t xml:space="preserve">Texas State Technical College-Harlingen </t>
  </si>
  <si>
    <t>229319</t>
  </si>
  <si>
    <t xml:space="preserve">Texas State Technical College-Sweetwater </t>
  </si>
  <si>
    <t>229328</t>
  </si>
  <si>
    <t>Texas State Technical College-Waco/Marshall</t>
  </si>
  <si>
    <t>228680</t>
  </si>
  <si>
    <t>Trinity Valley Community College</t>
  </si>
  <si>
    <t>225308</t>
  </si>
  <si>
    <t xml:space="preserve">Tyler Junior College </t>
  </si>
  <si>
    <t>229355</t>
  </si>
  <si>
    <t xml:space="preserve">Vernon Regional Junior College </t>
  </si>
  <si>
    <t>229504</t>
  </si>
  <si>
    <t xml:space="preserve">Victoria College </t>
  </si>
  <si>
    <t>229540</t>
  </si>
  <si>
    <t xml:space="preserve">Weatherford College </t>
  </si>
  <si>
    <t>229799</t>
  </si>
  <si>
    <t xml:space="preserve">Western Texas College </t>
  </si>
  <si>
    <t>229832</t>
  </si>
  <si>
    <t xml:space="preserve">Wharton County Junior College </t>
  </si>
  <si>
    <t>229841</t>
  </si>
  <si>
    <t>Texas Tech Univ Health Sciences Center</t>
  </si>
  <si>
    <t>CIP</t>
  </si>
  <si>
    <t xml:space="preserve"> </t>
  </si>
  <si>
    <t>Univ of Texas Health Science Center at Houston</t>
  </si>
  <si>
    <t>229300</t>
  </si>
  <si>
    <t>Univ of Texas Health Science Center at San Antonio</t>
  </si>
  <si>
    <t>228644</t>
  </si>
  <si>
    <t>Univ of Texas Medical Branch at Galveston</t>
  </si>
  <si>
    <t>228653</t>
  </si>
  <si>
    <t>Univ of Texas Southwestern Medical Center at Dallas</t>
  </si>
  <si>
    <t>228635</t>
  </si>
  <si>
    <t>Univ. of North Texas Health Science Center at Fort Worth</t>
  </si>
  <si>
    <t>228909</t>
  </si>
  <si>
    <t>Northwest Vista College (accd)</t>
  </si>
  <si>
    <t>VA</t>
  </si>
  <si>
    <t>University of Virginia</t>
  </si>
  <si>
    <t xml:space="preserve">Virginia Polytechnic Institute &amp; State University </t>
  </si>
  <si>
    <t>College of William &amp; Mary</t>
  </si>
  <si>
    <t xml:space="preserve">George Mason University </t>
  </si>
  <si>
    <t xml:space="preserve">Old Dominion University </t>
  </si>
  <si>
    <t xml:space="preserve">Virginia Commonwealth University  </t>
  </si>
  <si>
    <t xml:space="preserve">James Madison University  </t>
  </si>
  <si>
    <t>Radford University *</t>
  </si>
  <si>
    <t xml:space="preserve">Norfolk State University </t>
  </si>
  <si>
    <t xml:space="preserve">Virginia State University </t>
  </si>
  <si>
    <t xml:space="preserve">Longwood College </t>
  </si>
  <si>
    <t>Christopher Newport University</t>
  </si>
  <si>
    <t>Clinch Valley College of the University of Virginia</t>
  </si>
  <si>
    <t xml:space="preserve">Mary Washington College </t>
  </si>
  <si>
    <t xml:space="preserve">Richard Bland College </t>
  </si>
  <si>
    <t>All Com Col's</t>
  </si>
  <si>
    <t>Virginia Military Institute</t>
  </si>
  <si>
    <t>WV</t>
  </si>
  <si>
    <t xml:space="preserve">West Virginia University </t>
  </si>
  <si>
    <t xml:space="preserve">Marshall University </t>
  </si>
  <si>
    <t xml:space="preserve">Bluefield State College </t>
  </si>
  <si>
    <t xml:space="preserve">Concord College </t>
  </si>
  <si>
    <t xml:space="preserve">Fairmont State College </t>
  </si>
  <si>
    <t xml:space="preserve">Glenville State College </t>
  </si>
  <si>
    <t xml:space="preserve">Shepherd College </t>
  </si>
  <si>
    <t xml:space="preserve">West Liberty State College </t>
  </si>
  <si>
    <t xml:space="preserve">West Virginia University Institute of Technology </t>
  </si>
  <si>
    <t xml:space="preserve">West Virginia State College </t>
  </si>
  <si>
    <t>Potomac State College of WVU</t>
  </si>
  <si>
    <t>Southern WV Community and Technical College</t>
  </si>
  <si>
    <t>West Virginia Northern Community College</t>
  </si>
  <si>
    <t>West Virginia University at Parkersburg</t>
  </si>
  <si>
    <t>West Virginia Graduate College</t>
  </si>
  <si>
    <t>West Virginia School of Osteopathic Medicine</t>
  </si>
  <si>
    <t>Excluded by instructions</t>
  </si>
  <si>
    <t/>
  </si>
  <si>
    <t>State/Local General-Purpose Operating Appropriations, 1996-97</t>
  </si>
  <si>
    <t>State General-Purpose</t>
  </si>
  <si>
    <t>Local General-Purpose</t>
  </si>
  <si>
    <t>Appropriations</t>
  </si>
  <si>
    <t xml:space="preserve">State Operating </t>
  </si>
  <si>
    <t>Institutionally Identified State Special-Purpose Appropriations</t>
  </si>
  <si>
    <t>1996-97</t>
  </si>
  <si>
    <t>Appropriation for</t>
  </si>
  <si>
    <t>Community</t>
  </si>
  <si>
    <t>[w/cuts</t>
  </si>
  <si>
    <t>Health Professions</t>
  </si>
  <si>
    <t>or Public</t>
  </si>
  <si>
    <t>Non-Credit</t>
  </si>
  <si>
    <t>Agricultural</t>
  </si>
  <si>
    <t>Engineering</t>
  </si>
  <si>
    <t>Final</t>
  </si>
  <si>
    <t>made by</t>
  </si>
  <si>
    <t>Education</t>
  </si>
  <si>
    <t>Service</t>
  </si>
  <si>
    <t>Continuing</t>
  </si>
  <si>
    <t>Cooperative</t>
  </si>
  <si>
    <t>Experiment</t>
  </si>
  <si>
    <t>Research</t>
  </si>
  <si>
    <t>1995-96</t>
  </si>
  <si>
    <t>12/31/96]</t>
  </si>
  <si>
    <t>Veterinary Med</t>
  </si>
  <si>
    <t>Other</t>
  </si>
  <si>
    <t>Units</t>
  </si>
  <si>
    <t>Extension</t>
  </si>
  <si>
    <t>Stations</t>
  </si>
  <si>
    <t>1996-97 UF-HSC</t>
  </si>
  <si>
    <t>1996-97 USF-HSC</t>
  </si>
  <si>
    <t>Florida Gulf Coast University</t>
  </si>
  <si>
    <t>n/a</t>
  </si>
  <si>
    <t>St. Johns River</t>
  </si>
  <si>
    <t>Dalton School of Health Occupations</t>
  </si>
  <si>
    <t>LSU and Agricultural and Mech.College</t>
  </si>
  <si>
    <t xml:space="preserve">Univ of Southwestern Louisiana </t>
  </si>
  <si>
    <t>Northeast Louisiana Univ.</t>
  </si>
  <si>
    <t>NC Community College System</t>
  </si>
  <si>
    <t xml:space="preserve">Rogers State College </t>
  </si>
  <si>
    <t xml:space="preserve">Seminole State College </t>
  </si>
  <si>
    <t xml:space="preserve">Tulsa Community College </t>
  </si>
  <si>
    <t>Dallas Co. Community College District</t>
  </si>
  <si>
    <t>Alamo Community College</t>
  </si>
  <si>
    <t>Baylor College of Dentistry</t>
  </si>
  <si>
    <t>All CC's</t>
  </si>
  <si>
    <t>Potomac State College of West Virginia University</t>
  </si>
  <si>
    <t>Southern West Virginia  Community &amp; Technical College</t>
  </si>
  <si>
    <t>West Virginia Graduate College *</t>
  </si>
  <si>
    <t xml:space="preserve">* do not include this in total </t>
  </si>
  <si>
    <t xml:space="preserve">           Part II.</t>
  </si>
  <si>
    <t>Full Year Credit/Contact Hours</t>
  </si>
  <si>
    <t>_</t>
  </si>
  <si>
    <t xml:space="preserve">   Undergraduate</t>
  </si>
  <si>
    <t xml:space="preserve"> Graduate</t>
  </si>
  <si>
    <t>Cred Hrs</t>
  </si>
  <si>
    <t>Cont Hrs</t>
  </si>
  <si>
    <t>Four-Year 1</t>
  </si>
  <si>
    <t>x</t>
  </si>
  <si>
    <t>Four-Year 2</t>
  </si>
  <si>
    <t>Four-Year 3</t>
  </si>
  <si>
    <t>Four-Year 4</t>
  </si>
  <si>
    <t>Four-Year 5</t>
  </si>
  <si>
    <t>Four-Year 6</t>
  </si>
  <si>
    <t>Two-Year 1[Q]</t>
  </si>
  <si>
    <t>Two-Year 1[S]</t>
  </si>
  <si>
    <t>Two-Year 2</t>
  </si>
  <si>
    <t>Specialized</t>
  </si>
  <si>
    <t>TOTAL</t>
  </si>
  <si>
    <t>Two-Year 1</t>
  </si>
  <si>
    <t>na</t>
  </si>
  <si>
    <t>-</t>
  </si>
  <si>
    <t>Part III.</t>
  </si>
  <si>
    <t>Operating Appropriations</t>
  </si>
  <si>
    <t xml:space="preserve">State </t>
  </si>
  <si>
    <t>General</t>
  </si>
  <si>
    <t>Vet Med</t>
  </si>
  <si>
    <t>Local</t>
  </si>
  <si>
    <t>Final 1995-96</t>
  </si>
  <si>
    <t xml:space="preserve">   Full-Time-Equivalent Enrollment</t>
  </si>
  <si>
    <t>Undergrad.</t>
  </si>
  <si>
    <t>Non-Coll.</t>
  </si>
  <si>
    <t xml:space="preserve"> Combined</t>
  </si>
  <si>
    <t xml:space="preserve">  Undergrad.</t>
  </si>
  <si>
    <t xml:space="preserve">   Graduate</t>
  </si>
  <si>
    <t xml:space="preserve"> Non-Coll.</t>
  </si>
  <si>
    <t xml:space="preserve">    Combined</t>
  </si>
  <si>
    <t>S-Univs</t>
  </si>
  <si>
    <t>Q-2yrs</t>
  </si>
  <si>
    <t xml:space="preserve">   Per FTE</t>
  </si>
  <si>
    <t>Four-Year I</t>
  </si>
  <si>
    <t>Four-Year II</t>
  </si>
  <si>
    <t>Four-Year III</t>
  </si>
  <si>
    <t>Four-Year IV</t>
  </si>
  <si>
    <t>Four-Year V</t>
  </si>
  <si>
    <t>Four-Year VI</t>
  </si>
  <si>
    <t>Two-Year VII</t>
  </si>
  <si>
    <t>Two-Year VIII</t>
  </si>
  <si>
    <t>Specialized IX</t>
  </si>
  <si>
    <t>???????</t>
  </si>
  <si>
    <t>TABLE 1</t>
  </si>
  <si>
    <t>Estimated Full-Year Full-Time-Equivalent Undergraduate Enrollment</t>
  </si>
  <si>
    <t>Public Institutions, SREB States</t>
  </si>
  <si>
    <t>Four-Year</t>
  </si>
  <si>
    <t xml:space="preserve"> Two-Year</t>
  </si>
  <si>
    <t>I</t>
  </si>
  <si>
    <t>II</t>
  </si>
  <si>
    <t>III</t>
  </si>
  <si>
    <t>IV</t>
  </si>
  <si>
    <t>V</t>
  </si>
  <si>
    <t>VI</t>
  </si>
  <si>
    <t>VII</t>
  </si>
  <si>
    <t>VIII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</si>
  <si>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</si>
  <si>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</si>
  <si>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</si>
  <si>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</si>
  <si>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</si>
  <si>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</si>
  <si>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</si>
  <si>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</si>
  <si>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</si>
  <si>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</si>
  <si>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</si>
  <si>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</si>
  <si>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</si>
  <si>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</si>
  <si>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</si>
  <si>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</si>
  <si>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Estimated full-year full-time-equivalent (FTE) undergraduate enrollment for 1995-96 is derirved by taking the credit hours from the</t>
  </si>
  <si>
    <t>fall of 1995 along with the credit hours from most recent previous terms from the previous academic year (i.e. winter, spring, and summer</t>
  </si>
  <si>
    <t>1995) and by dividing total undergraduate semester credit hours by 30 and total undergraduate quarter hours by 45.  FTE derived from two-year</t>
  </si>
  <si>
    <t>institutions that use contact hours rather than credit hours to measure student activity are found in Table 3.</t>
  </si>
  <si>
    <t>TABLE 2</t>
  </si>
  <si>
    <t>Estimated Full-Year Full-Time-Equivalent Graduate Enrollment</t>
  </si>
  <si>
    <t>NOTES:  Estimated full-year full-time-equivalent (FTE) graduate enrollment for 1995-96 is derirved by taking the</t>
  </si>
  <si>
    <t>credit hours from the fall of 1995 along with the credit hours from most recent terms from the previous academic</t>
  </si>
  <si>
    <t>year (i.e. winter, spring, and summer 1995) and by dividing total graduate semester credit hours by 24 and total</t>
  </si>
  <si>
    <t>graduate quarter hours by 36.</t>
  </si>
  <si>
    <t>TABLE 3</t>
  </si>
  <si>
    <t>Estimated Full-Year Full-Time-Equivalent Contact-Hour Enrollment</t>
  </si>
  <si>
    <t>Two-Year</t>
  </si>
  <si>
    <t xml:space="preserve"> Total</t>
  </si>
  <si>
    <t>SREB Region</t>
  </si>
  <si>
    <t>NOTES:  Estimated full-year full-time-equivalent (FTE) contact hour enrollment for 1995-96 is derirved by taking the</t>
  </si>
  <si>
    <t>contact hours from the fall of 1995 along with the contact hours from most recent terms from the previous academic</t>
  </si>
  <si>
    <t>year (i.e. winter, spring, and summer 1995) and by dividing by 900 (the equivalent of a 30 hour week).</t>
  </si>
  <si>
    <t>TABLE 4</t>
  </si>
  <si>
    <t>Total Estimated Full-Year Full-Time-Equivalent Enrollment</t>
  </si>
  <si>
    <t>Estimated Full-Year 1996-97</t>
  </si>
  <si>
    <t>Mississippi*</t>
  </si>
  <si>
    <t xml:space="preserve"> * The estimate for Mississippi community colleges is based on fall term 1996 only.</t>
  </si>
  <si>
    <t>NOTES:  Estimated full-year full-time-equivalent (FTE) undergraduate enrollment for was derirved by taking the credit hours from the</t>
  </si>
  <si>
    <t>credit hours from the  fall of 1995 along with the credit hours from most recent previous terms from the previous academic year (i.e.</t>
  </si>
  <si>
    <t>winter, spring, and summer 1995) and by dividing total undergraduate semester credit hours by 30 and total undergraduate quarter hours by</t>
  </si>
  <si>
    <t>45.  Estimated full-year full-time-equivalent (FTE) graduate enrollment was derirved by taking the credit hours from the fall of 1995 along</t>
  </si>
  <si>
    <t>with the credit hours from most recent terms from the previous academic year (i.e. winter, spring, and summer 1995) and by dividing total</t>
  </si>
  <si>
    <t>graduate semester credit hours by 24 and total graduate quarter hours by 36.  Estimated full-year full-time-equivalent (FTE) contact hour</t>
  </si>
  <si>
    <t>enrollment for 1995-96 is derirved by taking the contact hours from the fall of 1995 along with the contact hours from most recent terms</t>
  </si>
  <si>
    <t>from the previous academic year (i.e. winter, spring, and summer 1995) and by dividing by 900 (the equivalent of a 30 hour week).</t>
  </si>
  <si>
    <t>TABLE 5a</t>
  </si>
  <si>
    <t>State and Local General Operating Appropriations</t>
  </si>
  <si>
    <t>(thousands)</t>
  </si>
  <si>
    <t>Total*</t>
  </si>
  <si>
    <t xml:space="preserve"> * Includes general purpose appropriations to SREB IX (Specialized) institutions,if any, which are not shown as a separate column.</t>
  </si>
  <si>
    <t xml:space="preserve"> "--" indicates not reported.</t>
  </si>
  <si>
    <t>NOTES:  Amounts for two-year institutions include state and local appropriations (where applicable). Amounts for four-year institutions include state</t>
  </si>
  <si>
    <t>appropriations only.   Tennessee appropriations include amounts for Centers of Excellence, Centers of Emphasis, Vocational Improvements, Instruction</t>
  </si>
  <si>
    <t>and Research Equipment, and interest income from Chairs of Excellence. The data for Texas include general revenue funds used to match employee</t>
  </si>
  <si>
    <t>contributions to the state retirement plans, the available "university fund" amounts used for current operations at three universities, overhead on</t>
  </si>
  <si>
    <t>sponsored research, and exclude "higher education assistance fund" amounts not used for current operations.  In West Virginia approximately 25 percent</t>
  </si>
  <si>
    <t>of regular student fees ($40.3 million) are dedicated by law to debt retirement and capital improvements.  In South Carolina also, a portion of tuition and</t>
  </si>
  <si>
    <t>fees revenues are dedicated to debt retirement.  The inability, in these two states, to use these revenues for operating expenses results in higher levels of</t>
  </si>
  <si>
    <t>state appropriations, and to some extent may overstate state support per student.</t>
  </si>
  <si>
    <t>Everything Automated Except This Column</t>
  </si>
  <si>
    <t>TABLE 5b</t>
  </si>
  <si>
    <t xml:space="preserve">State and Local Operating Appropriations </t>
  </si>
  <si>
    <t>Public Institutions, SREB States, 1996-97</t>
  </si>
  <si>
    <t>(in thousands, reflecting cuts announced by 12/31/96)</t>
  </si>
  <si>
    <t>General Purpose</t>
  </si>
  <si>
    <t>Special Purpose</t>
  </si>
  <si>
    <t>Purpose</t>
  </si>
  <si>
    <t>Health</t>
  </si>
  <si>
    <t>Special</t>
  </si>
  <si>
    <t>as a</t>
  </si>
  <si>
    <t>Professions</t>
  </si>
  <si>
    <t>Operating</t>
  </si>
  <si>
    <t>Percent</t>
  </si>
  <si>
    <t>Purpose*</t>
  </si>
  <si>
    <t>(by inst)</t>
  </si>
  <si>
    <t>(not by inst)</t>
  </si>
  <si>
    <t>of Total**</t>
  </si>
  <si>
    <t xml:space="preserve"> ** Total Operating Appropriations equals the sum of "General Pupose Appropriations" and "Special Purpose Appropriations."  Refer to the chapter introduction for the full definitions.</t>
  </si>
  <si>
    <t>NOTES:  Amounts for two-year institutions include state and local appropriations (where applicable). Amounts for four-year institutions include state appropriations only.   Tennessee appropriations include</t>
  </si>
  <si>
    <t>amounts for Centers of Excellence, Centers of Emphasis, Vocational Improvements, Instruction and Research Equipment, and interest income from Chairs of Excellence. The data for Texas include general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</si>
</sst>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;;;"/>
    <numFmt numFmtId="166" formatCode="0.000_)"/>
    <numFmt numFmtId="167" formatCode="0.0%"/>
    <numFmt numFmtId="168" formatCode="0.00_)"/>
    <numFmt numFmtId="169" formatCode="0.0_)"/>
    <numFmt numFmtId="170" formatCode="&quot;$&quot;#,##0.0_);\(&quot;$&quot;#,##0.0\)"/>
  </numFmts>
  <fonts count="32">
    <font>
      <sz val="8"/>
      <name val="Arial"/>
      <family val="0"/>
    </font>
    <font>
      <b/>
      <sz val="12"/>
      <color indexed="8"/>
      <name val="Swis721 Cn BT"/>
      <family val="2"/>
    </font>
    <font>
      <sz val="10"/>
      <color indexed="8"/>
      <name val="Swis721 Cn BT"/>
      <family val="0"/>
    </font>
    <font>
      <sz val="10"/>
      <color indexed="8"/>
      <name val="Arial"/>
      <family val="2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8"/>
      <color indexed="8"/>
      <name val="Swis721 Cn BT"/>
      <family val="2"/>
    </font>
    <font>
      <sz val="8"/>
      <color indexed="10"/>
      <name val="Arial"/>
      <family val="0"/>
    </font>
    <font>
      <sz val="8"/>
      <color indexed="8"/>
      <name val="Times New Roman"/>
      <family val="1"/>
    </font>
    <font>
      <b/>
      <sz val="12"/>
      <color indexed="8"/>
      <name val="Futura XBlk BT"/>
      <family val="2"/>
    </font>
    <font>
      <b/>
      <sz val="10"/>
      <color indexed="8"/>
      <name val="Swis721 Cn BT"/>
      <family val="2"/>
    </font>
    <font>
      <b/>
      <sz val="9"/>
      <color indexed="8"/>
      <name val="Swis721 Cn BT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2"/>
      <color indexed="8"/>
      <name val="Futura XBlk BT"/>
      <family val="2"/>
    </font>
    <font>
      <b/>
      <sz val="14"/>
      <color indexed="8"/>
      <name val="Futura XBlk BT"/>
      <family val="2"/>
    </font>
    <font>
      <b/>
      <sz val="8"/>
      <color indexed="8"/>
      <name val="Swis721 Cn BT"/>
      <family val="2"/>
    </font>
    <font>
      <b/>
      <sz val="14"/>
      <color indexed="8"/>
      <name val="FUTURA-X"/>
      <family val="0"/>
    </font>
    <font>
      <sz val="14"/>
      <color indexed="8"/>
      <name val="FUTURA-X"/>
      <family val="0"/>
    </font>
    <font>
      <sz val="14"/>
      <color indexed="8"/>
      <name val="Futura XBlk BT"/>
      <family val="2"/>
    </font>
    <font>
      <sz val="8"/>
      <color indexed="60"/>
      <name val="Arial"/>
      <family val="2"/>
    </font>
    <font>
      <sz val="20"/>
      <color indexed="8"/>
      <name val="Futura XBlk BT"/>
      <family val="2"/>
    </font>
    <font>
      <sz val="12"/>
      <color indexed="8"/>
      <name val="Swis721 Cn BT"/>
      <family val="2"/>
    </font>
    <font>
      <sz val="9"/>
      <color indexed="8"/>
      <name val="Swis721 Cn BT"/>
      <family val="0"/>
    </font>
    <font>
      <sz val="9"/>
      <color indexed="9"/>
      <name val="Swis721 Cn BT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37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centerContinuous"/>
      <protection/>
    </xf>
    <xf numFmtId="37" fontId="2" fillId="0" borderId="1" xfId="0" applyNumberFormat="1" applyFont="1" applyBorder="1" applyAlignment="1" applyProtection="1">
      <alignment horizontal="centerContinuous"/>
      <protection/>
    </xf>
    <xf numFmtId="37" fontId="2" fillId="0" borderId="3" xfId="0" applyNumberFormat="1" applyFont="1" applyBorder="1" applyAlignment="1" applyProtection="1">
      <alignment horizontal="centerContinuous"/>
      <protection/>
    </xf>
    <xf numFmtId="37" fontId="2" fillId="0" borderId="4" xfId="0" applyNumberFormat="1" applyFont="1" applyBorder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 horizontal="center"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9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 locked="0"/>
    </xf>
    <xf numFmtId="37" fontId="5" fillId="0" borderId="5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10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37" fontId="6" fillId="0" borderId="5" xfId="0" applyNumberFormat="1" applyFont="1" applyBorder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8" fillId="0" borderId="4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centerContinuous"/>
      <protection/>
    </xf>
    <xf numFmtId="37" fontId="3" fillId="0" borderId="10" xfId="0" applyNumberFormat="1" applyFont="1" applyBorder="1" applyAlignment="1" applyProtection="1">
      <alignment horizontal="centerContinuous"/>
      <protection/>
    </xf>
    <xf numFmtId="37" fontId="5" fillId="0" borderId="5" xfId="0" applyNumberFormat="1" applyFont="1" applyBorder="1" applyAlignment="1" applyProtection="1">
      <alignment horizontal="centerContinuous"/>
      <protection locked="0"/>
    </xf>
    <xf numFmtId="37" fontId="5" fillId="0" borderId="0" xfId="0" applyNumberFormat="1" applyFont="1" applyAlignment="1" applyProtection="1">
      <alignment horizontal="centerContinuous"/>
      <protection locked="0"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/>
      <protection locked="0"/>
    </xf>
    <xf numFmtId="164" fontId="5" fillId="0" borderId="5" xfId="0" applyNumberFormat="1" applyFont="1" applyBorder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5" fontId="5" fillId="0" borderId="4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center"/>
      <protection/>
    </xf>
    <xf numFmtId="37" fontId="6" fillId="0" borderId="5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/>
      <protection/>
    </xf>
    <xf numFmtId="37" fontId="3" fillId="2" borderId="0" xfId="0" applyNumberFormat="1" applyFont="1" applyFill="1" applyAlignment="1" applyProtection="1">
      <alignment/>
      <protection/>
    </xf>
    <xf numFmtId="37" fontId="3" fillId="2" borderId="5" xfId="0" applyNumberFormat="1" applyFont="1" applyFill="1" applyBorder="1" applyAlignment="1" applyProtection="1">
      <alignment horizontal="center"/>
      <protection/>
    </xf>
    <xf numFmtId="37" fontId="3" fillId="2" borderId="0" xfId="0" applyNumberFormat="1" applyFont="1" applyFill="1" applyAlignment="1" applyProtection="1">
      <alignment/>
      <protection locked="0"/>
    </xf>
    <xf numFmtId="37" fontId="3" fillId="2" borderId="5" xfId="0" applyNumberFormat="1" applyFont="1" applyFill="1" applyBorder="1" applyAlignment="1" applyProtection="1">
      <alignment/>
      <protection locked="0"/>
    </xf>
    <xf numFmtId="37" fontId="3" fillId="2" borderId="4" xfId="0" applyNumberFormat="1" applyFont="1" applyFill="1" applyBorder="1" applyAlignment="1" applyProtection="1">
      <alignment/>
      <protection locked="0"/>
    </xf>
    <xf numFmtId="37" fontId="3" fillId="2" borderId="10" xfId="0" applyNumberFormat="1" applyFont="1" applyFill="1" applyBorder="1" applyAlignment="1" applyProtection="1">
      <alignment/>
      <protection locked="0"/>
    </xf>
    <xf numFmtId="37" fontId="5" fillId="0" borderId="5" xfId="0" applyNumberFormat="1" applyFont="1" applyBorder="1" applyAlignment="1" applyProtection="1">
      <alignment horizontal="center"/>
      <protection locked="0"/>
    </xf>
    <xf numFmtId="37" fontId="3" fillId="3" borderId="0" xfId="0" applyNumberFormat="1" applyFont="1" applyFill="1" applyAlignment="1" applyProtection="1">
      <alignment/>
      <protection/>
    </xf>
    <xf numFmtId="37" fontId="3" fillId="3" borderId="5" xfId="0" applyNumberFormat="1" applyFont="1" applyFill="1" applyBorder="1" applyAlignment="1" applyProtection="1">
      <alignment horizontal="center"/>
      <protection/>
    </xf>
    <xf numFmtId="37" fontId="3" fillId="3" borderId="11" xfId="0" applyNumberFormat="1" applyFont="1" applyFill="1" applyBorder="1" applyAlignment="1" applyProtection="1">
      <alignment/>
      <protection/>
    </xf>
    <xf numFmtId="37" fontId="3" fillId="3" borderId="12" xfId="0" applyNumberFormat="1" applyFont="1" applyFill="1" applyBorder="1" applyAlignment="1" applyProtection="1">
      <alignment/>
      <protection/>
    </xf>
    <xf numFmtId="37" fontId="3" fillId="3" borderId="4" xfId="0" applyNumberFormat="1" applyFont="1" applyFill="1" applyBorder="1" applyAlignment="1" applyProtection="1">
      <alignment/>
      <protection/>
    </xf>
    <xf numFmtId="37" fontId="3" fillId="3" borderId="0" xfId="0" applyNumberFormat="1" applyFont="1" applyFill="1" applyAlignment="1" applyProtection="1">
      <alignment/>
      <protection locked="0"/>
    </xf>
    <xf numFmtId="37" fontId="3" fillId="3" borderId="11" xfId="0" applyNumberFormat="1" applyFont="1" applyFill="1" applyBorder="1" applyAlignment="1" applyProtection="1">
      <alignment/>
      <protection locked="0"/>
    </xf>
    <xf numFmtId="37" fontId="3" fillId="3" borderId="10" xfId="0" applyNumberFormat="1" applyFont="1" applyFill="1" applyBorder="1" applyAlignment="1" applyProtection="1">
      <alignment/>
      <protection locked="0"/>
    </xf>
    <xf numFmtId="37" fontId="3" fillId="3" borderId="5" xfId="0" applyNumberFormat="1" applyFont="1" applyFill="1" applyBorder="1" applyAlignment="1" applyProtection="1">
      <alignment/>
      <protection locked="0"/>
    </xf>
    <xf numFmtId="37" fontId="3" fillId="3" borderId="4" xfId="0" applyNumberFormat="1" applyFont="1" applyFill="1" applyBorder="1" applyAlignment="1" applyProtection="1">
      <alignment/>
      <protection locked="0"/>
    </xf>
    <xf numFmtId="37" fontId="3" fillId="3" borderId="12" xfId="0" applyNumberFormat="1" applyFont="1" applyFill="1" applyBorder="1" applyAlignment="1" applyProtection="1">
      <alignment/>
      <protection locked="0"/>
    </xf>
    <xf numFmtId="37" fontId="3" fillId="3" borderId="10" xfId="0" applyNumberFormat="1" applyFont="1" applyFill="1" applyBorder="1" applyAlignment="1" applyProtection="1">
      <alignment/>
      <protection/>
    </xf>
    <xf numFmtId="37" fontId="3" fillId="3" borderId="11" xfId="0" applyNumberFormat="1" applyFont="1" applyFill="1" applyBorder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/>
      <protection locked="0"/>
    </xf>
    <xf numFmtId="37" fontId="3" fillId="0" borderId="11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 locked="0"/>
    </xf>
    <xf numFmtId="37" fontId="3" fillId="0" borderId="11" xfId="0" applyNumberFormat="1" applyFont="1" applyBorder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3" fillId="4" borderId="0" xfId="0" applyNumberFormat="1" applyFont="1" applyFill="1" applyAlignment="1" applyProtection="1">
      <alignment/>
      <protection/>
    </xf>
    <xf numFmtId="37" fontId="3" fillId="4" borderId="5" xfId="0" applyNumberFormat="1" applyFont="1" applyFill="1" applyBorder="1" applyAlignment="1" applyProtection="1">
      <alignment horizontal="center"/>
      <protection/>
    </xf>
    <xf numFmtId="37" fontId="3" fillId="4" borderId="0" xfId="0" applyNumberFormat="1" applyFont="1" applyFill="1" applyAlignment="1" applyProtection="1">
      <alignment/>
      <protection locked="0"/>
    </xf>
    <xf numFmtId="37" fontId="3" fillId="4" borderId="5" xfId="0" applyNumberFormat="1" applyFont="1" applyFill="1" applyBorder="1" applyAlignment="1" applyProtection="1">
      <alignment/>
      <protection locked="0"/>
    </xf>
    <xf numFmtId="37" fontId="3" fillId="4" borderId="11" xfId="0" applyNumberFormat="1" applyFont="1" applyFill="1" applyBorder="1" applyAlignment="1" applyProtection="1">
      <alignment/>
      <protection locked="0"/>
    </xf>
    <xf numFmtId="37" fontId="3" fillId="4" borderId="4" xfId="0" applyNumberFormat="1" applyFont="1" applyFill="1" applyBorder="1" applyAlignment="1" applyProtection="1">
      <alignment/>
      <protection locked="0"/>
    </xf>
    <xf numFmtId="37" fontId="3" fillId="4" borderId="12" xfId="0" applyNumberFormat="1" applyFont="1" applyFill="1" applyBorder="1" applyAlignment="1" applyProtection="1">
      <alignment/>
      <protection locked="0"/>
    </xf>
    <xf numFmtId="37" fontId="3" fillId="4" borderId="10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5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5" xfId="0" applyNumberFormat="1" applyFont="1" applyBorder="1" applyAlignment="1" applyProtection="1">
      <alignment/>
      <protection/>
    </xf>
    <xf numFmtId="164" fontId="5" fillId="0" borderId="4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164" fontId="3" fillId="0" borderId="5" xfId="0" applyNumberFormat="1" applyFont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center"/>
      <protection/>
    </xf>
    <xf numFmtId="7" fontId="3" fillId="0" borderId="5" xfId="0" applyNumberFormat="1" applyFont="1" applyBorder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 horizontal="center"/>
      <protection locked="0"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37" fontId="14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 locked="0"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37" fontId="15" fillId="0" borderId="1" xfId="0" applyNumberFormat="1" applyFont="1" applyBorder="1" applyAlignment="1" applyProtection="1">
      <alignment/>
      <protection/>
    </xf>
    <xf numFmtId="37" fontId="15" fillId="0" borderId="2" xfId="0" applyNumberFormat="1" applyFont="1" applyBorder="1" applyAlignment="1" applyProtection="1">
      <alignment horizontal="centerContinuous"/>
      <protection/>
    </xf>
    <xf numFmtId="37" fontId="15" fillId="0" borderId="3" xfId="0" applyNumberFormat="1" applyFont="1" applyBorder="1" applyAlignment="1" applyProtection="1">
      <alignment horizontal="centerContinuous"/>
      <protection/>
    </xf>
    <xf numFmtId="37" fontId="15" fillId="0" borderId="1" xfId="0" applyNumberFormat="1" applyFont="1" applyBorder="1" applyAlignment="1" applyProtection="1">
      <alignment horizontal="center"/>
      <protection/>
    </xf>
    <xf numFmtId="37" fontId="15" fillId="0" borderId="1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 horizontal="centerContinuous"/>
      <protection/>
    </xf>
    <xf numFmtId="37" fontId="15" fillId="0" borderId="14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Alignment="1" applyProtection="1">
      <alignment horizontal="centerContinuous"/>
      <protection/>
    </xf>
    <xf numFmtId="37" fontId="15" fillId="0" borderId="5" xfId="0" applyNumberFormat="1" applyFont="1" applyBorder="1" applyAlignment="1" applyProtection="1">
      <alignment horizontal="centerContinuous"/>
      <protection/>
    </xf>
    <xf numFmtId="37" fontId="15" fillId="0" borderId="6" xfId="0" applyNumberFormat="1" applyFont="1" applyBorder="1" applyAlignment="1" applyProtection="1">
      <alignment horizontal="centerContinuous"/>
      <protection/>
    </xf>
    <xf numFmtId="37" fontId="15" fillId="0" borderId="4" xfId="0" applyNumberFormat="1" applyFont="1" applyBorder="1" applyAlignment="1" applyProtection="1">
      <alignment horizontal="centerContinuous"/>
      <protection/>
    </xf>
    <xf numFmtId="37" fontId="15" fillId="0" borderId="4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Alignment="1" applyProtection="1">
      <alignment horizontal="center"/>
      <protection/>
    </xf>
    <xf numFmtId="37" fontId="15" fillId="0" borderId="5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Continuous"/>
      <protection/>
    </xf>
    <xf numFmtId="37" fontId="15" fillId="0" borderId="9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5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 locked="0"/>
    </xf>
    <xf numFmtId="37" fontId="7" fillId="0" borderId="5" xfId="0" applyNumberFormat="1" applyFont="1" applyBorder="1" applyAlignment="1" applyProtection="1">
      <alignment/>
      <protection locked="0"/>
    </xf>
    <xf numFmtId="37" fontId="7" fillId="0" borderId="4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5" xfId="0" applyNumberFormat="1" applyFont="1" applyBorder="1" applyAlignment="1" applyProtection="1">
      <alignment horizontal="right"/>
      <protection/>
    </xf>
    <xf numFmtId="5" fontId="8" fillId="0" borderId="0" xfId="0" applyNumberFormat="1" applyFont="1" applyAlignment="1" applyProtection="1">
      <alignment/>
      <protection/>
    </xf>
    <xf numFmtId="5" fontId="8" fillId="0" borderId="5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 horizontal="center"/>
      <protection/>
    </xf>
    <xf numFmtId="37" fontId="8" fillId="2" borderId="0" xfId="0" applyNumberFormat="1" applyFont="1" applyFill="1" applyAlignment="1" applyProtection="1">
      <alignment/>
      <protection/>
    </xf>
    <xf numFmtId="37" fontId="8" fillId="2" borderId="5" xfId="0" applyNumberFormat="1" applyFont="1" applyFill="1" applyBorder="1" applyAlignment="1" applyProtection="1">
      <alignment/>
      <protection/>
    </xf>
    <xf numFmtId="37" fontId="8" fillId="2" borderId="0" xfId="0" applyNumberFormat="1" applyFont="1" applyFill="1" applyAlignment="1" applyProtection="1">
      <alignment/>
      <protection locked="0"/>
    </xf>
    <xf numFmtId="37" fontId="8" fillId="2" borderId="5" xfId="0" applyNumberFormat="1" applyFont="1" applyFill="1" applyBorder="1" applyAlignment="1" applyProtection="1">
      <alignment/>
      <protection locked="0"/>
    </xf>
    <xf numFmtId="37" fontId="8" fillId="2" borderId="4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center"/>
      <protection locked="0"/>
    </xf>
    <xf numFmtId="37" fontId="8" fillId="3" borderId="0" xfId="0" applyNumberFormat="1" applyFont="1" applyFill="1" applyAlignment="1" applyProtection="1">
      <alignment/>
      <protection/>
    </xf>
    <xf numFmtId="37" fontId="8" fillId="3" borderId="5" xfId="0" applyNumberFormat="1" applyFont="1" applyFill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3" borderId="4" xfId="0" applyNumberFormat="1" applyFont="1" applyFill="1" applyBorder="1" applyAlignment="1" applyProtection="1">
      <alignment/>
      <protection locked="0"/>
    </xf>
    <xf numFmtId="37" fontId="8" fillId="3" borderId="0" xfId="0" applyNumberFormat="1" applyFont="1" applyFill="1" applyAlignment="1" applyProtection="1">
      <alignment/>
      <protection locked="0"/>
    </xf>
    <xf numFmtId="37" fontId="8" fillId="3" borderId="11" xfId="0" applyNumberFormat="1" applyFont="1" applyFill="1" applyBorder="1" applyAlignment="1" applyProtection="1">
      <alignment/>
      <protection locked="0"/>
    </xf>
    <xf numFmtId="37" fontId="8" fillId="3" borderId="5" xfId="0" applyNumberFormat="1" applyFont="1" applyFill="1" applyBorder="1" applyAlignment="1" applyProtection="1">
      <alignment/>
      <protection locked="0"/>
    </xf>
    <xf numFmtId="37" fontId="8" fillId="3" borderId="15" xfId="0" applyNumberFormat="1" applyFont="1" applyFill="1" applyBorder="1" applyAlignment="1" applyProtection="1">
      <alignment/>
      <protection locked="0"/>
    </xf>
    <xf numFmtId="37" fontId="8" fillId="0" borderId="15" xfId="0" applyNumberFormat="1" applyFont="1" applyBorder="1" applyAlignment="1" applyProtection="1">
      <alignment/>
      <protection/>
    </xf>
    <xf numFmtId="37" fontId="8" fillId="3" borderId="11" xfId="0" applyNumberFormat="1" applyFont="1" applyFill="1" applyBorder="1" applyAlignment="1" applyProtection="1">
      <alignment/>
      <protection/>
    </xf>
    <xf numFmtId="37" fontId="8" fillId="3" borderId="4" xfId="0" applyNumberFormat="1" applyFont="1" applyFill="1" applyBorder="1" applyAlignment="1" applyProtection="1">
      <alignment/>
      <protection/>
    </xf>
    <xf numFmtId="37" fontId="8" fillId="3" borderId="15" xfId="0" applyNumberFormat="1" applyFont="1" applyFill="1" applyBorder="1" applyAlignment="1" applyProtection="1">
      <alignment/>
      <protection/>
    </xf>
    <xf numFmtId="37" fontId="8" fillId="3" borderId="0" xfId="0" applyNumberFormat="1" applyFont="1" applyFill="1" applyAlignment="1" applyProtection="1">
      <alignment horizontal="center"/>
      <protection/>
    </xf>
    <xf numFmtId="37" fontId="8" fillId="0" borderId="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right"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37" fontId="7" fillId="0" borderId="4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5" xfId="0" applyNumberFormat="1" applyFont="1" applyBorder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39" fontId="7" fillId="0" borderId="4" xfId="0" applyNumberFormat="1" applyFont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 horizontal="center"/>
      <protection/>
    </xf>
    <xf numFmtId="164" fontId="7" fillId="0" borderId="5" xfId="0" applyNumberFormat="1" applyFont="1" applyBorder="1" applyAlignment="1" applyProtection="1">
      <alignment/>
      <protection locked="0"/>
    </xf>
    <xf numFmtId="7" fontId="8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 horizontal="center"/>
      <protection/>
    </xf>
    <xf numFmtId="37" fontId="4" fillId="5" borderId="0" xfId="0" applyNumberFormat="1" applyFont="1" applyFill="1" applyAlignment="1" applyProtection="1">
      <alignment horizontal="right"/>
      <protection locked="0"/>
    </xf>
    <xf numFmtId="37" fontId="4" fillId="5" borderId="0" xfId="0" applyNumberFormat="1" applyFont="1" applyFill="1" applyAlignment="1" applyProtection="1">
      <alignment/>
      <protection locked="0"/>
    </xf>
    <xf numFmtId="37" fontId="4" fillId="2" borderId="0" xfId="0" applyNumberFormat="1" applyFont="1" applyFill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6" xfId="0" applyNumberFormat="1" applyFont="1" applyBorder="1" applyAlignment="1" applyProtection="1">
      <alignment horizontal="centerContinuous"/>
      <protection/>
    </xf>
    <xf numFmtId="37" fontId="13" fillId="0" borderId="6" xfId="0" applyNumberFormat="1" applyFont="1" applyBorder="1" applyAlignment="1" applyProtection="1">
      <alignment horizontal="center"/>
      <protection/>
    </xf>
    <xf numFmtId="37" fontId="13" fillId="0" borderId="6" xfId="0" applyNumberFormat="1" applyFont="1" applyBorder="1" applyAlignment="1" applyProtection="1">
      <alignment/>
      <protection/>
    </xf>
    <xf numFmtId="37" fontId="13" fillId="0" borderId="1" xfId="0" applyNumberFormat="1" applyFont="1" applyBorder="1" applyAlignment="1" applyProtection="1">
      <alignment horizontal="center"/>
      <protection/>
    </xf>
    <xf numFmtId="37" fontId="13" fillId="0" borderId="1" xfId="0" applyNumberFormat="1" applyFont="1" applyBorder="1" applyAlignment="1" applyProtection="1">
      <alignment horizontal="centerContinuous"/>
      <protection/>
    </xf>
    <xf numFmtId="37" fontId="13" fillId="0" borderId="3" xfId="0" applyNumberFormat="1" applyFont="1" applyBorder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 horizontal="centerContinuous"/>
      <protection/>
    </xf>
    <xf numFmtId="37" fontId="17" fillId="0" borderId="0" xfId="0" applyNumberFormat="1" applyFont="1" applyAlignment="1" applyProtection="1">
      <alignment horizontal="centerContinuous"/>
      <protection locked="0"/>
    </xf>
    <xf numFmtId="37" fontId="18" fillId="0" borderId="0" xfId="0" applyNumberFormat="1" applyFont="1" applyAlignment="1" applyProtection="1">
      <alignment horizontal="centerContinuous"/>
      <protection locked="0"/>
    </xf>
    <xf numFmtId="37" fontId="8" fillId="0" borderId="1" xfId="0" applyNumberFormat="1" applyFont="1" applyBorder="1" applyAlignment="1" applyProtection="1">
      <alignment/>
      <protection/>
    </xf>
    <xf numFmtId="37" fontId="15" fillId="0" borderId="3" xfId="0" applyNumberFormat="1" applyFont="1" applyBorder="1" applyAlignment="1" applyProtection="1">
      <alignment horizontal="center"/>
      <protection/>
    </xf>
    <xf numFmtId="37" fontId="8" fillId="0" borderId="1" xfId="0" applyNumberFormat="1" applyFont="1" applyBorder="1" applyAlignment="1" applyProtection="1">
      <alignment horizontal="center"/>
      <protection/>
    </xf>
    <xf numFmtId="37" fontId="8" fillId="0" borderId="3" xfId="0" applyNumberFormat="1" applyFont="1" applyBorder="1" applyAlignment="1" applyProtection="1">
      <alignment horizontal="center"/>
      <protection/>
    </xf>
    <xf numFmtId="37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37" fontId="20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21" fillId="0" borderId="8" xfId="0" applyNumberFormat="1" applyFont="1" applyBorder="1" applyAlignment="1" applyProtection="1">
      <alignment horizontal="centerContinuous"/>
      <protection/>
    </xf>
    <xf numFmtId="37" fontId="21" fillId="0" borderId="1" xfId="0" applyNumberFormat="1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 horizontal="center"/>
      <protection/>
    </xf>
    <xf numFmtId="37" fontId="21" fillId="0" borderId="5" xfId="0" applyNumberFormat="1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 horizontal="centerContinuous"/>
      <protection/>
    </xf>
    <xf numFmtId="37" fontId="23" fillId="0" borderId="0" xfId="0" applyNumberFormat="1" applyFont="1" applyAlignment="1" applyProtection="1">
      <alignment horizontal="centerContinuous"/>
      <protection/>
    </xf>
    <xf numFmtId="37" fontId="24" fillId="0" borderId="0" xfId="0" applyNumberFormat="1" applyFont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 horizontal="centerContinuous"/>
      <protection/>
    </xf>
    <xf numFmtId="37" fontId="21" fillId="0" borderId="3" xfId="0" applyNumberFormat="1" applyFont="1" applyBorder="1" applyAlignment="1" applyProtection="1">
      <alignment horizontal="centerContinuous"/>
      <protection/>
    </xf>
    <xf numFmtId="37" fontId="14" fillId="0" borderId="1" xfId="0" applyNumberFormat="1" applyFont="1" applyBorder="1" applyAlignment="1" applyProtection="1">
      <alignment/>
      <protection/>
    </xf>
    <xf numFmtId="37" fontId="21" fillId="0" borderId="3" xfId="0" applyNumberFormat="1" applyFont="1" applyBorder="1" applyAlignment="1" applyProtection="1">
      <alignment horizontal="center"/>
      <protection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 horizontal="center"/>
      <protection/>
    </xf>
    <xf numFmtId="37" fontId="14" fillId="0" borderId="6" xfId="0" applyNumberFormat="1" applyFont="1" applyBorder="1" applyAlignment="1" applyProtection="1">
      <alignment/>
      <protection/>
    </xf>
    <xf numFmtId="37" fontId="21" fillId="0" borderId="9" xfId="0" applyNumberFormat="1" applyFont="1" applyBorder="1" applyAlignment="1" applyProtection="1">
      <alignment horizontal="centerContinuous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Continuous"/>
      <protection/>
    </xf>
    <xf numFmtId="5" fontId="2" fillId="0" borderId="1" xfId="0" applyNumberFormat="1" applyFont="1" applyBorder="1" applyAlignment="1" applyProtection="1">
      <alignment horizontal="center"/>
      <protection/>
    </xf>
    <xf numFmtId="5" fontId="2" fillId="0" borderId="3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25" fillId="0" borderId="10" xfId="0" applyNumberFormat="1" applyFont="1" applyBorder="1" applyAlignment="1" applyProtection="1">
      <alignment horizontal="center" wrapText="1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8" fillId="0" borderId="8" xfId="0" applyNumberFormat="1" applyFont="1" applyBorder="1" applyAlignment="1" applyProtection="1">
      <alignment horizontal="centerContinuous"/>
      <protection/>
    </xf>
    <xf numFmtId="37" fontId="15" fillId="2" borderId="9" xfId="0" applyNumberFormat="1" applyFont="1" applyFill="1" applyBorder="1" applyAlignment="1" applyProtection="1">
      <alignment horizontal="centerContinuous"/>
      <protection/>
    </xf>
    <xf numFmtId="37" fontId="15" fillId="2" borderId="1" xfId="0" applyNumberFormat="1" applyFont="1" applyFill="1" applyBorder="1" applyAlignment="1" applyProtection="1">
      <alignment horizontal="center"/>
      <protection/>
    </xf>
    <xf numFmtId="37" fontId="15" fillId="2" borderId="1" xfId="0" applyNumberFormat="1" applyFont="1" applyFill="1" applyBorder="1" applyAlignment="1" applyProtection="1">
      <alignment horizontal="centerContinuous"/>
      <protection/>
    </xf>
    <xf numFmtId="37" fontId="15" fillId="2" borderId="3" xfId="0" applyNumberFormat="1" applyFont="1" applyFill="1" applyBorder="1" applyAlignment="1" applyProtection="1">
      <alignment horizontal="centerContinuous"/>
      <protection/>
    </xf>
    <xf numFmtId="37" fontId="15" fillId="2" borderId="5" xfId="0" applyNumberFormat="1" applyFont="1" applyFill="1" applyBorder="1" applyAlignment="1" applyProtection="1">
      <alignment horizontal="center"/>
      <protection/>
    </xf>
    <xf numFmtId="37" fontId="15" fillId="2" borderId="0" xfId="0" applyNumberFormat="1" applyFont="1" applyFill="1" applyAlignment="1" applyProtection="1">
      <alignment horizontal="centerContinuous"/>
      <protection/>
    </xf>
    <xf numFmtId="37" fontId="15" fillId="2" borderId="5" xfId="0" applyNumberFormat="1" applyFont="1" applyFill="1" applyBorder="1" applyAlignment="1" applyProtection="1">
      <alignment horizontal="centerContinuous"/>
      <protection/>
    </xf>
    <xf numFmtId="37" fontId="15" fillId="2" borderId="3" xfId="0" applyNumberFormat="1" applyFont="1" applyFill="1" applyBorder="1" applyAlignment="1" applyProtection="1">
      <alignment horizontal="center"/>
      <protection/>
    </xf>
    <xf numFmtId="5" fontId="8" fillId="0" borderId="1" xfId="0" applyNumberFormat="1" applyFont="1" applyBorder="1" applyAlignment="1" applyProtection="1">
      <alignment horizontal="center"/>
      <protection/>
    </xf>
    <xf numFmtId="5" fontId="8" fillId="0" borderId="3" xfId="0" applyNumberFormat="1" applyFont="1" applyBorder="1" applyAlignment="1" applyProtection="1">
      <alignment horizontal="center"/>
      <protection/>
    </xf>
    <xf numFmtId="5" fontId="8" fillId="2" borderId="3" xfId="0" applyNumberFormat="1" applyFont="1" applyFill="1" applyBorder="1" applyAlignment="1" applyProtection="1">
      <alignment horizontal="center"/>
      <protection/>
    </xf>
    <xf numFmtId="37" fontId="8" fillId="2" borderId="5" xfId="0" applyNumberFormat="1" applyFont="1" applyFill="1" applyBorder="1" applyAlignment="1" applyProtection="1">
      <alignment horizontal="center"/>
      <protection/>
    </xf>
    <xf numFmtId="168" fontId="8" fillId="0" borderId="0" xfId="0" applyNumberFormat="1" applyFont="1" applyAlignment="1" applyProtection="1">
      <alignment horizontal="center"/>
      <protection/>
    </xf>
    <xf numFmtId="37" fontId="8" fillId="2" borderId="14" xfId="0" applyNumberFormat="1" applyFont="1" applyFill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9" fontId="8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1" fillId="0" borderId="3" xfId="0" applyNumberFormat="1" applyFont="1" applyBorder="1" applyAlignment="1" applyProtection="1">
      <alignment/>
      <protection/>
    </xf>
    <xf numFmtId="37" fontId="21" fillId="0" borderId="6" xfId="0" applyNumberFormat="1" applyFont="1" applyBorder="1" applyAlignment="1" applyProtection="1">
      <alignment horizontal="centerContinuous" vertical="center"/>
      <protection/>
    </xf>
    <xf numFmtId="37" fontId="21" fillId="0" borderId="14" xfId="0" applyNumberFormat="1" applyFont="1" applyBorder="1" applyAlignment="1" applyProtection="1">
      <alignment horizontal="centerContinuous" vertical="center"/>
      <protection/>
    </xf>
    <xf numFmtId="37" fontId="21" fillId="0" borderId="6" xfId="0" applyNumberFormat="1" applyFont="1" applyBorder="1" applyAlignment="1" applyProtection="1">
      <alignment horizontal="centerContinuous"/>
      <protection/>
    </xf>
    <xf numFmtId="37" fontId="21" fillId="0" borderId="14" xfId="0" applyNumberFormat="1" applyFont="1" applyBorder="1" applyAlignment="1" applyProtection="1">
      <alignment horizontal="centerContinuous"/>
      <protection/>
    </xf>
    <xf numFmtId="37" fontId="21" fillId="0" borderId="6" xfId="0" applyNumberFormat="1" applyFont="1" applyBorder="1" applyAlignment="1" applyProtection="1">
      <alignment horizontal="center"/>
      <protection/>
    </xf>
    <xf numFmtId="37" fontId="21" fillId="0" borderId="14" xfId="0" applyNumberFormat="1" applyFont="1" applyBorder="1" applyAlignment="1" applyProtection="1">
      <alignment horizontal="center"/>
      <protection/>
    </xf>
    <xf numFmtId="5" fontId="2" fillId="0" borderId="0" xfId="0" applyNumberFormat="1" applyFont="1" applyAlignment="1" applyProtection="1">
      <alignment horizontal="center"/>
      <protection/>
    </xf>
    <xf numFmtId="5" fontId="2" fillId="0" borderId="5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37" fontId="26" fillId="0" borderId="10" xfId="0" applyNumberFormat="1" applyFont="1" applyBorder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7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fill"/>
      <protection/>
    </xf>
    <xf numFmtId="37" fontId="2" fillId="2" borderId="0" xfId="0" applyNumberFormat="1" applyFont="1" applyFill="1" applyAlignment="1" applyProtection="1">
      <alignment horizontal="fill"/>
      <protection/>
    </xf>
    <xf numFmtId="37" fontId="13" fillId="0" borderId="0" xfId="0" applyNumberFormat="1" applyFon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Graph!$A$4:$A$12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VII</c:v>
                </c:pt>
                <c:pt idx="8">
                  <c:v>VIII</c:v>
                </c:pt>
              </c:strCache>
            </c:strRef>
          </c:cat>
          <c:val>
            <c:numRef>
              <c:f>Graph!$B$4:$B$12</c:f>
              <c:numCache>
                <c:ptCount val="9"/>
                <c:pt idx="0">
                  <c:v>6.2941027125962234</c:v>
                </c:pt>
                <c:pt idx="1">
                  <c:v>5.091776768065325</c:v>
                </c:pt>
                <c:pt idx="2">
                  <c:v>4.418744429838897</c:v>
                </c:pt>
                <c:pt idx="3">
                  <c:v>4.095246431869608</c:v>
                </c:pt>
                <c:pt idx="4">
                  <c:v>4.09263349783628</c:v>
                </c:pt>
                <c:pt idx="5">
                  <c:v>4.303618711385702</c:v>
                </c:pt>
                <c:pt idx="7">
                  <c:v>3.471541180696017</c:v>
                </c:pt>
                <c:pt idx="8">
                  <c:v>4.486129394766415</c:v>
                </c:pt>
              </c:numCache>
            </c:numRef>
          </c:val>
          <c:shape val="box"/>
        </c:ser>
        <c:shape val="box"/>
        <c:axId val="64249533"/>
        <c:axId val="41374886"/>
        <c:axId val="36829655"/>
      </c:bar3D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64249533"/>
        <c:crossesAt val="1"/>
        <c:crossBetween val="between"/>
        <c:dispUnits/>
      </c:valAx>
      <c:serAx>
        <c:axId val="36829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13748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9525</xdr:rowOff>
    </xdr:from>
    <xdr:to>
      <xdr:col>3</xdr:col>
      <xdr:colOff>1895475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914400" y="1819275"/>
        <a:ext cx="18954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38100</xdr:colOff>
      <xdr:row>10</xdr:row>
      <xdr:rowOff>9525</xdr:rowOff>
    </xdr:from>
    <xdr:to>
      <xdr:col>3</xdr:col>
      <xdr:colOff>152400</xdr:colOff>
      <xdr:row>40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00" y="1981200"/>
          <a:ext cx="104775" cy="445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1266825</xdr:colOff>
      <xdr:row>38</xdr:row>
      <xdr:rowOff>123825</xdr:rowOff>
    </xdr:from>
    <xdr:to>
      <xdr:col>3</xdr:col>
      <xdr:colOff>1314450</xdr:colOff>
      <xdr:row>40</xdr:row>
      <xdr:rowOff>57150</xdr:rowOff>
    </xdr:to>
    <xdr:sp>
      <xdr:nvSpPr>
        <xdr:cNvPr id="3" name="Oval 3"/>
        <xdr:cNvSpPr>
          <a:spLocks/>
        </xdr:cNvSpPr>
      </xdr:nvSpPr>
      <xdr:spPr>
        <a:xfrm>
          <a:off x="2181225" y="6172200"/>
          <a:ext cx="47625" cy="2190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228600</xdr:colOff>
      <xdr:row>41</xdr:row>
      <xdr:rowOff>57150</xdr:rowOff>
    </xdr:from>
    <xdr:to>
      <xdr:col>3</xdr:col>
      <xdr:colOff>1114425</xdr:colOff>
      <xdr:row>41</xdr:row>
      <xdr:rowOff>57150</xdr:rowOff>
    </xdr:to>
    <xdr:sp>
      <xdr:nvSpPr>
        <xdr:cNvPr id="4" name="Line 4"/>
        <xdr:cNvSpPr>
          <a:spLocks/>
        </xdr:cNvSpPr>
      </xdr:nvSpPr>
      <xdr:spPr>
        <a:xfrm>
          <a:off x="1143000" y="653415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1447800</xdr:colOff>
      <xdr:row>41</xdr:row>
      <xdr:rowOff>57150</xdr:rowOff>
    </xdr:from>
    <xdr:to>
      <xdr:col>3</xdr:col>
      <xdr:colOff>1676400</xdr:colOff>
      <xdr:row>41</xdr:row>
      <xdr:rowOff>57150</xdr:rowOff>
    </xdr:to>
    <xdr:sp>
      <xdr:nvSpPr>
        <xdr:cNvPr id="5" name="Line 5"/>
        <xdr:cNvSpPr>
          <a:spLocks/>
        </xdr:cNvSpPr>
      </xdr:nvSpPr>
      <xdr:spPr>
        <a:xfrm>
          <a:off x="2362200" y="6534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600075</xdr:colOff>
      <xdr:row>41</xdr:row>
      <xdr:rowOff>57150</xdr:rowOff>
    </xdr:from>
    <xdr:to>
      <xdr:col>3</xdr:col>
      <xdr:colOff>800100</xdr:colOff>
      <xdr:row>43</xdr:row>
      <xdr:rowOff>9525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1514475" y="6534150"/>
          <a:ext cx="200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Four-Year</a:t>
          </a:r>
        </a:p>
      </xdr:txBody>
    </xdr:sp>
    <xdr:clientData fLocksWithSheet="0"/>
  </xdr:twoCellAnchor>
  <xdr:twoCellAnchor>
    <xdr:from>
      <xdr:col>3</xdr:col>
      <xdr:colOff>1447800</xdr:colOff>
      <xdr:row>41</xdr:row>
      <xdr:rowOff>57150</xdr:rowOff>
    </xdr:from>
    <xdr:to>
      <xdr:col>3</xdr:col>
      <xdr:colOff>1638300</xdr:colOff>
      <xdr:row>42</xdr:row>
      <xdr:rowOff>104775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2362200" y="6534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Two-Year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E1198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0.66015625" defaultRowHeight="11.25"/>
  <cols>
    <col min="1" max="1" width="3.66015625" style="0" customWidth="1"/>
    <col min="2" max="2" width="4.66015625" style="0" customWidth="1"/>
    <col min="3" max="3" width="12.66015625" style="0" customWidth="1"/>
    <col min="4" max="4" width="6.66015625" style="0" customWidth="1"/>
    <col min="5" max="5" width="3.66015625" style="0" customWidth="1"/>
    <col min="6" max="9" width="6.66015625" style="0" customWidth="1"/>
    <col min="10" max="19" width="7.66015625" style="0" customWidth="1"/>
    <col min="20" max="20" width="6.66015625" style="0" customWidth="1"/>
    <col min="22" max="22" width="14.66015625" style="0" customWidth="1"/>
    <col min="23" max="23" width="13.66015625" style="0" customWidth="1"/>
    <col min="25" max="25" width="9.66015625" style="0" customWidth="1"/>
    <col min="27" max="27" width="1.66796875" style="0" customWidth="1"/>
    <col min="29" max="36" width="6.66015625" style="0" customWidth="1"/>
    <col min="37" max="37" width="7.66015625" style="0" customWidth="1"/>
    <col min="38" max="38" width="9.66015625" style="0" customWidth="1"/>
    <col min="40" max="41" width="6.66015625" style="0" customWidth="1"/>
    <col min="42" max="43" width="8.66015625" style="0" customWidth="1"/>
    <col min="44" max="44" width="6.66015625" style="0" customWidth="1"/>
    <col min="45" max="45" width="7.66015625" style="0" customWidth="1"/>
    <col min="46" max="46" width="8.66015625" style="0" customWidth="1"/>
    <col min="47" max="47" width="11.66015625" style="0" customWidth="1"/>
    <col min="49" max="49" width="6.66015625" style="0" customWidth="1"/>
    <col min="50" max="50" width="4.66015625" style="0" customWidth="1"/>
    <col min="51" max="53" width="6.66015625" style="0" customWidth="1"/>
    <col min="55" max="59" width="7.66015625" style="0" customWidth="1"/>
    <col min="60" max="60" width="6.66015625" style="0" customWidth="1"/>
    <col min="61" max="61" width="7.66015625" style="0" customWidth="1"/>
    <col min="62" max="62" width="6.66015625" style="0" customWidth="1"/>
    <col min="63" max="63" width="8.66015625" style="0" customWidth="1"/>
    <col min="65" max="65" width="8.66015625" style="0" customWidth="1"/>
    <col min="66" max="68" width="7.66015625" style="0" customWidth="1"/>
    <col min="69" max="69" width="6.66015625" style="0" customWidth="1"/>
    <col min="70" max="71" width="7.66015625" style="0" customWidth="1"/>
    <col min="72" max="72" width="8.66015625" style="0" customWidth="1"/>
    <col min="73" max="73" width="6.66015625" style="0" customWidth="1"/>
    <col min="74" max="74" width="9.66015625" style="0" customWidth="1"/>
    <col min="75" max="75" width="8.66015625" style="0" customWidth="1"/>
    <col min="76" max="78" width="7.66015625" style="0" customWidth="1"/>
    <col min="79" max="79" width="6.66015625" style="0" customWidth="1"/>
    <col min="80" max="81" width="7.66015625" style="0" customWidth="1"/>
    <col min="82" max="82" width="8.66015625" style="0" customWidth="1"/>
    <col min="83" max="83" width="6.66015625" style="0" customWidth="1"/>
    <col min="84" max="84" width="9.66015625" style="0" customWidth="1"/>
    <col min="87" max="94" width="6.66015625" style="0" customWidth="1"/>
    <col min="95" max="95" width="13.66015625" style="0" customWidth="1"/>
    <col min="98" max="98" width="14.66015625" style="0" customWidth="1"/>
    <col min="99" max="99" width="11.66015625" style="0" customWidth="1"/>
    <col min="103" max="103" width="7.66015625" style="0" customWidth="1"/>
    <col min="104" max="104" width="11.66015625" style="0" customWidth="1"/>
    <col min="107" max="107" width="9.66015625" style="0" customWidth="1"/>
    <col min="108" max="108" width="13.66015625" style="0" customWidth="1"/>
    <col min="109" max="110" width="3.66015625" style="0" customWidth="1"/>
    <col min="112" max="112" width="3.66015625" style="0" customWidth="1"/>
    <col min="114" max="114" width="3.66015625" style="0" customWidth="1"/>
    <col min="116" max="116" width="3.66015625" style="0" customWidth="1"/>
    <col min="118" max="118" width="3.66015625" style="0" customWidth="1"/>
    <col min="126" max="126" width="5.66015625" style="0" customWidth="1"/>
    <col min="140" max="140" width="5.66015625" style="0" customWidth="1"/>
    <col min="141" max="141" width="62.66015625" style="0" customWidth="1"/>
    <col min="142" max="143" width="5.66015625" style="0" customWidth="1"/>
    <col min="144" max="144" width="62.66015625" style="0" customWidth="1"/>
    <col min="145" max="146" width="5.66015625" style="0" customWidth="1"/>
    <col min="147" max="147" width="62.66015625" style="0" customWidth="1"/>
    <col min="148" max="149" width="5.66015625" style="0" customWidth="1"/>
    <col min="150" max="150" width="62.66015625" style="0" customWidth="1"/>
    <col min="151" max="151" width="5.66015625" style="0" customWidth="1"/>
  </cols>
  <sheetData>
    <row r="1" spans="1:25" ht="15">
      <c r="A1" s="1" t="s">
        <v>45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3"/>
      <c r="B3" s="3"/>
      <c r="C3" s="3"/>
      <c r="D3" s="3"/>
      <c r="E3" s="3"/>
      <c r="F3" s="4" t="s">
        <v>46</v>
      </c>
      <c r="G3" s="5"/>
      <c r="H3" s="5"/>
      <c r="I3" s="5"/>
      <c r="J3" s="6"/>
      <c r="K3" s="4" t="s">
        <v>46</v>
      </c>
      <c r="L3" s="5"/>
      <c r="M3" s="5"/>
      <c r="N3" s="5"/>
      <c r="O3" s="6"/>
      <c r="P3" s="4" t="s">
        <v>47</v>
      </c>
      <c r="Q3" s="5"/>
      <c r="R3" s="5"/>
      <c r="S3" s="5"/>
      <c r="T3" s="6"/>
      <c r="U3" s="2"/>
      <c r="V3" s="2"/>
      <c r="W3" s="2"/>
      <c r="X3" s="2"/>
      <c r="Y3" s="2"/>
    </row>
    <row r="4" spans="1:25" ht="12.75">
      <c r="A4" s="2"/>
      <c r="B4" s="2" t="s">
        <v>48</v>
      </c>
      <c r="C4" s="2"/>
      <c r="D4" s="2"/>
      <c r="E4" s="2"/>
      <c r="F4" s="7" t="s">
        <v>49</v>
      </c>
      <c r="G4" s="8"/>
      <c r="H4" s="8"/>
      <c r="I4" s="8"/>
      <c r="J4" s="9"/>
      <c r="K4" s="7" t="s">
        <v>50</v>
      </c>
      <c r="L4" s="8"/>
      <c r="M4" s="8"/>
      <c r="N4" s="8"/>
      <c r="O4" s="9"/>
      <c r="P4" s="7" t="s">
        <v>49</v>
      </c>
      <c r="Q4" s="8"/>
      <c r="R4" s="8"/>
      <c r="S4" s="8"/>
      <c r="T4" s="9"/>
      <c r="U4" s="2"/>
      <c r="V4" s="2"/>
      <c r="W4" s="2"/>
      <c r="X4" s="2"/>
      <c r="Y4" s="2"/>
    </row>
    <row r="5" spans="1:25" ht="12.7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2" t="s">
        <v>56</v>
      </c>
      <c r="G5" s="13" t="s">
        <v>57</v>
      </c>
      <c r="H5" s="13" t="s">
        <v>58</v>
      </c>
      <c r="I5" s="14" t="s">
        <v>59</v>
      </c>
      <c r="J5" s="14" t="s">
        <v>60</v>
      </c>
      <c r="K5" s="12" t="s">
        <v>56</v>
      </c>
      <c r="L5" s="13" t="s">
        <v>57</v>
      </c>
      <c r="M5" s="13" t="s">
        <v>58</v>
      </c>
      <c r="N5" s="14" t="s">
        <v>59</v>
      </c>
      <c r="O5" s="14" t="s">
        <v>60</v>
      </c>
      <c r="P5" s="12" t="s">
        <v>56</v>
      </c>
      <c r="Q5" s="13" t="s">
        <v>57</v>
      </c>
      <c r="R5" s="13" t="s">
        <v>58</v>
      </c>
      <c r="S5" s="14" t="s">
        <v>59</v>
      </c>
      <c r="T5" s="14" t="s">
        <v>60</v>
      </c>
      <c r="U5" s="2"/>
      <c r="V5" s="2"/>
      <c r="W5" s="2"/>
      <c r="X5" s="2"/>
      <c r="Y5" s="2"/>
    </row>
    <row r="6" spans="1:25" ht="12.75">
      <c r="A6" s="15"/>
      <c r="B6" s="16"/>
      <c r="C6" s="15"/>
      <c r="D6" s="15"/>
      <c r="E6" s="17"/>
      <c r="F6" s="15"/>
      <c r="G6" s="15"/>
      <c r="H6" s="15"/>
      <c r="I6" s="17"/>
      <c r="J6" s="17"/>
      <c r="K6" s="18"/>
      <c r="L6" s="15"/>
      <c r="M6" s="15"/>
      <c r="N6" s="17"/>
      <c r="O6" s="19"/>
      <c r="P6" s="18"/>
      <c r="Q6" s="15"/>
      <c r="R6" s="15"/>
      <c r="S6" s="17"/>
      <c r="T6" s="19"/>
      <c r="U6" s="15"/>
      <c r="V6" s="15"/>
      <c r="W6" s="15"/>
      <c r="X6" s="15"/>
      <c r="Y6" s="15"/>
    </row>
    <row r="7" spans="1:25" ht="12.75">
      <c r="A7" s="15" t="s">
        <v>61</v>
      </c>
      <c r="B7" s="16" t="s">
        <v>62</v>
      </c>
      <c r="C7" s="15" t="s">
        <v>63</v>
      </c>
      <c r="D7" s="21">
        <v>100858</v>
      </c>
      <c r="E7" s="22">
        <v>1</v>
      </c>
      <c r="F7" s="23">
        <v>171505</v>
      </c>
      <c r="G7" s="23">
        <v>160419</v>
      </c>
      <c r="H7" s="23">
        <v>59851</v>
      </c>
      <c r="I7" s="24">
        <v>179176</v>
      </c>
      <c r="J7" s="24">
        <f aca="true" t="shared" si="0" ref="J7:J22">SUM(F7:I7)</f>
        <v>570951</v>
      </c>
      <c r="K7" s="25"/>
      <c r="L7" s="23"/>
      <c r="M7" s="23"/>
      <c r="N7" s="24"/>
      <c r="O7" s="26"/>
      <c r="P7" s="25">
        <v>19306</v>
      </c>
      <c r="Q7" s="23">
        <v>18282</v>
      </c>
      <c r="R7" s="23">
        <v>12966</v>
      </c>
      <c r="S7" s="24">
        <v>14738</v>
      </c>
      <c r="T7" s="26">
        <f aca="true" t="shared" si="1" ref="T7:T22">SUM(P7:S7)</f>
        <v>65292</v>
      </c>
      <c r="U7" s="15"/>
      <c r="V7" s="15"/>
      <c r="W7" s="15"/>
      <c r="X7" s="15"/>
      <c r="Y7" s="15"/>
    </row>
    <row r="8" spans="1:25" ht="12.75">
      <c r="A8" s="15" t="s">
        <v>61</v>
      </c>
      <c r="B8" s="16" t="s">
        <v>62</v>
      </c>
      <c r="C8" s="15" t="s">
        <v>64</v>
      </c>
      <c r="D8" s="21">
        <v>100751</v>
      </c>
      <c r="E8" s="22">
        <v>1</v>
      </c>
      <c r="F8" s="23"/>
      <c r="G8" s="23">
        <v>184514</v>
      </c>
      <c r="H8" s="23">
        <v>46411</v>
      </c>
      <c r="I8" s="24">
        <v>190100</v>
      </c>
      <c r="J8" s="24">
        <f t="shared" si="0"/>
        <v>421025</v>
      </c>
      <c r="K8" s="25"/>
      <c r="L8" s="23"/>
      <c r="M8" s="23"/>
      <c r="N8" s="24"/>
      <c r="O8" s="26"/>
      <c r="P8" s="25"/>
      <c r="Q8" s="23">
        <v>26549</v>
      </c>
      <c r="R8" s="23">
        <v>13890</v>
      </c>
      <c r="S8" s="24">
        <v>32878</v>
      </c>
      <c r="T8" s="26">
        <f t="shared" si="1"/>
        <v>73317</v>
      </c>
      <c r="U8" s="15"/>
      <c r="V8" s="15"/>
      <c r="W8" s="15"/>
      <c r="X8" s="15"/>
      <c r="Y8" s="15"/>
    </row>
    <row r="9" spans="1:25" ht="12.75">
      <c r="A9" s="15" t="s">
        <v>61</v>
      </c>
      <c r="B9" s="16" t="s">
        <v>62</v>
      </c>
      <c r="C9" s="15" t="s">
        <v>65</v>
      </c>
      <c r="D9" s="21">
        <v>100663</v>
      </c>
      <c r="E9" s="22">
        <v>2</v>
      </c>
      <c r="F9" s="23">
        <v>80810</v>
      </c>
      <c r="G9" s="23">
        <v>73189</v>
      </c>
      <c r="H9" s="23">
        <v>37268</v>
      </c>
      <c r="I9" s="24">
        <v>83303</v>
      </c>
      <c r="J9" s="24">
        <f t="shared" si="0"/>
        <v>274570</v>
      </c>
      <c r="K9" s="25"/>
      <c r="L9" s="23"/>
      <c r="M9" s="23"/>
      <c r="N9" s="24"/>
      <c r="O9" s="26"/>
      <c r="P9" s="25">
        <v>11047</v>
      </c>
      <c r="Q9" s="23">
        <v>9918</v>
      </c>
      <c r="R9" s="23">
        <v>9577</v>
      </c>
      <c r="S9" s="24">
        <v>10318</v>
      </c>
      <c r="T9" s="26">
        <f t="shared" si="1"/>
        <v>40860</v>
      </c>
      <c r="U9" s="15"/>
      <c r="V9" s="15"/>
      <c r="W9" s="15"/>
      <c r="X9" s="15"/>
      <c r="Y9" s="15"/>
    </row>
    <row r="10" spans="1:25" ht="12.75">
      <c r="A10" s="15" t="s">
        <v>61</v>
      </c>
      <c r="B10" s="16" t="s">
        <v>62</v>
      </c>
      <c r="C10" s="15" t="s">
        <v>66</v>
      </c>
      <c r="D10" s="21">
        <v>100654</v>
      </c>
      <c r="E10" s="22">
        <v>3</v>
      </c>
      <c r="F10" s="23"/>
      <c r="G10" s="23">
        <v>54836</v>
      </c>
      <c r="H10" s="23">
        <v>9551</v>
      </c>
      <c r="I10" s="24">
        <v>56543</v>
      </c>
      <c r="J10" s="24">
        <f t="shared" si="0"/>
        <v>120930</v>
      </c>
      <c r="K10" s="25"/>
      <c r="L10" s="23"/>
      <c r="M10" s="23"/>
      <c r="N10" s="24"/>
      <c r="O10" s="26"/>
      <c r="P10" s="25"/>
      <c r="Q10" s="23">
        <v>8512</v>
      </c>
      <c r="R10" s="23">
        <v>6117</v>
      </c>
      <c r="S10" s="24">
        <v>7994</v>
      </c>
      <c r="T10" s="26">
        <f t="shared" si="1"/>
        <v>22623</v>
      </c>
      <c r="U10" s="15"/>
      <c r="V10" s="15"/>
      <c r="W10" s="15"/>
      <c r="X10" s="15"/>
      <c r="Y10" s="15"/>
    </row>
    <row r="11" spans="1:25" ht="12.75">
      <c r="A11" s="15" t="s">
        <v>61</v>
      </c>
      <c r="B11" s="16" t="s">
        <v>62</v>
      </c>
      <c r="C11" s="15" t="s">
        <v>67</v>
      </c>
      <c r="D11" s="21">
        <v>101480</v>
      </c>
      <c r="E11" s="22">
        <v>3</v>
      </c>
      <c r="F11" s="23">
        <v>3622</v>
      </c>
      <c r="G11" s="23">
        <v>80772</v>
      </c>
      <c r="H11" s="23">
        <v>27633</v>
      </c>
      <c r="I11" s="24">
        <v>87014</v>
      </c>
      <c r="J11" s="24">
        <f t="shared" si="0"/>
        <v>199041</v>
      </c>
      <c r="K11" s="25"/>
      <c r="L11" s="23"/>
      <c r="M11" s="23"/>
      <c r="N11" s="24"/>
      <c r="O11" s="26"/>
      <c r="P11" s="25">
        <v>918</v>
      </c>
      <c r="Q11" s="23">
        <v>6821</v>
      </c>
      <c r="R11" s="23">
        <v>6575</v>
      </c>
      <c r="S11" s="24">
        <v>6691</v>
      </c>
      <c r="T11" s="26">
        <f t="shared" si="1"/>
        <v>21005</v>
      </c>
      <c r="U11" s="15"/>
      <c r="V11" s="15"/>
      <c r="W11" s="15"/>
      <c r="X11" s="15"/>
      <c r="Y11" s="15"/>
    </row>
    <row r="12" spans="1:25" ht="12.75">
      <c r="A12" s="15" t="s">
        <v>61</v>
      </c>
      <c r="B12" s="16" t="s">
        <v>62</v>
      </c>
      <c r="C12" s="15" t="s">
        <v>68</v>
      </c>
      <c r="D12" s="21">
        <v>100706</v>
      </c>
      <c r="E12" s="22">
        <v>3</v>
      </c>
      <c r="F12" s="23"/>
      <c r="G12" s="23">
        <v>46364</v>
      </c>
      <c r="H12" s="23">
        <v>15648</v>
      </c>
      <c r="I12" s="24">
        <v>50874</v>
      </c>
      <c r="J12" s="24">
        <f t="shared" si="0"/>
        <v>112886</v>
      </c>
      <c r="K12" s="25"/>
      <c r="L12" s="23"/>
      <c r="M12" s="23"/>
      <c r="N12" s="24"/>
      <c r="O12" s="26"/>
      <c r="P12" s="25"/>
      <c r="Q12" s="23">
        <v>6808</v>
      </c>
      <c r="R12" s="23">
        <v>4492</v>
      </c>
      <c r="S12" s="24">
        <v>7894</v>
      </c>
      <c r="T12" s="26">
        <f t="shared" si="1"/>
        <v>19194</v>
      </c>
      <c r="U12" s="15"/>
      <c r="V12" s="15"/>
      <c r="W12" s="15"/>
      <c r="X12" s="15"/>
      <c r="Y12" s="15"/>
    </row>
    <row r="13" spans="1:25" ht="12.75">
      <c r="A13" s="15" t="s">
        <v>61</v>
      </c>
      <c r="B13" s="16" t="s">
        <v>62</v>
      </c>
      <c r="C13" s="15" t="s">
        <v>69</v>
      </c>
      <c r="D13" s="21">
        <v>102094</v>
      </c>
      <c r="E13" s="22">
        <v>3</v>
      </c>
      <c r="F13" s="23">
        <v>71322</v>
      </c>
      <c r="G13" s="23">
        <v>64811</v>
      </c>
      <c r="H13" s="23">
        <v>26817</v>
      </c>
      <c r="I13" s="24">
        <v>73489</v>
      </c>
      <c r="J13" s="24">
        <f t="shared" si="0"/>
        <v>236439</v>
      </c>
      <c r="K13" s="25"/>
      <c r="L13" s="23"/>
      <c r="M13" s="23"/>
      <c r="N13" s="24"/>
      <c r="O13" s="26"/>
      <c r="P13" s="25">
        <v>5485</v>
      </c>
      <c r="Q13" s="23">
        <v>5199</v>
      </c>
      <c r="R13" s="23">
        <v>4708</v>
      </c>
      <c r="S13" s="24">
        <v>5294</v>
      </c>
      <c r="T13" s="26">
        <f t="shared" si="1"/>
        <v>20686</v>
      </c>
      <c r="U13" s="15"/>
      <c r="V13" s="15"/>
      <c r="W13" s="15"/>
      <c r="X13" s="15"/>
      <c r="Y13" s="15"/>
    </row>
    <row r="14" spans="1:25" ht="12.75">
      <c r="A14" s="15" t="s">
        <v>61</v>
      </c>
      <c r="B14" s="16" t="s">
        <v>62</v>
      </c>
      <c r="C14" s="15" t="s">
        <v>70</v>
      </c>
      <c r="D14" s="21">
        <v>100830</v>
      </c>
      <c r="E14" s="22">
        <v>4</v>
      </c>
      <c r="F14" s="23">
        <v>41575</v>
      </c>
      <c r="G14" s="23">
        <v>37566</v>
      </c>
      <c r="H14" s="23">
        <v>19337</v>
      </c>
      <c r="I14" s="24">
        <v>41969</v>
      </c>
      <c r="J14" s="24">
        <f t="shared" si="0"/>
        <v>140447</v>
      </c>
      <c r="K14" s="25"/>
      <c r="L14" s="23"/>
      <c r="M14" s="23"/>
      <c r="N14" s="24"/>
      <c r="O14" s="26"/>
      <c r="P14" s="25">
        <v>4999</v>
      </c>
      <c r="Q14" s="23">
        <v>4921</v>
      </c>
      <c r="R14" s="23">
        <v>4553</v>
      </c>
      <c r="S14" s="24">
        <v>4858</v>
      </c>
      <c r="T14" s="26">
        <f t="shared" si="1"/>
        <v>19331</v>
      </c>
      <c r="U14" s="15"/>
      <c r="V14" s="15"/>
      <c r="W14" s="15"/>
      <c r="X14" s="15"/>
      <c r="Y14" s="15"/>
    </row>
    <row r="15" spans="1:25" ht="12.75">
      <c r="A15" s="15" t="s">
        <v>61</v>
      </c>
      <c r="B15" s="16" t="s">
        <v>62</v>
      </c>
      <c r="C15" s="15" t="s">
        <v>71</v>
      </c>
      <c r="D15" s="21">
        <v>102368</v>
      </c>
      <c r="E15" s="22">
        <v>4</v>
      </c>
      <c r="F15" s="23">
        <v>48291</v>
      </c>
      <c r="G15" s="23">
        <v>44568</v>
      </c>
      <c r="H15" s="23">
        <v>15912</v>
      </c>
      <c r="I15" s="24">
        <v>47078</v>
      </c>
      <c r="J15" s="24">
        <f t="shared" si="0"/>
        <v>155849</v>
      </c>
      <c r="K15" s="25"/>
      <c r="L15" s="23"/>
      <c r="M15" s="23"/>
      <c r="N15" s="24"/>
      <c r="O15" s="26"/>
      <c r="P15" s="25">
        <v>6283</v>
      </c>
      <c r="Q15" s="23">
        <v>5496</v>
      </c>
      <c r="R15" s="23">
        <v>6213</v>
      </c>
      <c r="S15" s="24">
        <v>4981</v>
      </c>
      <c r="T15" s="26">
        <f t="shared" si="1"/>
        <v>22973</v>
      </c>
      <c r="U15" s="15"/>
      <c r="V15" s="15"/>
      <c r="W15" s="15"/>
      <c r="X15" s="15"/>
      <c r="Y15" s="15"/>
    </row>
    <row r="16" spans="1:25" ht="12.75">
      <c r="A16" s="15" t="s">
        <v>61</v>
      </c>
      <c r="B16" s="16" t="s">
        <v>62</v>
      </c>
      <c r="C16" s="27" t="s">
        <v>72</v>
      </c>
      <c r="D16" s="28">
        <v>102359</v>
      </c>
      <c r="E16" s="29">
        <v>4</v>
      </c>
      <c r="F16" s="23">
        <v>15200</v>
      </c>
      <c r="G16" s="23">
        <v>14443</v>
      </c>
      <c r="H16" s="23">
        <v>10038</v>
      </c>
      <c r="I16" s="24">
        <v>15446</v>
      </c>
      <c r="J16" s="24">
        <f t="shared" si="0"/>
        <v>55127</v>
      </c>
      <c r="K16" s="25"/>
      <c r="L16" s="23"/>
      <c r="M16" s="23"/>
      <c r="N16" s="24"/>
      <c r="O16" s="26"/>
      <c r="P16" s="25">
        <v>2575</v>
      </c>
      <c r="Q16" s="23">
        <v>2356</v>
      </c>
      <c r="R16" s="23">
        <v>1893</v>
      </c>
      <c r="S16" s="24">
        <v>2612</v>
      </c>
      <c r="T16" s="26">
        <f t="shared" si="1"/>
        <v>9436</v>
      </c>
      <c r="U16" s="15"/>
      <c r="V16" s="15"/>
      <c r="W16" s="15"/>
      <c r="X16" s="15"/>
      <c r="Y16" s="15"/>
    </row>
    <row r="17" spans="1:27" ht="12.75">
      <c r="A17" s="15" t="s">
        <v>61</v>
      </c>
      <c r="B17" s="16" t="s">
        <v>62</v>
      </c>
      <c r="C17" s="15" t="s">
        <v>73</v>
      </c>
      <c r="D17" s="21">
        <v>101709</v>
      </c>
      <c r="E17" s="22">
        <v>4</v>
      </c>
      <c r="F17" s="23"/>
      <c r="G17" s="23">
        <v>33627</v>
      </c>
      <c r="H17" s="23">
        <v>8589</v>
      </c>
      <c r="I17" s="24">
        <v>36610</v>
      </c>
      <c r="J17" s="24">
        <f t="shared" si="0"/>
        <v>78826</v>
      </c>
      <c r="K17" s="25"/>
      <c r="L17" s="23"/>
      <c r="M17" s="23"/>
      <c r="N17" s="24"/>
      <c r="O17" s="26"/>
      <c r="P17" s="25"/>
      <c r="Q17" s="23">
        <v>2392</v>
      </c>
      <c r="R17" s="23">
        <v>3129</v>
      </c>
      <c r="S17" s="24">
        <v>2779</v>
      </c>
      <c r="T17" s="26">
        <f t="shared" si="1"/>
        <v>8300</v>
      </c>
      <c r="U17" s="15"/>
      <c r="V17" s="15"/>
      <c r="W17" s="15"/>
      <c r="X17" s="15"/>
      <c r="Y17" s="15"/>
      <c r="Z17" s="2"/>
      <c r="AA17" s="2"/>
    </row>
    <row r="18" spans="1:27" ht="12.75">
      <c r="A18" s="15" t="s">
        <v>61</v>
      </c>
      <c r="B18" s="16" t="s">
        <v>62</v>
      </c>
      <c r="C18" s="27" t="s">
        <v>74</v>
      </c>
      <c r="D18" s="28">
        <v>100724</v>
      </c>
      <c r="E18" s="29">
        <v>5</v>
      </c>
      <c r="F18" s="23"/>
      <c r="G18" s="23">
        <v>65293</v>
      </c>
      <c r="H18" s="23">
        <v>16754</v>
      </c>
      <c r="I18" s="24">
        <v>66659</v>
      </c>
      <c r="J18" s="24">
        <f t="shared" si="0"/>
        <v>148706</v>
      </c>
      <c r="K18" s="25"/>
      <c r="L18" s="23"/>
      <c r="M18" s="23"/>
      <c r="N18" s="24"/>
      <c r="O18" s="26"/>
      <c r="P18" s="25"/>
      <c r="Q18" s="23">
        <v>4393</v>
      </c>
      <c r="R18" s="23">
        <v>5432</v>
      </c>
      <c r="S18" s="24">
        <v>3922</v>
      </c>
      <c r="T18" s="26">
        <f t="shared" si="1"/>
        <v>13747</v>
      </c>
      <c r="U18" s="15"/>
      <c r="V18" s="15"/>
      <c r="W18" s="15"/>
      <c r="X18" s="15"/>
      <c r="Y18" s="15"/>
      <c r="Z18" s="2"/>
      <c r="AA18" s="2"/>
    </row>
    <row r="19" spans="1:27" ht="12.75">
      <c r="A19" s="15" t="s">
        <v>61</v>
      </c>
      <c r="B19" s="16" t="s">
        <v>62</v>
      </c>
      <c r="C19" s="15" t="s">
        <v>75</v>
      </c>
      <c r="D19" s="21">
        <v>101587</v>
      </c>
      <c r="E19" s="22">
        <v>5</v>
      </c>
      <c r="F19" s="23">
        <v>16931</v>
      </c>
      <c r="G19" s="23">
        <v>16074</v>
      </c>
      <c r="H19" s="23">
        <v>5523</v>
      </c>
      <c r="I19" s="24">
        <v>17325</v>
      </c>
      <c r="J19" s="24">
        <f t="shared" si="0"/>
        <v>55853</v>
      </c>
      <c r="K19" s="25"/>
      <c r="L19" s="23"/>
      <c r="M19" s="23"/>
      <c r="N19" s="24"/>
      <c r="O19" s="26"/>
      <c r="P19" s="25">
        <v>1194</v>
      </c>
      <c r="Q19" s="23">
        <v>1272</v>
      </c>
      <c r="R19" s="23">
        <v>1662</v>
      </c>
      <c r="S19" s="24">
        <v>987</v>
      </c>
      <c r="T19" s="26">
        <f t="shared" si="1"/>
        <v>5115</v>
      </c>
      <c r="U19" s="15"/>
      <c r="V19" s="15"/>
      <c r="W19" s="15"/>
      <c r="X19" s="15"/>
      <c r="Y19" s="15"/>
      <c r="Z19" s="2"/>
      <c r="AA19" s="2"/>
    </row>
    <row r="20" spans="1:27" ht="12.75">
      <c r="A20" s="15" t="s">
        <v>61</v>
      </c>
      <c r="B20" s="16" t="s">
        <v>62</v>
      </c>
      <c r="C20" s="15" t="s">
        <v>76</v>
      </c>
      <c r="D20" s="21">
        <v>102322</v>
      </c>
      <c r="E20" s="22">
        <v>5</v>
      </c>
      <c r="F20" s="23">
        <v>13912</v>
      </c>
      <c r="G20" s="23">
        <v>12705</v>
      </c>
      <c r="H20" s="23">
        <v>7541</v>
      </c>
      <c r="I20" s="24">
        <v>11959</v>
      </c>
      <c r="J20" s="24">
        <f t="shared" si="0"/>
        <v>46117</v>
      </c>
      <c r="K20" s="25"/>
      <c r="L20" s="23"/>
      <c r="M20" s="23"/>
      <c r="N20" s="24"/>
      <c r="O20" s="26"/>
      <c r="P20" s="25">
        <v>2469</v>
      </c>
      <c r="Q20" s="23">
        <v>2177</v>
      </c>
      <c r="R20" s="23">
        <v>2204</v>
      </c>
      <c r="S20" s="24">
        <v>2176</v>
      </c>
      <c r="T20" s="26">
        <f t="shared" si="1"/>
        <v>9026</v>
      </c>
      <c r="U20" s="15"/>
      <c r="V20" s="15"/>
      <c r="W20" s="15"/>
      <c r="X20" s="15"/>
      <c r="Y20" s="15"/>
      <c r="Z20" s="2"/>
      <c r="AA20" s="2"/>
    </row>
    <row r="21" spans="1:27" ht="12.75">
      <c r="A21" s="15" t="s">
        <v>61</v>
      </c>
      <c r="B21" s="16" t="s">
        <v>62</v>
      </c>
      <c r="C21" s="15" t="s">
        <v>77</v>
      </c>
      <c r="D21" s="21">
        <v>101879</v>
      </c>
      <c r="E21" s="22">
        <v>5</v>
      </c>
      <c r="F21" s="23"/>
      <c r="G21" s="23">
        <v>58647</v>
      </c>
      <c r="H21" s="23">
        <v>11606</v>
      </c>
      <c r="I21" s="24">
        <v>64671</v>
      </c>
      <c r="J21" s="24">
        <f t="shared" si="0"/>
        <v>134924</v>
      </c>
      <c r="K21" s="25"/>
      <c r="L21" s="23"/>
      <c r="M21" s="23"/>
      <c r="N21" s="24"/>
      <c r="O21" s="26"/>
      <c r="P21" s="25"/>
      <c r="Q21" s="23">
        <v>2839</v>
      </c>
      <c r="R21" s="23">
        <v>2751</v>
      </c>
      <c r="S21" s="24">
        <v>2642</v>
      </c>
      <c r="T21" s="26">
        <f t="shared" si="1"/>
        <v>8232</v>
      </c>
      <c r="U21" s="15"/>
      <c r="V21" s="15"/>
      <c r="W21" s="15"/>
      <c r="X21" s="15"/>
      <c r="Y21" s="15"/>
      <c r="Z21" s="2"/>
      <c r="AA21" s="2"/>
    </row>
    <row r="22" spans="1:27" ht="12.75">
      <c r="A22" s="15" t="s">
        <v>61</v>
      </c>
      <c r="B22" s="16" t="s">
        <v>62</v>
      </c>
      <c r="C22" s="15" t="s">
        <v>78</v>
      </c>
      <c r="D22" s="21">
        <v>100812</v>
      </c>
      <c r="E22" s="22">
        <v>6</v>
      </c>
      <c r="F22" s="23">
        <v>22652</v>
      </c>
      <c r="G22" s="23">
        <v>21250</v>
      </c>
      <c r="H22" s="23">
        <v>15474</v>
      </c>
      <c r="I22" s="24">
        <v>21533</v>
      </c>
      <c r="J22" s="24">
        <f t="shared" si="0"/>
        <v>80909</v>
      </c>
      <c r="K22" s="25"/>
      <c r="L22" s="23"/>
      <c r="M22" s="23"/>
      <c r="N22" s="24"/>
      <c r="O22" s="26"/>
      <c r="P22" s="25"/>
      <c r="Q22" s="23"/>
      <c r="R22" s="23"/>
      <c r="S22" s="24"/>
      <c r="T22" s="26">
        <f t="shared" si="1"/>
        <v>0</v>
      </c>
      <c r="U22" s="15"/>
      <c r="V22" s="15"/>
      <c r="W22" s="15"/>
      <c r="X22" s="15"/>
      <c r="Y22" s="15"/>
      <c r="Z22" s="2"/>
      <c r="AA22" s="2"/>
    </row>
    <row r="23" spans="1:27" ht="12.75">
      <c r="A23" s="15" t="s">
        <v>61</v>
      </c>
      <c r="B23" s="16" t="s">
        <v>62</v>
      </c>
      <c r="C23" s="15" t="s">
        <v>79</v>
      </c>
      <c r="D23" s="21">
        <v>101949</v>
      </c>
      <c r="E23" s="21">
        <v>7</v>
      </c>
      <c r="F23" s="23">
        <v>12161.2747</v>
      </c>
      <c r="G23" s="23">
        <v>12779.3056</v>
      </c>
      <c r="H23" s="23">
        <v>8185.0759</v>
      </c>
      <c r="I23" s="24">
        <v>15335.4334</v>
      </c>
      <c r="J23" s="23">
        <v>48461.0896</v>
      </c>
      <c r="K23" s="25"/>
      <c r="L23" s="23"/>
      <c r="M23" s="23"/>
      <c r="N23" s="23"/>
      <c r="O23" s="25"/>
      <c r="P23" s="25"/>
      <c r="Q23" s="23"/>
      <c r="R23" s="23"/>
      <c r="S23" s="23"/>
      <c r="T23" s="25"/>
      <c r="U23" s="23"/>
      <c r="V23" s="23"/>
      <c r="W23" s="23"/>
      <c r="X23" s="23"/>
      <c r="Y23" s="23"/>
      <c r="Z23" s="20"/>
      <c r="AA23" s="20"/>
    </row>
    <row r="24" spans="1:27" ht="12.75">
      <c r="A24" s="15" t="s">
        <v>61</v>
      </c>
      <c r="B24" s="16" t="s">
        <v>62</v>
      </c>
      <c r="C24" s="15" t="s">
        <v>80</v>
      </c>
      <c r="D24" s="30">
        <v>100964</v>
      </c>
      <c r="E24" s="21">
        <v>7</v>
      </c>
      <c r="F24" s="23">
        <v>33791.0228</v>
      </c>
      <c r="G24" s="23">
        <v>32359.6179</v>
      </c>
      <c r="H24" s="23">
        <v>20133.0066</v>
      </c>
      <c r="I24" s="24">
        <v>33631.0148</v>
      </c>
      <c r="J24" s="23">
        <v>119914.6621</v>
      </c>
      <c r="K24" s="25"/>
      <c r="L24" s="23"/>
      <c r="M24" s="23"/>
      <c r="N24" s="23"/>
      <c r="O24" s="25"/>
      <c r="P24" s="25"/>
      <c r="Q24" s="23"/>
      <c r="R24" s="23"/>
      <c r="S24" s="23"/>
      <c r="T24" s="25"/>
      <c r="U24" s="23"/>
      <c r="V24" s="23"/>
      <c r="W24" s="23"/>
      <c r="X24" s="23"/>
      <c r="Y24" s="23"/>
      <c r="Z24" s="20"/>
      <c r="AA24" s="20"/>
    </row>
    <row r="25" spans="1:27" ht="12.75">
      <c r="A25" s="15" t="s">
        <v>61</v>
      </c>
      <c r="B25" s="16" t="s">
        <v>62</v>
      </c>
      <c r="C25" s="15" t="s">
        <v>81</v>
      </c>
      <c r="D25" s="21">
        <v>102030</v>
      </c>
      <c r="E25" s="21">
        <v>7</v>
      </c>
      <c r="F25" s="23">
        <v>30421.521</v>
      </c>
      <c r="G25" s="23">
        <v>27556.7111</v>
      </c>
      <c r="H25" s="23">
        <v>17604.2135</v>
      </c>
      <c r="I25" s="24">
        <v>27997.3998</v>
      </c>
      <c r="J25" s="23">
        <v>103579.8454</v>
      </c>
      <c r="K25" s="25"/>
      <c r="L25" s="23"/>
      <c r="M25" s="23"/>
      <c r="N25" s="23"/>
      <c r="O25" s="25"/>
      <c r="P25" s="25"/>
      <c r="Q25" s="23"/>
      <c r="R25" s="23"/>
      <c r="S25" s="23"/>
      <c r="T25" s="25"/>
      <c r="U25" s="23"/>
      <c r="V25" s="23"/>
      <c r="W25" s="23"/>
      <c r="X25" s="23"/>
      <c r="Y25" s="23"/>
      <c r="Z25" s="20"/>
      <c r="AA25" s="20"/>
    </row>
    <row r="26" spans="1:27" ht="12.75">
      <c r="A26" s="15" t="s">
        <v>61</v>
      </c>
      <c r="B26" s="16" t="s">
        <v>62</v>
      </c>
      <c r="C26" s="15" t="s">
        <v>82</v>
      </c>
      <c r="D26" s="21">
        <v>100760</v>
      </c>
      <c r="E26" s="21">
        <v>7</v>
      </c>
      <c r="F26" s="23">
        <v>15163.4248</v>
      </c>
      <c r="G26" s="23">
        <v>13458.0062</v>
      </c>
      <c r="H26" s="23">
        <v>8985.7826</v>
      </c>
      <c r="I26" s="24">
        <v>16268.8134</v>
      </c>
      <c r="J26" s="23">
        <v>53876.027</v>
      </c>
      <c r="K26" s="25"/>
      <c r="L26" s="23"/>
      <c r="M26" s="23"/>
      <c r="N26" s="23"/>
      <c r="O26" s="25"/>
      <c r="P26" s="25"/>
      <c r="Q26" s="23"/>
      <c r="R26" s="23"/>
      <c r="S26" s="23"/>
      <c r="T26" s="25"/>
      <c r="U26" s="23"/>
      <c r="V26" s="23"/>
      <c r="W26" s="23"/>
      <c r="X26" s="23"/>
      <c r="Y26" s="23"/>
      <c r="Z26" s="20"/>
      <c r="AA26" s="20"/>
    </row>
    <row r="27" spans="1:27" ht="12.75">
      <c r="A27" s="15" t="s">
        <v>61</v>
      </c>
      <c r="B27" s="16" t="s">
        <v>62</v>
      </c>
      <c r="C27" s="15" t="s">
        <v>83</v>
      </c>
      <c r="D27" s="21">
        <v>101028</v>
      </c>
      <c r="E27" s="21">
        <v>7</v>
      </c>
      <c r="F27" s="23">
        <v>15465.4399</v>
      </c>
      <c r="G27" s="23">
        <v>14128.0397</v>
      </c>
      <c r="H27" s="23">
        <v>9104.4552</v>
      </c>
      <c r="I27" s="24">
        <v>15026.0846</v>
      </c>
      <c r="J27" s="23">
        <v>53724.0194</v>
      </c>
      <c r="K27" s="25"/>
      <c r="L27" s="23"/>
      <c r="M27" s="23"/>
      <c r="N27" s="23"/>
      <c r="O27" s="25"/>
      <c r="P27" s="25"/>
      <c r="Q27" s="23"/>
      <c r="R27" s="23"/>
      <c r="S27" s="23"/>
      <c r="T27" s="25"/>
      <c r="U27" s="23"/>
      <c r="V27" s="23"/>
      <c r="W27" s="23"/>
      <c r="X27" s="23"/>
      <c r="Y27" s="23"/>
      <c r="Z27" s="20"/>
      <c r="AA27" s="20"/>
    </row>
    <row r="28" spans="1:27" ht="12.75">
      <c r="A28" s="15" t="s">
        <v>61</v>
      </c>
      <c r="B28" s="16" t="s">
        <v>62</v>
      </c>
      <c r="C28" s="15" t="s">
        <v>84</v>
      </c>
      <c r="D28" s="21">
        <v>101143</v>
      </c>
      <c r="E28" s="21">
        <v>7</v>
      </c>
      <c r="F28" s="23">
        <v>13613.3473</v>
      </c>
      <c r="G28" s="23">
        <v>13016.6508</v>
      </c>
      <c r="H28" s="23">
        <v>6898.3449</v>
      </c>
      <c r="I28" s="24">
        <v>15089.4211</v>
      </c>
      <c r="J28" s="23">
        <v>48617.7641</v>
      </c>
      <c r="K28" s="25"/>
      <c r="L28" s="23"/>
      <c r="M28" s="23"/>
      <c r="N28" s="23"/>
      <c r="O28" s="25"/>
      <c r="P28" s="25"/>
      <c r="Q28" s="23"/>
      <c r="R28" s="23"/>
      <c r="S28" s="23"/>
      <c r="T28" s="25"/>
      <c r="U28" s="23"/>
      <c r="V28" s="23"/>
      <c r="W28" s="23"/>
      <c r="X28" s="23"/>
      <c r="Y28" s="23"/>
      <c r="Z28" s="20"/>
      <c r="AA28" s="20"/>
    </row>
    <row r="29" spans="1:27" ht="12.75">
      <c r="A29" s="15" t="s">
        <v>61</v>
      </c>
      <c r="B29" s="16" t="s">
        <v>62</v>
      </c>
      <c r="C29" s="15" t="s">
        <v>85</v>
      </c>
      <c r="D29" s="21">
        <v>101240</v>
      </c>
      <c r="E29" s="21">
        <v>7</v>
      </c>
      <c r="F29" s="23">
        <v>41319.3992</v>
      </c>
      <c r="G29" s="23">
        <v>37595.213</v>
      </c>
      <c r="H29" s="23">
        <v>20957.0478</v>
      </c>
      <c r="I29" s="24">
        <v>39961.3313</v>
      </c>
      <c r="J29" s="23">
        <v>139832.9913</v>
      </c>
      <c r="K29" s="25"/>
      <c r="L29" s="23"/>
      <c r="M29" s="23"/>
      <c r="N29" s="23"/>
      <c r="O29" s="25"/>
      <c r="P29" s="25"/>
      <c r="Q29" s="23"/>
      <c r="R29" s="23"/>
      <c r="S29" s="23"/>
      <c r="T29" s="25"/>
      <c r="U29" s="23"/>
      <c r="V29" s="23"/>
      <c r="W29" s="23"/>
      <c r="X29" s="23"/>
      <c r="Y29" s="23"/>
      <c r="Z29" s="20"/>
      <c r="AA29" s="20"/>
    </row>
    <row r="30" spans="1:27" ht="12.75">
      <c r="A30" s="15" t="s">
        <v>61</v>
      </c>
      <c r="B30" s="16" t="s">
        <v>62</v>
      </c>
      <c r="C30" s="15" t="s">
        <v>86</v>
      </c>
      <c r="D30" s="30">
        <v>101301</v>
      </c>
      <c r="E30" s="21">
        <v>7</v>
      </c>
      <c r="F30" s="23">
        <v>14459.3896</v>
      </c>
      <c r="G30" s="23">
        <v>13065.3199</v>
      </c>
      <c r="H30" s="23">
        <v>9281.1307</v>
      </c>
      <c r="I30" s="24">
        <v>15438.7719</v>
      </c>
      <c r="J30" s="23">
        <v>52244.6121</v>
      </c>
      <c r="K30" s="25"/>
      <c r="L30" s="23"/>
      <c r="M30" s="23"/>
      <c r="N30" s="23"/>
      <c r="O30" s="25"/>
      <c r="P30" s="25"/>
      <c r="Q30" s="23"/>
      <c r="R30" s="23"/>
      <c r="S30" s="23"/>
      <c r="T30" s="25"/>
      <c r="U30" s="23"/>
      <c r="V30" s="23"/>
      <c r="W30" s="23"/>
      <c r="X30" s="23"/>
      <c r="Y30" s="23"/>
      <c r="Z30" s="20"/>
      <c r="AA30" s="20"/>
    </row>
    <row r="31" spans="1:27" ht="12.75">
      <c r="A31" s="15" t="s">
        <v>61</v>
      </c>
      <c r="B31" s="16" t="s">
        <v>62</v>
      </c>
      <c r="C31" s="15" t="s">
        <v>87</v>
      </c>
      <c r="D31" s="21">
        <v>101286</v>
      </c>
      <c r="E31" s="21">
        <v>7</v>
      </c>
      <c r="F31" s="23">
        <v>24106.5386</v>
      </c>
      <c r="G31" s="23">
        <v>22363.1181</v>
      </c>
      <c r="H31" s="23">
        <v>14906.7453</v>
      </c>
      <c r="I31" s="24">
        <v>26585.9959</v>
      </c>
      <c r="J31" s="23">
        <v>87962.3979</v>
      </c>
      <c r="K31" s="25"/>
      <c r="L31" s="23"/>
      <c r="M31" s="23"/>
      <c r="N31" s="23"/>
      <c r="O31" s="25"/>
      <c r="P31" s="25"/>
      <c r="Q31" s="23"/>
      <c r="R31" s="23"/>
      <c r="S31" s="23"/>
      <c r="T31" s="25"/>
      <c r="U31" s="23"/>
      <c r="V31" s="23"/>
      <c r="W31" s="23"/>
      <c r="X31" s="23"/>
      <c r="Y31" s="23"/>
      <c r="Z31" s="20"/>
      <c r="AA31" s="20"/>
    </row>
    <row r="32" spans="1:27" ht="12.75">
      <c r="A32" s="15" t="s">
        <v>61</v>
      </c>
      <c r="B32" s="16" t="s">
        <v>62</v>
      </c>
      <c r="C32" s="31" t="s">
        <v>88</v>
      </c>
      <c r="D32" s="21">
        <v>101161</v>
      </c>
      <c r="E32" s="21">
        <v>7</v>
      </c>
      <c r="F32" s="23">
        <v>23497.1748</v>
      </c>
      <c r="G32" s="23">
        <v>21217.0608</v>
      </c>
      <c r="H32" s="23">
        <v>10764.5382</v>
      </c>
      <c r="I32" s="24">
        <v>25057.2528</v>
      </c>
      <c r="J32" s="23">
        <v>80536.0266</v>
      </c>
      <c r="K32" s="25"/>
      <c r="L32" s="23"/>
      <c r="M32" s="23"/>
      <c r="N32" s="23"/>
      <c r="O32" s="25"/>
      <c r="P32" s="25"/>
      <c r="Q32" s="23"/>
      <c r="R32" s="23"/>
      <c r="S32" s="23"/>
      <c r="T32" s="25"/>
      <c r="U32" s="23"/>
      <c r="V32" s="23"/>
      <c r="W32" s="23"/>
      <c r="X32" s="23"/>
      <c r="Y32" s="23"/>
      <c r="Z32" s="20"/>
      <c r="AA32" s="20"/>
    </row>
    <row r="33" spans="1:27" ht="12.75">
      <c r="A33" s="15" t="s">
        <v>61</v>
      </c>
      <c r="B33" s="16" t="s">
        <v>62</v>
      </c>
      <c r="C33" s="15" t="s">
        <v>89</v>
      </c>
      <c r="D33" s="21">
        <v>101499</v>
      </c>
      <c r="E33" s="21">
        <v>7</v>
      </c>
      <c r="F33" s="23">
        <v>12067.27</v>
      </c>
      <c r="G33" s="23">
        <v>11215.2274</v>
      </c>
      <c r="H33" s="23">
        <v>7197.0265</v>
      </c>
      <c r="I33" s="24">
        <v>12724.6362</v>
      </c>
      <c r="J33" s="23">
        <v>43204.1601</v>
      </c>
      <c r="K33" s="25"/>
      <c r="L33" s="23"/>
      <c r="M33" s="23"/>
      <c r="N33" s="23"/>
      <c r="O33" s="25"/>
      <c r="P33" s="25"/>
      <c r="Q33" s="23"/>
      <c r="R33" s="23"/>
      <c r="S33" s="23"/>
      <c r="T33" s="25"/>
      <c r="U33" s="23"/>
      <c r="V33" s="23"/>
      <c r="W33" s="23"/>
      <c r="X33" s="23"/>
      <c r="Y33" s="23"/>
      <c r="Z33" s="20"/>
      <c r="AA33" s="20"/>
    </row>
    <row r="34" spans="1:27" ht="12.75">
      <c r="A34" s="15" t="s">
        <v>61</v>
      </c>
      <c r="B34" s="16" t="s">
        <v>62</v>
      </c>
      <c r="C34" s="15" t="s">
        <v>90</v>
      </c>
      <c r="D34" s="21">
        <v>101505</v>
      </c>
      <c r="E34" s="21">
        <v>7</v>
      </c>
      <c r="F34" s="23">
        <v>38982.6157</v>
      </c>
      <c r="G34" s="23">
        <v>34362.3847</v>
      </c>
      <c r="H34" s="23">
        <v>21448.4057</v>
      </c>
      <c r="I34" s="24">
        <v>39511.3088</v>
      </c>
      <c r="J34" s="23">
        <v>134304.7149</v>
      </c>
      <c r="K34" s="25"/>
      <c r="L34" s="23"/>
      <c r="M34" s="23"/>
      <c r="N34" s="23"/>
      <c r="O34" s="25"/>
      <c r="P34" s="25"/>
      <c r="Q34" s="23"/>
      <c r="R34" s="23"/>
      <c r="S34" s="23"/>
      <c r="T34" s="25"/>
      <c r="U34" s="23"/>
      <c r="V34" s="23"/>
      <c r="W34" s="23"/>
      <c r="X34" s="23"/>
      <c r="Y34" s="23"/>
      <c r="Z34" s="20"/>
      <c r="AA34" s="20"/>
    </row>
    <row r="35" spans="1:27" ht="12.75">
      <c r="A35" s="15" t="s">
        <v>61</v>
      </c>
      <c r="B35" s="16" t="s">
        <v>62</v>
      </c>
      <c r="C35" s="15" t="s">
        <v>91</v>
      </c>
      <c r="D35" s="21">
        <v>101514</v>
      </c>
      <c r="E35" s="21">
        <v>7</v>
      </c>
      <c r="F35" s="23">
        <v>50511.1921</v>
      </c>
      <c r="G35" s="23">
        <v>44766.2382</v>
      </c>
      <c r="H35" s="23">
        <v>23534.51</v>
      </c>
      <c r="I35" s="24">
        <v>52448.6223</v>
      </c>
      <c r="J35" s="23">
        <v>171260.5626</v>
      </c>
      <c r="K35" s="25"/>
      <c r="L35" s="23"/>
      <c r="M35" s="23"/>
      <c r="N35" s="23"/>
      <c r="O35" s="25"/>
      <c r="P35" s="25"/>
      <c r="Q35" s="23"/>
      <c r="R35" s="23"/>
      <c r="S35" s="23"/>
      <c r="T35" s="25"/>
      <c r="U35" s="23"/>
      <c r="V35" s="23"/>
      <c r="W35" s="23"/>
      <c r="X35" s="23"/>
      <c r="Y35" s="23"/>
      <c r="Z35" s="20"/>
      <c r="AA35" s="20"/>
    </row>
    <row r="36" spans="1:27" ht="12.75">
      <c r="A36" s="15" t="s">
        <v>61</v>
      </c>
      <c r="B36" s="16" t="s">
        <v>62</v>
      </c>
      <c r="C36" s="15" t="s">
        <v>92</v>
      </c>
      <c r="D36" s="21">
        <v>101569</v>
      </c>
      <c r="E36" s="21">
        <v>7</v>
      </c>
      <c r="F36" s="23">
        <v>14586.0626</v>
      </c>
      <c r="G36" s="23">
        <v>14594.063</v>
      </c>
      <c r="H36" s="23">
        <v>8732.4366</v>
      </c>
      <c r="I36" s="24">
        <v>13888.0277</v>
      </c>
      <c r="J36" s="23">
        <v>51800.5899</v>
      </c>
      <c r="K36" s="25"/>
      <c r="L36" s="23"/>
      <c r="M36" s="23"/>
      <c r="N36" s="23"/>
      <c r="O36" s="25"/>
      <c r="P36" s="25"/>
      <c r="Q36" s="23"/>
      <c r="R36" s="23"/>
      <c r="S36" s="23"/>
      <c r="T36" s="25"/>
      <c r="U36" s="23"/>
      <c r="V36" s="23"/>
      <c r="W36" s="23"/>
      <c r="X36" s="23"/>
      <c r="Y36" s="23"/>
      <c r="Z36" s="20"/>
      <c r="AA36" s="20"/>
    </row>
    <row r="37" spans="1:27" ht="12.75">
      <c r="A37" s="15" t="s">
        <v>61</v>
      </c>
      <c r="B37" s="16" t="s">
        <v>62</v>
      </c>
      <c r="C37" s="15" t="s">
        <v>93</v>
      </c>
      <c r="D37" s="21">
        <v>101602</v>
      </c>
      <c r="E37" s="21">
        <v>7</v>
      </c>
      <c r="F37" s="23">
        <v>8483.7575</v>
      </c>
      <c r="G37" s="23">
        <v>7981.0657</v>
      </c>
      <c r="H37" s="23">
        <v>4359.5513</v>
      </c>
      <c r="I37" s="24">
        <v>8609.7638</v>
      </c>
      <c r="J37" s="23">
        <v>29434.1383</v>
      </c>
      <c r="K37" s="25"/>
      <c r="L37" s="23"/>
      <c r="M37" s="23"/>
      <c r="N37" s="23"/>
      <c r="O37" s="25"/>
      <c r="P37" s="25"/>
      <c r="Q37" s="23"/>
      <c r="R37" s="23"/>
      <c r="S37" s="23"/>
      <c r="T37" s="25"/>
      <c r="U37" s="23"/>
      <c r="V37" s="23"/>
      <c r="W37" s="23"/>
      <c r="X37" s="23"/>
      <c r="Y37" s="23"/>
      <c r="Z37" s="20"/>
      <c r="AA37" s="20"/>
    </row>
    <row r="38" spans="1:27" ht="12.75">
      <c r="A38" s="15" t="s">
        <v>61</v>
      </c>
      <c r="B38" s="16" t="s">
        <v>62</v>
      </c>
      <c r="C38" s="15" t="s">
        <v>94</v>
      </c>
      <c r="D38" s="21">
        <v>101897</v>
      </c>
      <c r="E38" s="21">
        <v>7</v>
      </c>
      <c r="F38" s="23">
        <v>11747.254</v>
      </c>
      <c r="G38" s="23">
        <v>11957.2645</v>
      </c>
      <c r="H38" s="23">
        <v>7839.0586</v>
      </c>
      <c r="I38" s="24">
        <v>15142.7571</v>
      </c>
      <c r="J38" s="23">
        <v>46686.3342</v>
      </c>
      <c r="K38" s="25"/>
      <c r="L38" s="23"/>
      <c r="M38" s="23"/>
      <c r="N38" s="23"/>
      <c r="O38" s="25"/>
      <c r="P38" s="25"/>
      <c r="Q38" s="23"/>
      <c r="R38" s="23"/>
      <c r="S38" s="23"/>
      <c r="T38" s="25"/>
      <c r="U38" s="23"/>
      <c r="V38" s="23"/>
      <c r="W38" s="23"/>
      <c r="X38" s="23"/>
      <c r="Y38" s="23"/>
      <c r="Z38" s="20"/>
      <c r="AA38" s="20"/>
    </row>
    <row r="39" spans="1:27" ht="12.75">
      <c r="A39" s="15" t="s">
        <v>61</v>
      </c>
      <c r="B39" s="16" t="s">
        <v>62</v>
      </c>
      <c r="C39" s="15" t="s">
        <v>95</v>
      </c>
      <c r="D39" s="21">
        <v>101903</v>
      </c>
      <c r="E39" s="21">
        <v>7</v>
      </c>
      <c r="F39" s="23">
        <v>26466.6566</v>
      </c>
      <c r="G39" s="23">
        <v>25393.9363</v>
      </c>
      <c r="H39" s="23">
        <v>14396.0531</v>
      </c>
      <c r="I39" s="24">
        <v>29641.482</v>
      </c>
      <c r="J39" s="23">
        <v>95898.128</v>
      </c>
      <c r="K39" s="25"/>
      <c r="L39" s="23"/>
      <c r="M39" s="23"/>
      <c r="N39" s="23"/>
      <c r="O39" s="25"/>
      <c r="P39" s="25"/>
      <c r="Q39" s="23"/>
      <c r="R39" s="23"/>
      <c r="S39" s="23"/>
      <c r="T39" s="25"/>
      <c r="U39" s="23"/>
      <c r="V39" s="23"/>
      <c r="W39" s="23"/>
      <c r="X39" s="23"/>
      <c r="Y39" s="23"/>
      <c r="Z39" s="20"/>
      <c r="AA39" s="20"/>
    </row>
    <row r="40" spans="1:27" ht="12.75">
      <c r="A40" s="15" t="s">
        <v>61</v>
      </c>
      <c r="B40" s="16" t="s">
        <v>62</v>
      </c>
      <c r="C40" s="15" t="s">
        <v>96</v>
      </c>
      <c r="D40" s="21">
        <v>102067</v>
      </c>
      <c r="E40" s="21">
        <v>7</v>
      </c>
      <c r="F40" s="23"/>
      <c r="G40" s="23">
        <v>73431</v>
      </c>
      <c r="H40" s="23">
        <v>40082</v>
      </c>
      <c r="I40" s="24">
        <v>74586</v>
      </c>
      <c r="J40" s="23">
        <v>188099</v>
      </c>
      <c r="K40" s="25"/>
      <c r="L40" s="23"/>
      <c r="M40" s="23"/>
      <c r="N40" s="23"/>
      <c r="O40" s="25"/>
      <c r="P40" s="25"/>
      <c r="Q40" s="23"/>
      <c r="R40" s="23"/>
      <c r="S40" s="23"/>
      <c r="T40" s="25"/>
      <c r="U40" s="23"/>
      <c r="V40" s="23"/>
      <c r="W40" s="23"/>
      <c r="X40" s="23"/>
      <c r="Y40" s="23"/>
      <c r="Z40" s="20"/>
      <c r="AA40" s="20"/>
    </row>
    <row r="41" spans="1:27" ht="12.75">
      <c r="A41" s="15" t="s">
        <v>61</v>
      </c>
      <c r="B41" s="16" t="s">
        <v>62</v>
      </c>
      <c r="C41" s="15" t="s">
        <v>97</v>
      </c>
      <c r="D41" s="21">
        <v>101736</v>
      </c>
      <c r="E41" s="21">
        <v>7</v>
      </c>
      <c r="F41" s="23"/>
      <c r="G41" s="23"/>
      <c r="H41" s="23"/>
      <c r="I41" s="24"/>
      <c r="J41" s="23"/>
      <c r="K41" s="25"/>
      <c r="L41" s="23"/>
      <c r="M41" s="23"/>
      <c r="N41" s="23"/>
      <c r="O41" s="25"/>
      <c r="P41" s="25"/>
      <c r="Q41" s="23"/>
      <c r="R41" s="23"/>
      <c r="S41" s="23"/>
      <c r="T41" s="25"/>
      <c r="U41" s="23"/>
      <c r="V41" s="23"/>
      <c r="W41" s="23"/>
      <c r="X41" s="23"/>
      <c r="Y41" s="23"/>
      <c r="Z41" s="20"/>
      <c r="AA41" s="20"/>
    </row>
    <row r="42" spans="1:27" ht="12.75">
      <c r="A42" s="15" t="s">
        <v>61</v>
      </c>
      <c r="B42" s="16" t="s">
        <v>62</v>
      </c>
      <c r="C42" s="15" t="s">
        <v>98</v>
      </c>
      <c r="D42" s="21">
        <v>102076</v>
      </c>
      <c r="E42" s="21">
        <v>7</v>
      </c>
      <c r="F42" s="23">
        <v>13278.6639</v>
      </c>
      <c r="G42" s="23">
        <v>12381.9524</v>
      </c>
      <c r="H42" s="23">
        <v>3645.5156</v>
      </c>
      <c r="I42" s="24">
        <v>14564.7282</v>
      </c>
      <c r="J42" s="23">
        <v>43870.8601</v>
      </c>
      <c r="K42" s="25"/>
      <c r="L42" s="23"/>
      <c r="M42" s="23"/>
      <c r="N42" s="23"/>
      <c r="O42" s="25"/>
      <c r="P42" s="25"/>
      <c r="Q42" s="23"/>
      <c r="R42" s="23"/>
      <c r="S42" s="23"/>
      <c r="T42" s="25"/>
      <c r="U42" s="23"/>
      <c r="V42" s="23"/>
      <c r="W42" s="23"/>
      <c r="X42" s="23"/>
      <c r="Y42" s="23"/>
      <c r="Z42" s="20"/>
      <c r="AA42" s="20"/>
    </row>
    <row r="43" spans="1:27" ht="9" customHeight="1">
      <c r="A43" s="15" t="s">
        <v>61</v>
      </c>
      <c r="B43" s="16" t="s">
        <v>62</v>
      </c>
      <c r="C43" s="15" t="s">
        <v>99</v>
      </c>
      <c r="D43" s="21">
        <v>251260</v>
      </c>
      <c r="E43" s="21">
        <v>7</v>
      </c>
      <c r="F43" s="23">
        <v>32211.6105</v>
      </c>
      <c r="G43" s="23">
        <v>29437.4718</v>
      </c>
      <c r="H43" s="23">
        <v>19224.9612</v>
      </c>
      <c r="I43" s="24">
        <v>35451.7725</v>
      </c>
      <c r="J43" s="23">
        <v>116325.816</v>
      </c>
      <c r="K43" s="25"/>
      <c r="L43" s="23"/>
      <c r="M43" s="23"/>
      <c r="N43" s="23"/>
      <c r="O43" s="25"/>
      <c r="P43" s="25"/>
      <c r="Q43" s="23"/>
      <c r="R43" s="23"/>
      <c r="S43" s="23"/>
      <c r="T43" s="25"/>
      <c r="U43" s="23"/>
      <c r="V43" s="23"/>
      <c r="W43" s="23"/>
      <c r="X43" s="23"/>
      <c r="Y43" s="23"/>
      <c r="Z43" s="20"/>
      <c r="AA43" s="20"/>
    </row>
    <row r="44" spans="1:27" ht="12.75">
      <c r="A44" s="15" t="s">
        <v>61</v>
      </c>
      <c r="B44" s="16" t="s">
        <v>62</v>
      </c>
      <c r="C44" s="15" t="s">
        <v>100</v>
      </c>
      <c r="D44" s="21">
        <v>101295</v>
      </c>
      <c r="E44" s="21">
        <v>7</v>
      </c>
      <c r="F44" s="23">
        <v>39101.2883</v>
      </c>
      <c r="G44" s="23">
        <v>35949.7974</v>
      </c>
      <c r="H44" s="23">
        <v>18560.2613</v>
      </c>
      <c r="I44" s="24">
        <v>39531.9765</v>
      </c>
      <c r="J44" s="23">
        <v>133143.3235</v>
      </c>
      <c r="K44" s="25"/>
      <c r="L44" s="23"/>
      <c r="M44" s="23"/>
      <c r="N44" s="23"/>
      <c r="O44" s="25"/>
      <c r="P44" s="25"/>
      <c r="Q44" s="23"/>
      <c r="R44" s="23"/>
      <c r="S44" s="23"/>
      <c r="T44" s="25"/>
      <c r="U44" s="23"/>
      <c r="V44" s="23"/>
      <c r="W44" s="23"/>
      <c r="X44" s="23"/>
      <c r="Y44" s="23"/>
      <c r="Z44" s="20"/>
      <c r="AA44" s="20"/>
    </row>
    <row r="45" spans="1:27" ht="12.75">
      <c r="A45" s="15" t="s">
        <v>61</v>
      </c>
      <c r="B45" s="16" t="s">
        <v>62</v>
      </c>
      <c r="C45" s="15" t="s">
        <v>101</v>
      </c>
      <c r="D45" s="21">
        <v>100672</v>
      </c>
      <c r="E45" s="21">
        <v>8</v>
      </c>
      <c r="F45" s="23">
        <v>2515.4591</v>
      </c>
      <c r="G45" s="23">
        <v>2968.8151</v>
      </c>
      <c r="H45" s="23">
        <v>2282.1141</v>
      </c>
      <c r="I45" s="24">
        <v>3118.1559</v>
      </c>
      <c r="J45" s="23">
        <v>10884.5442</v>
      </c>
      <c r="K45" s="25"/>
      <c r="L45" s="23"/>
      <c r="M45" s="23"/>
      <c r="N45" s="23"/>
      <c r="O45" s="25"/>
      <c r="P45" s="25"/>
      <c r="Q45" s="23"/>
      <c r="R45" s="23"/>
      <c r="S45" s="23"/>
      <c r="T45" s="25"/>
      <c r="U45" s="23"/>
      <c r="V45" s="23"/>
      <c r="W45" s="23"/>
      <c r="X45" s="23"/>
      <c r="Y45" s="23"/>
      <c r="Z45" s="20"/>
      <c r="AA45" s="20"/>
    </row>
    <row r="46" spans="1:27" ht="12.75">
      <c r="A46" s="15" t="s">
        <v>61</v>
      </c>
      <c r="B46" s="16" t="s">
        <v>62</v>
      </c>
      <c r="C46" s="15" t="s">
        <v>102</v>
      </c>
      <c r="D46" s="21">
        <v>100919</v>
      </c>
      <c r="E46" s="21">
        <v>8</v>
      </c>
      <c r="F46" s="23">
        <v>9774.4887</v>
      </c>
      <c r="G46" s="23">
        <v>9077.1205</v>
      </c>
      <c r="H46" s="23">
        <v>6474.9904</v>
      </c>
      <c r="I46" s="24">
        <v>9545.8106</v>
      </c>
      <c r="J46" s="23">
        <v>34872.4102</v>
      </c>
      <c r="K46" s="25"/>
      <c r="L46" s="23"/>
      <c r="M46" s="23"/>
      <c r="N46" s="23"/>
      <c r="O46" s="25"/>
      <c r="P46" s="25"/>
      <c r="Q46" s="23"/>
      <c r="R46" s="23"/>
      <c r="S46" s="23"/>
      <c r="T46" s="25"/>
      <c r="U46" s="23"/>
      <c r="V46" s="23"/>
      <c r="W46" s="23"/>
      <c r="X46" s="23"/>
      <c r="Y46" s="23"/>
      <c r="Z46" s="20"/>
      <c r="AA46" s="20"/>
    </row>
    <row r="47" spans="1:27" ht="12.75">
      <c r="A47" s="15" t="s">
        <v>61</v>
      </c>
      <c r="B47" s="16" t="s">
        <v>62</v>
      </c>
      <c r="C47" s="15" t="s">
        <v>103</v>
      </c>
      <c r="D47" s="21">
        <v>101347</v>
      </c>
      <c r="E47" s="21">
        <v>8</v>
      </c>
      <c r="F47" s="23">
        <v>5150.2575</v>
      </c>
      <c r="G47" s="23">
        <v>5162.2581</v>
      </c>
      <c r="H47" s="23">
        <v>4428.8881</v>
      </c>
      <c r="I47" s="24">
        <v>6226.3113</v>
      </c>
      <c r="J47" s="23">
        <v>20967.715</v>
      </c>
      <c r="K47" s="25"/>
      <c r="L47" s="23"/>
      <c r="M47" s="23"/>
      <c r="N47" s="23"/>
      <c r="O47" s="25"/>
      <c r="P47" s="25"/>
      <c r="Q47" s="23"/>
      <c r="R47" s="23"/>
      <c r="S47" s="23"/>
      <c r="T47" s="25"/>
      <c r="U47" s="23"/>
      <c r="V47" s="23"/>
      <c r="W47" s="23"/>
      <c r="X47" s="23"/>
      <c r="Y47" s="23"/>
      <c r="Z47" s="20"/>
      <c r="AA47" s="20"/>
    </row>
    <row r="48" spans="1:27" ht="12.75">
      <c r="A48" s="15" t="s">
        <v>61</v>
      </c>
      <c r="B48" s="16" t="s">
        <v>62</v>
      </c>
      <c r="C48" s="15" t="s">
        <v>104</v>
      </c>
      <c r="D48" s="21">
        <v>101523</v>
      </c>
      <c r="E48" s="21">
        <v>8</v>
      </c>
      <c r="F48" s="23">
        <v>7793.723</v>
      </c>
      <c r="G48" s="23">
        <v>7685.0509</v>
      </c>
      <c r="H48" s="23">
        <v>5912.2956</v>
      </c>
      <c r="I48" s="24">
        <v>8629.7648</v>
      </c>
      <c r="J48" s="23">
        <v>30020.8343</v>
      </c>
      <c r="K48" s="25"/>
      <c r="L48" s="23"/>
      <c r="M48" s="23"/>
      <c r="N48" s="23"/>
      <c r="O48" s="25"/>
      <c r="P48" s="25"/>
      <c r="Q48" s="23"/>
      <c r="R48" s="23"/>
      <c r="S48" s="23"/>
      <c r="T48" s="25"/>
      <c r="U48" s="23"/>
      <c r="V48" s="23"/>
      <c r="W48" s="23"/>
      <c r="X48" s="23"/>
      <c r="Y48" s="23"/>
      <c r="Z48" s="20"/>
      <c r="AA48" s="20"/>
    </row>
    <row r="49" spans="1:43" ht="12.75">
      <c r="A49" s="15" t="s">
        <v>61</v>
      </c>
      <c r="B49" s="16" t="s">
        <v>62</v>
      </c>
      <c r="C49" s="15" t="s">
        <v>105</v>
      </c>
      <c r="D49" s="21">
        <v>101462</v>
      </c>
      <c r="E49" s="21">
        <v>8</v>
      </c>
      <c r="F49" s="23">
        <v>4348.2174</v>
      </c>
      <c r="G49" s="23">
        <v>4615.5641</v>
      </c>
      <c r="H49" s="23">
        <v>3412.1706</v>
      </c>
      <c r="I49" s="24">
        <v>5155.5911</v>
      </c>
      <c r="J49" s="23">
        <v>17531.5432</v>
      </c>
      <c r="K49" s="25"/>
      <c r="L49" s="23"/>
      <c r="M49" s="23"/>
      <c r="N49" s="23"/>
      <c r="O49" s="25"/>
      <c r="P49" s="25"/>
      <c r="Q49" s="23"/>
      <c r="R49" s="23"/>
      <c r="S49" s="23"/>
      <c r="T49" s="25"/>
      <c r="U49" s="23"/>
      <c r="V49" s="23"/>
      <c r="W49" s="23"/>
      <c r="X49" s="23"/>
      <c r="Y49" s="23"/>
      <c r="Z49" s="20"/>
      <c r="AA49" s="20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2.75">
      <c r="A50" s="15" t="s">
        <v>61</v>
      </c>
      <c r="B50" s="16" t="s">
        <v>62</v>
      </c>
      <c r="C50" s="15" t="s">
        <v>106</v>
      </c>
      <c r="D50" s="21">
        <v>101471</v>
      </c>
      <c r="E50" s="21">
        <v>8</v>
      </c>
      <c r="F50" s="23">
        <v>7471.0402</v>
      </c>
      <c r="G50" s="23">
        <v>6907.6787</v>
      </c>
      <c r="H50" s="23">
        <v>6235.6451</v>
      </c>
      <c r="I50" s="24">
        <v>6032.3016</v>
      </c>
      <c r="J50" s="23">
        <v>26646.6656</v>
      </c>
      <c r="K50" s="25"/>
      <c r="L50" s="23"/>
      <c r="M50" s="23"/>
      <c r="N50" s="23"/>
      <c r="O50" s="25"/>
      <c r="P50" s="25"/>
      <c r="Q50" s="23"/>
      <c r="R50" s="23"/>
      <c r="S50" s="23"/>
      <c r="T50" s="25"/>
      <c r="U50" s="23"/>
      <c r="V50" s="23"/>
      <c r="W50" s="23"/>
      <c r="X50" s="23"/>
      <c r="Y50" s="23"/>
      <c r="Z50" s="20"/>
      <c r="AA50" s="20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.75">
      <c r="A51" s="15" t="s">
        <v>61</v>
      </c>
      <c r="B51" s="16" t="s">
        <v>62</v>
      </c>
      <c r="C51" s="15" t="s">
        <v>107</v>
      </c>
      <c r="D51" s="21">
        <v>101107</v>
      </c>
      <c r="E51" s="21">
        <v>8</v>
      </c>
      <c r="F51" s="23">
        <v>5719.6193</v>
      </c>
      <c r="G51" s="23">
        <v>5843.6255</v>
      </c>
      <c r="H51" s="23">
        <v>5168.9251</v>
      </c>
      <c r="I51" s="24">
        <v>6408.3204</v>
      </c>
      <c r="J51" s="23">
        <v>23140.4903</v>
      </c>
      <c r="K51" s="25"/>
      <c r="L51" s="23"/>
      <c r="M51" s="23"/>
      <c r="N51" s="23"/>
      <c r="O51" s="25"/>
      <c r="P51" s="25"/>
      <c r="Q51" s="23"/>
      <c r="R51" s="23"/>
      <c r="S51" s="23"/>
      <c r="T51" s="25"/>
      <c r="U51" s="23"/>
      <c r="V51" s="23"/>
      <c r="W51" s="23"/>
      <c r="X51" s="23"/>
      <c r="Y51" s="23"/>
      <c r="Z51" s="20"/>
      <c r="AA51" s="20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75">
      <c r="A52" s="15" t="s">
        <v>61</v>
      </c>
      <c r="B52" s="16" t="s">
        <v>62</v>
      </c>
      <c r="C52" s="15" t="s">
        <v>108</v>
      </c>
      <c r="D52" s="21">
        <v>101994</v>
      </c>
      <c r="E52" s="21">
        <v>8</v>
      </c>
      <c r="F52" s="23">
        <v>5144.9239</v>
      </c>
      <c r="G52" s="23">
        <v>5232.2616</v>
      </c>
      <c r="H52" s="23">
        <v>4768.9051</v>
      </c>
      <c r="I52" s="24">
        <v>6599.6633</v>
      </c>
      <c r="J52" s="23">
        <v>21745.7539</v>
      </c>
      <c r="K52" s="25"/>
      <c r="L52" s="23"/>
      <c r="M52" s="23"/>
      <c r="N52" s="23"/>
      <c r="O52" s="25"/>
      <c r="P52" s="25"/>
      <c r="Q52" s="23"/>
      <c r="R52" s="23"/>
      <c r="S52" s="23"/>
      <c r="T52" s="25"/>
      <c r="U52" s="23"/>
      <c r="V52" s="23"/>
      <c r="W52" s="23"/>
      <c r="X52" s="23"/>
      <c r="Y52" s="23"/>
      <c r="Z52" s="20"/>
      <c r="AA52" s="20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2.75">
      <c r="A53" s="15" t="s">
        <v>61</v>
      </c>
      <c r="B53" s="16" t="s">
        <v>62</v>
      </c>
      <c r="C53" s="15" t="s">
        <v>109</v>
      </c>
      <c r="D53" s="21">
        <v>101037</v>
      </c>
      <c r="E53" s="21">
        <v>8</v>
      </c>
      <c r="F53" s="23">
        <v>5618.2809</v>
      </c>
      <c r="G53" s="23">
        <v>5431.6049</v>
      </c>
      <c r="H53" s="23">
        <v>4851.5759</v>
      </c>
      <c r="I53" s="24">
        <v>5997.6332</v>
      </c>
      <c r="J53" s="23">
        <v>21899.0949</v>
      </c>
      <c r="K53" s="25"/>
      <c r="L53" s="23"/>
      <c r="M53" s="23"/>
      <c r="N53" s="23"/>
      <c r="O53" s="25"/>
      <c r="P53" s="25"/>
      <c r="Q53" s="23"/>
      <c r="R53" s="23"/>
      <c r="S53" s="23"/>
      <c r="T53" s="25"/>
      <c r="U53" s="23"/>
      <c r="V53" s="23"/>
      <c r="W53" s="23"/>
      <c r="X53" s="23"/>
      <c r="Y53" s="23"/>
      <c r="Z53" s="20"/>
      <c r="AA53" s="20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2.75">
      <c r="A54" s="15" t="s">
        <v>61</v>
      </c>
      <c r="B54" s="16" t="s">
        <v>62</v>
      </c>
      <c r="C54" s="15" t="s">
        <v>110</v>
      </c>
      <c r="D54" s="21">
        <v>102313</v>
      </c>
      <c r="E54" s="21">
        <v>8</v>
      </c>
      <c r="F54" s="23">
        <v>6215.6441</v>
      </c>
      <c r="G54" s="23">
        <v>6240.9787</v>
      </c>
      <c r="H54" s="23">
        <v>5013.584</v>
      </c>
      <c r="I54" s="24">
        <v>6787.6727</v>
      </c>
      <c r="J54" s="23">
        <v>24257.8795</v>
      </c>
      <c r="K54" s="25"/>
      <c r="L54" s="23"/>
      <c r="M54" s="23"/>
      <c r="N54" s="23"/>
      <c r="O54" s="25"/>
      <c r="P54" s="25"/>
      <c r="Q54" s="23"/>
      <c r="R54" s="23"/>
      <c r="S54" s="23"/>
      <c r="T54" s="25"/>
      <c r="U54" s="23"/>
      <c r="V54" s="23"/>
      <c r="W54" s="23"/>
      <c r="X54" s="23"/>
      <c r="Y54" s="23"/>
      <c r="Z54" s="20"/>
      <c r="AA54" s="20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2.75">
      <c r="A55" s="15" t="s">
        <v>111</v>
      </c>
      <c r="B55" s="16" t="s">
        <v>62</v>
      </c>
      <c r="C55" s="15" t="s">
        <v>112</v>
      </c>
      <c r="D55" s="21">
        <v>106397</v>
      </c>
      <c r="E55" s="22">
        <v>1</v>
      </c>
      <c r="F55" s="23"/>
      <c r="G55" s="23">
        <v>145878</v>
      </c>
      <c r="H55" s="23">
        <v>25189</v>
      </c>
      <c r="I55" s="24">
        <v>160173</v>
      </c>
      <c r="J55" s="23">
        <f aca="true" t="shared" si="2" ref="J55:J86">SUM(G55:I55)</f>
        <v>331240</v>
      </c>
      <c r="K55" s="25"/>
      <c r="L55" s="23"/>
      <c r="M55" s="23"/>
      <c r="N55" s="23"/>
      <c r="O55" s="25"/>
      <c r="P55" s="25"/>
      <c r="Q55" s="23">
        <v>22024</v>
      </c>
      <c r="R55" s="23">
        <v>7484</v>
      </c>
      <c r="S55" s="23">
        <v>23206</v>
      </c>
      <c r="T55" s="26">
        <f aca="true" t="shared" si="3" ref="T55:T63">SUM(Q55:S55)</f>
        <v>52714</v>
      </c>
      <c r="U55" s="15"/>
      <c r="V55" s="15"/>
      <c r="W55" s="15"/>
      <c r="X55" s="15"/>
      <c r="Y55" s="15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2"/>
      <c r="AN55" s="32"/>
      <c r="AO55" s="32"/>
      <c r="AP55" s="32"/>
      <c r="AQ55" s="32"/>
    </row>
    <row r="56" spans="1:43" ht="12.75">
      <c r="A56" s="15" t="s">
        <v>111</v>
      </c>
      <c r="B56" s="16" t="s">
        <v>62</v>
      </c>
      <c r="C56" s="15" t="s">
        <v>113</v>
      </c>
      <c r="D56" s="21">
        <v>106458</v>
      </c>
      <c r="E56" s="22">
        <v>3</v>
      </c>
      <c r="F56" s="23"/>
      <c r="G56" s="23">
        <v>103590</v>
      </c>
      <c r="H56" s="23">
        <v>21751</v>
      </c>
      <c r="I56" s="24">
        <v>113264</v>
      </c>
      <c r="J56" s="23">
        <f t="shared" si="2"/>
        <v>238605</v>
      </c>
      <c r="K56" s="25"/>
      <c r="L56" s="23"/>
      <c r="M56" s="23"/>
      <c r="N56" s="23"/>
      <c r="O56" s="25"/>
      <c r="P56" s="25"/>
      <c r="Q56" s="23">
        <v>5366</v>
      </c>
      <c r="R56" s="23">
        <v>4646</v>
      </c>
      <c r="S56" s="23">
        <v>5890</v>
      </c>
      <c r="T56" s="26">
        <f t="shared" si="3"/>
        <v>15902</v>
      </c>
      <c r="U56" s="15"/>
      <c r="V56" s="15"/>
      <c r="W56" s="15"/>
      <c r="X56" s="15"/>
      <c r="Y56" s="1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2"/>
      <c r="AN56" s="32"/>
      <c r="AO56" s="32"/>
      <c r="AP56" s="32"/>
      <c r="AQ56" s="32"/>
    </row>
    <row r="57" spans="1:43" ht="12.75">
      <c r="A57" s="15" t="s">
        <v>111</v>
      </c>
      <c r="B57" s="16" t="s">
        <v>62</v>
      </c>
      <c r="C57" s="15" t="s">
        <v>114</v>
      </c>
      <c r="D57" s="21">
        <v>106245</v>
      </c>
      <c r="E57" s="22">
        <v>3</v>
      </c>
      <c r="F57" s="23"/>
      <c r="G57" s="23">
        <v>85282</v>
      </c>
      <c r="H57" s="23">
        <v>21293</v>
      </c>
      <c r="I57" s="24">
        <v>91134</v>
      </c>
      <c r="J57" s="23">
        <f t="shared" si="2"/>
        <v>197709</v>
      </c>
      <c r="K57" s="25"/>
      <c r="L57" s="23"/>
      <c r="M57" s="23"/>
      <c r="N57" s="23"/>
      <c r="O57" s="25"/>
      <c r="P57" s="25"/>
      <c r="Q57" s="23">
        <v>14157</v>
      </c>
      <c r="R57" s="23">
        <v>5298</v>
      </c>
      <c r="S57" s="23">
        <v>14926</v>
      </c>
      <c r="T57" s="26">
        <f t="shared" si="3"/>
        <v>34381</v>
      </c>
      <c r="U57" s="15"/>
      <c r="V57" s="15"/>
      <c r="W57" s="15"/>
      <c r="X57" s="15"/>
      <c r="Y57" s="1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2"/>
      <c r="AN57" s="32"/>
      <c r="AO57" s="32"/>
      <c r="AP57" s="32"/>
      <c r="AQ57" s="32"/>
    </row>
    <row r="58" spans="1:43" ht="12.75">
      <c r="A58" s="15" t="s">
        <v>111</v>
      </c>
      <c r="B58" s="16" t="s">
        <v>62</v>
      </c>
      <c r="C58" s="15" t="s">
        <v>115</v>
      </c>
      <c r="D58" s="21">
        <v>106704</v>
      </c>
      <c r="E58" s="22">
        <v>3</v>
      </c>
      <c r="F58" s="23"/>
      <c r="G58" s="23">
        <v>98058</v>
      </c>
      <c r="H58" s="23">
        <v>18863</v>
      </c>
      <c r="I58" s="24">
        <v>107233</v>
      </c>
      <c r="J58" s="23">
        <f t="shared" si="2"/>
        <v>224154</v>
      </c>
      <c r="K58" s="25"/>
      <c r="L58" s="23"/>
      <c r="M58" s="23"/>
      <c r="N58" s="23"/>
      <c r="O58" s="25"/>
      <c r="P58" s="25"/>
      <c r="Q58" s="23">
        <v>6684</v>
      </c>
      <c r="R58" s="23">
        <v>7130</v>
      </c>
      <c r="S58" s="23">
        <v>6476</v>
      </c>
      <c r="T58" s="26">
        <f t="shared" si="3"/>
        <v>20290</v>
      </c>
      <c r="U58" s="15"/>
      <c r="V58" s="15"/>
      <c r="W58" s="15"/>
      <c r="X58" s="15"/>
      <c r="Y58" s="1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32"/>
      <c r="AN58" s="32"/>
      <c r="AO58" s="32"/>
      <c r="AP58" s="32"/>
      <c r="AQ58" s="32"/>
    </row>
    <row r="59" spans="1:43" ht="12.75">
      <c r="A59" s="15" t="s">
        <v>111</v>
      </c>
      <c r="B59" s="16" t="s">
        <v>62</v>
      </c>
      <c r="C59" s="15" t="s">
        <v>116</v>
      </c>
      <c r="D59" s="21">
        <v>106467</v>
      </c>
      <c r="E59" s="22">
        <v>5</v>
      </c>
      <c r="F59" s="23"/>
      <c r="G59" s="23">
        <v>50091</v>
      </c>
      <c r="H59" s="23">
        <v>10205</v>
      </c>
      <c r="I59" s="24">
        <v>55735</v>
      </c>
      <c r="J59" s="23">
        <f t="shared" si="2"/>
        <v>116031</v>
      </c>
      <c r="K59" s="25"/>
      <c r="L59" s="23"/>
      <c r="M59" s="23"/>
      <c r="N59" s="23"/>
      <c r="O59" s="25"/>
      <c r="P59" s="25"/>
      <c r="Q59" s="23">
        <v>604</v>
      </c>
      <c r="R59" s="23">
        <v>1291</v>
      </c>
      <c r="S59" s="23">
        <v>511</v>
      </c>
      <c r="T59" s="26">
        <f t="shared" si="3"/>
        <v>2406</v>
      </c>
      <c r="U59" s="15"/>
      <c r="V59" s="15"/>
      <c r="W59" s="15"/>
      <c r="X59" s="15"/>
      <c r="Y59" s="1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32"/>
      <c r="AN59" s="32"/>
      <c r="AO59" s="32"/>
      <c r="AP59" s="32"/>
      <c r="AQ59" s="32"/>
    </row>
    <row r="60" spans="1:43" ht="12.75">
      <c r="A60" s="15" t="s">
        <v>111</v>
      </c>
      <c r="B60" s="16" t="s">
        <v>62</v>
      </c>
      <c r="C60" s="15" t="s">
        <v>117</v>
      </c>
      <c r="D60" s="21">
        <v>107071</v>
      </c>
      <c r="E60" s="22">
        <v>5</v>
      </c>
      <c r="F60" s="23"/>
      <c r="G60" s="23">
        <v>41254</v>
      </c>
      <c r="H60" s="23">
        <v>8069</v>
      </c>
      <c r="I60" s="24">
        <v>45638</v>
      </c>
      <c r="J60" s="23">
        <f t="shared" si="2"/>
        <v>94961</v>
      </c>
      <c r="K60" s="25"/>
      <c r="L60" s="23"/>
      <c r="M60" s="23"/>
      <c r="N60" s="23"/>
      <c r="O60" s="25"/>
      <c r="P60" s="25"/>
      <c r="Q60" s="23">
        <v>1359</v>
      </c>
      <c r="R60" s="23">
        <v>1721</v>
      </c>
      <c r="S60" s="23">
        <v>1568</v>
      </c>
      <c r="T60" s="26">
        <f t="shared" si="3"/>
        <v>4648</v>
      </c>
      <c r="U60" s="15"/>
      <c r="V60" s="15"/>
      <c r="W60" s="15"/>
      <c r="X60" s="15"/>
      <c r="Y60" s="15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32"/>
      <c r="AN60" s="32"/>
      <c r="AO60" s="32"/>
      <c r="AP60" s="32"/>
      <c r="AQ60" s="32"/>
    </row>
    <row r="61" spans="1:43" ht="12.75">
      <c r="A61" s="15" t="s">
        <v>111</v>
      </c>
      <c r="B61" s="16" t="s">
        <v>62</v>
      </c>
      <c r="C61" s="15" t="s">
        <v>118</v>
      </c>
      <c r="D61" s="21">
        <v>107983</v>
      </c>
      <c r="E61" s="22">
        <v>6</v>
      </c>
      <c r="F61" s="23"/>
      <c r="G61" s="23">
        <v>29289</v>
      </c>
      <c r="H61" s="23">
        <v>5718</v>
      </c>
      <c r="I61" s="24">
        <v>34174</v>
      </c>
      <c r="J61" s="23">
        <f t="shared" si="2"/>
        <v>69181</v>
      </c>
      <c r="K61" s="25"/>
      <c r="L61" s="23"/>
      <c r="M61" s="23"/>
      <c r="N61" s="23"/>
      <c r="O61" s="25"/>
      <c r="P61" s="25"/>
      <c r="Q61" s="23">
        <v>825</v>
      </c>
      <c r="R61" s="23">
        <v>972</v>
      </c>
      <c r="S61" s="23">
        <v>870</v>
      </c>
      <c r="T61" s="26">
        <f t="shared" si="3"/>
        <v>2667</v>
      </c>
      <c r="U61" s="15"/>
      <c r="V61" s="15"/>
      <c r="W61" s="15"/>
      <c r="X61" s="15"/>
      <c r="Y61" s="1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32"/>
      <c r="AN61" s="32"/>
      <c r="AO61" s="32"/>
      <c r="AP61" s="32"/>
      <c r="AQ61" s="32"/>
    </row>
    <row r="62" spans="1:43" ht="12.75">
      <c r="A62" s="15" t="s">
        <v>111</v>
      </c>
      <c r="B62" s="16" t="s">
        <v>62</v>
      </c>
      <c r="C62" s="15" t="s">
        <v>119</v>
      </c>
      <c r="D62" s="21">
        <v>106485</v>
      </c>
      <c r="E62" s="22">
        <v>6</v>
      </c>
      <c r="F62" s="23"/>
      <c r="G62" s="23">
        <v>26842</v>
      </c>
      <c r="H62" s="23">
        <v>5501</v>
      </c>
      <c r="I62" s="24">
        <v>30221</v>
      </c>
      <c r="J62" s="23">
        <f t="shared" si="2"/>
        <v>62564</v>
      </c>
      <c r="K62" s="25"/>
      <c r="L62" s="23"/>
      <c r="M62" s="23"/>
      <c r="N62" s="23"/>
      <c r="O62" s="25"/>
      <c r="P62" s="25"/>
      <c r="Q62" s="23">
        <v>117</v>
      </c>
      <c r="R62" s="23">
        <v>507</v>
      </c>
      <c r="S62" s="23">
        <v>414</v>
      </c>
      <c r="T62" s="26">
        <f t="shared" si="3"/>
        <v>1038</v>
      </c>
      <c r="U62" s="33"/>
      <c r="V62" s="15"/>
      <c r="W62" s="15"/>
      <c r="X62" s="15"/>
      <c r="Y62" s="1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32"/>
      <c r="AN62" s="32"/>
      <c r="AO62" s="32"/>
      <c r="AP62" s="32"/>
      <c r="AQ62" s="32"/>
    </row>
    <row r="63" spans="1:43" ht="12.75">
      <c r="A63" s="15" t="s">
        <v>111</v>
      </c>
      <c r="B63" s="16" t="s">
        <v>62</v>
      </c>
      <c r="C63" s="15" t="s">
        <v>120</v>
      </c>
      <c r="D63" s="21">
        <v>106412</v>
      </c>
      <c r="E63" s="22">
        <v>6</v>
      </c>
      <c r="F63" s="23"/>
      <c r="G63" s="23">
        <v>37827</v>
      </c>
      <c r="H63" s="23">
        <v>6125</v>
      </c>
      <c r="I63" s="24">
        <v>41306</v>
      </c>
      <c r="J63" s="23">
        <f t="shared" si="2"/>
        <v>85258</v>
      </c>
      <c r="K63" s="25"/>
      <c r="L63" s="23"/>
      <c r="M63" s="23"/>
      <c r="N63" s="23"/>
      <c r="O63" s="25"/>
      <c r="P63" s="25"/>
      <c r="Q63" s="23">
        <v>444</v>
      </c>
      <c r="R63" s="23">
        <v>387</v>
      </c>
      <c r="S63" s="23">
        <v>402</v>
      </c>
      <c r="T63" s="26">
        <f t="shared" si="3"/>
        <v>1233</v>
      </c>
      <c r="U63" s="15"/>
      <c r="V63" s="15"/>
      <c r="W63" s="15"/>
      <c r="X63" s="15"/>
      <c r="Y63" s="1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32"/>
      <c r="AN63" s="32"/>
      <c r="AO63" s="32"/>
      <c r="AP63" s="32"/>
      <c r="AQ63" s="32"/>
    </row>
    <row r="64" spans="1:43" ht="12.75">
      <c r="A64" s="15" t="s">
        <v>111</v>
      </c>
      <c r="B64" s="16" t="s">
        <v>62</v>
      </c>
      <c r="C64" s="31" t="s">
        <v>121</v>
      </c>
      <c r="D64" s="30">
        <v>106449</v>
      </c>
      <c r="E64" s="22">
        <v>7</v>
      </c>
      <c r="F64" s="23"/>
      <c r="G64" s="23">
        <v>29405</v>
      </c>
      <c r="H64" s="23">
        <v>7383</v>
      </c>
      <c r="I64" s="24">
        <v>31615</v>
      </c>
      <c r="J64" s="23">
        <f t="shared" si="2"/>
        <v>68403</v>
      </c>
      <c r="K64" s="25"/>
      <c r="L64" s="23"/>
      <c r="M64" s="23"/>
      <c r="N64" s="23"/>
      <c r="O64" s="25"/>
      <c r="P64" s="25"/>
      <c r="Q64" s="23"/>
      <c r="R64" s="23"/>
      <c r="S64" s="23"/>
      <c r="T64" s="26"/>
      <c r="U64" s="15"/>
      <c r="V64" s="15"/>
      <c r="W64" s="15"/>
      <c r="X64" s="15"/>
      <c r="Y64" s="15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32"/>
      <c r="AN64" s="32"/>
      <c r="AO64" s="32"/>
      <c r="AP64" s="32"/>
      <c r="AQ64" s="32"/>
    </row>
    <row r="65" spans="1:43" ht="12.75">
      <c r="A65" s="15" t="s">
        <v>111</v>
      </c>
      <c r="B65" s="16" t="s">
        <v>62</v>
      </c>
      <c r="C65" s="15" t="s">
        <v>122</v>
      </c>
      <c r="D65" s="21">
        <v>901090</v>
      </c>
      <c r="E65" s="22">
        <v>7</v>
      </c>
      <c r="F65" s="23"/>
      <c r="G65" s="23">
        <v>5239</v>
      </c>
      <c r="H65" s="23">
        <v>684</v>
      </c>
      <c r="I65" s="24">
        <v>5419</v>
      </c>
      <c r="J65" s="23">
        <f t="shared" si="2"/>
        <v>11342</v>
      </c>
      <c r="K65" s="25"/>
      <c r="L65" s="23"/>
      <c r="M65" s="23"/>
      <c r="N65" s="23"/>
      <c r="O65" s="25"/>
      <c r="P65" s="25"/>
      <c r="Q65" s="23"/>
      <c r="R65" s="23"/>
      <c r="S65" s="23"/>
      <c r="T65" s="26"/>
      <c r="U65" s="15"/>
      <c r="V65" s="15"/>
      <c r="W65" s="15"/>
      <c r="X65" s="15"/>
      <c r="Y65" s="15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32"/>
      <c r="AN65" s="32"/>
      <c r="AO65" s="32"/>
      <c r="AP65" s="32"/>
      <c r="AQ65" s="32"/>
    </row>
    <row r="66" spans="1:43" ht="12.75">
      <c r="A66" s="15" t="s">
        <v>111</v>
      </c>
      <c r="B66" s="16" t="s">
        <v>62</v>
      </c>
      <c r="C66" s="15" t="s">
        <v>123</v>
      </c>
      <c r="D66" s="21">
        <v>106625</v>
      </c>
      <c r="E66" s="22">
        <v>7</v>
      </c>
      <c r="F66" s="23"/>
      <c r="G66" s="23">
        <v>10996</v>
      </c>
      <c r="H66" s="23">
        <v>3111</v>
      </c>
      <c r="I66" s="24">
        <v>10128</v>
      </c>
      <c r="J66" s="23">
        <f t="shared" si="2"/>
        <v>24235</v>
      </c>
      <c r="K66" s="25"/>
      <c r="L66" s="23"/>
      <c r="M66" s="23"/>
      <c r="N66" s="23"/>
      <c r="O66" s="25"/>
      <c r="P66" s="25"/>
      <c r="Q66" s="23"/>
      <c r="R66" s="23"/>
      <c r="S66" s="23"/>
      <c r="T66" s="26"/>
      <c r="U66" s="15"/>
      <c r="V66" s="15"/>
      <c r="W66" s="15"/>
      <c r="X66" s="15"/>
      <c r="Y66" s="15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32"/>
      <c r="AN66" s="32"/>
      <c r="AO66" s="32"/>
      <c r="AP66" s="32"/>
      <c r="AQ66" s="32"/>
    </row>
    <row r="67" spans="1:43" ht="12.75">
      <c r="A67" s="15" t="s">
        <v>111</v>
      </c>
      <c r="B67" s="16" t="s">
        <v>62</v>
      </c>
      <c r="C67" s="15" t="s">
        <v>124</v>
      </c>
      <c r="D67" s="21">
        <v>106795</v>
      </c>
      <c r="E67" s="22">
        <v>7</v>
      </c>
      <c r="F67" s="23"/>
      <c r="G67" s="23">
        <v>5613</v>
      </c>
      <c r="H67" s="23">
        <v>1509</v>
      </c>
      <c r="I67" s="24">
        <v>5894</v>
      </c>
      <c r="J67" s="23">
        <f t="shared" si="2"/>
        <v>13016</v>
      </c>
      <c r="K67" s="25"/>
      <c r="L67" s="23"/>
      <c r="M67" s="23"/>
      <c r="N67" s="23"/>
      <c r="O67" s="25"/>
      <c r="P67" s="25"/>
      <c r="Q67" s="23"/>
      <c r="R67" s="23"/>
      <c r="S67" s="23"/>
      <c r="T67" s="26"/>
      <c r="U67" s="15"/>
      <c r="V67" s="15"/>
      <c r="W67" s="15"/>
      <c r="X67" s="15"/>
      <c r="Y67" s="15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32"/>
      <c r="AN67" s="32"/>
      <c r="AO67" s="32"/>
      <c r="AP67" s="32"/>
      <c r="AQ67" s="32"/>
    </row>
    <row r="68" spans="1:43" ht="12.75">
      <c r="A68" s="15" t="s">
        <v>111</v>
      </c>
      <c r="B68" s="16" t="s">
        <v>62</v>
      </c>
      <c r="C68" s="15" t="s">
        <v>125</v>
      </c>
      <c r="D68" s="21">
        <v>106883</v>
      </c>
      <c r="E68" s="22">
        <v>7</v>
      </c>
      <c r="F68" s="23"/>
      <c r="G68" s="23">
        <v>12541</v>
      </c>
      <c r="H68" s="23">
        <v>1911</v>
      </c>
      <c r="I68" s="24">
        <v>12030</v>
      </c>
      <c r="J68" s="23">
        <f t="shared" si="2"/>
        <v>26482</v>
      </c>
      <c r="K68" s="25"/>
      <c r="L68" s="23"/>
      <c r="M68" s="23"/>
      <c r="N68" s="23"/>
      <c r="O68" s="25"/>
      <c r="P68" s="25"/>
      <c r="Q68" s="23"/>
      <c r="R68" s="23"/>
      <c r="S68" s="23"/>
      <c r="T68" s="26"/>
      <c r="U68" s="23"/>
      <c r="V68" s="23"/>
      <c r="W68" s="23"/>
      <c r="X68" s="23"/>
      <c r="Y68" s="23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32"/>
      <c r="AN68" s="32"/>
      <c r="AO68" s="32"/>
      <c r="AP68" s="32"/>
      <c r="AQ68" s="32"/>
    </row>
    <row r="69" spans="1:43" ht="12.75">
      <c r="A69" s="15" t="s">
        <v>111</v>
      </c>
      <c r="B69" s="16" t="s">
        <v>62</v>
      </c>
      <c r="C69" s="15" t="s">
        <v>126</v>
      </c>
      <c r="D69" s="21">
        <v>106980</v>
      </c>
      <c r="E69" s="22">
        <v>7</v>
      </c>
      <c r="F69" s="23"/>
      <c r="G69" s="23">
        <v>15173</v>
      </c>
      <c r="H69" s="23">
        <v>3307</v>
      </c>
      <c r="I69" s="24">
        <v>17206</v>
      </c>
      <c r="J69" s="23">
        <f t="shared" si="2"/>
        <v>35686</v>
      </c>
      <c r="K69" s="25"/>
      <c r="L69" s="23"/>
      <c r="M69" s="23"/>
      <c r="N69" s="23"/>
      <c r="O69" s="25"/>
      <c r="P69" s="25"/>
      <c r="Q69" s="23"/>
      <c r="R69" s="23"/>
      <c r="S69" s="23"/>
      <c r="T69" s="26"/>
      <c r="U69" s="23"/>
      <c r="V69" s="23"/>
      <c r="W69" s="23"/>
      <c r="X69" s="23"/>
      <c r="Y69" s="23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32"/>
      <c r="AN69" s="32"/>
      <c r="AO69" s="32"/>
      <c r="AP69" s="32"/>
      <c r="AQ69" s="32"/>
    </row>
    <row r="70" spans="1:43" ht="12.75">
      <c r="A70" s="15" t="s">
        <v>111</v>
      </c>
      <c r="B70" s="16" t="s">
        <v>62</v>
      </c>
      <c r="C70" s="15" t="s">
        <v>127</v>
      </c>
      <c r="D70" s="21">
        <v>106999</v>
      </c>
      <c r="E70" s="22">
        <v>7</v>
      </c>
      <c r="F70" s="23"/>
      <c r="G70" s="23">
        <v>4830</v>
      </c>
      <c r="H70" s="23">
        <v>1578</v>
      </c>
      <c r="I70" s="24">
        <v>3112</v>
      </c>
      <c r="J70" s="23">
        <f t="shared" si="2"/>
        <v>9520</v>
      </c>
      <c r="K70" s="25"/>
      <c r="L70" s="23"/>
      <c r="M70" s="23"/>
      <c r="N70" s="23"/>
      <c r="O70" s="25"/>
      <c r="P70" s="25"/>
      <c r="Q70" s="23"/>
      <c r="R70" s="23"/>
      <c r="S70" s="23"/>
      <c r="T70" s="26"/>
      <c r="U70" s="23"/>
      <c r="V70" s="23"/>
      <c r="W70" s="23"/>
      <c r="X70" s="23"/>
      <c r="Y70" s="23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32"/>
      <c r="AN70" s="32"/>
      <c r="AO70" s="32"/>
      <c r="AP70" s="32"/>
      <c r="AQ70" s="32"/>
    </row>
    <row r="71" spans="1:43" ht="12.75">
      <c r="A71" s="15" t="s">
        <v>111</v>
      </c>
      <c r="B71" s="16" t="s">
        <v>62</v>
      </c>
      <c r="C71" s="15" t="s">
        <v>128</v>
      </c>
      <c r="D71" s="21">
        <v>107318</v>
      </c>
      <c r="E71" s="22">
        <v>7</v>
      </c>
      <c r="F71" s="23"/>
      <c r="G71" s="23">
        <v>5988</v>
      </c>
      <c r="H71" s="23">
        <v>1797</v>
      </c>
      <c r="I71" s="24">
        <v>6066</v>
      </c>
      <c r="J71" s="23">
        <f t="shared" si="2"/>
        <v>13851</v>
      </c>
      <c r="K71" s="25"/>
      <c r="L71" s="23"/>
      <c r="M71" s="23"/>
      <c r="N71" s="23"/>
      <c r="O71" s="25"/>
      <c r="P71" s="25"/>
      <c r="Q71" s="23"/>
      <c r="R71" s="23"/>
      <c r="S71" s="23"/>
      <c r="T71" s="26"/>
      <c r="U71" s="23"/>
      <c r="V71" s="23"/>
      <c r="W71" s="23"/>
      <c r="X71" s="23"/>
      <c r="Y71" s="23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32"/>
      <c r="AN71" s="32"/>
      <c r="AO71" s="32"/>
      <c r="AP71" s="32"/>
      <c r="AQ71" s="32"/>
    </row>
    <row r="72" spans="1:43" ht="12.75">
      <c r="A72" s="15" t="s">
        <v>111</v>
      </c>
      <c r="B72" s="16" t="s">
        <v>62</v>
      </c>
      <c r="C72" s="15" t="s">
        <v>129</v>
      </c>
      <c r="D72" s="21">
        <v>107327</v>
      </c>
      <c r="E72" s="22">
        <v>7</v>
      </c>
      <c r="F72" s="23"/>
      <c r="G72" s="23">
        <v>14995</v>
      </c>
      <c r="H72" s="23">
        <v>2757</v>
      </c>
      <c r="I72" s="24">
        <v>15716</v>
      </c>
      <c r="J72" s="23">
        <f t="shared" si="2"/>
        <v>33468</v>
      </c>
      <c r="K72" s="25"/>
      <c r="L72" s="23"/>
      <c r="M72" s="23"/>
      <c r="N72" s="23"/>
      <c r="O72" s="25"/>
      <c r="P72" s="25"/>
      <c r="Q72" s="23"/>
      <c r="R72" s="23"/>
      <c r="S72" s="23"/>
      <c r="T72" s="26"/>
      <c r="U72" s="23"/>
      <c r="V72" s="23"/>
      <c r="W72" s="23"/>
      <c r="X72" s="23"/>
      <c r="Y72" s="23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32"/>
      <c r="AN72" s="32"/>
      <c r="AO72" s="32"/>
      <c r="AP72" s="32"/>
      <c r="AQ72" s="32"/>
    </row>
    <row r="73" spans="1:43" ht="12.75">
      <c r="A73" s="15" t="s">
        <v>111</v>
      </c>
      <c r="B73" s="16" t="s">
        <v>62</v>
      </c>
      <c r="C73" s="15" t="s">
        <v>130</v>
      </c>
      <c r="D73" s="21">
        <v>107460</v>
      </c>
      <c r="E73" s="22">
        <v>7</v>
      </c>
      <c r="F73" s="23"/>
      <c r="G73" s="23">
        <v>14724</v>
      </c>
      <c r="H73" s="23">
        <v>2225</v>
      </c>
      <c r="I73" s="24">
        <v>16392</v>
      </c>
      <c r="J73" s="23">
        <f t="shared" si="2"/>
        <v>33341</v>
      </c>
      <c r="K73" s="25"/>
      <c r="L73" s="23"/>
      <c r="M73" s="23"/>
      <c r="N73" s="23"/>
      <c r="O73" s="25"/>
      <c r="P73" s="25"/>
      <c r="Q73" s="23"/>
      <c r="R73" s="23"/>
      <c r="S73" s="23"/>
      <c r="T73" s="26"/>
      <c r="U73" s="23"/>
      <c r="V73" s="23"/>
      <c r="W73" s="23"/>
      <c r="X73" s="23"/>
      <c r="Y73" s="2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32"/>
      <c r="AN73" s="32"/>
      <c r="AO73" s="32"/>
      <c r="AP73" s="32"/>
      <c r="AQ73" s="32"/>
    </row>
    <row r="74" spans="1:43" ht="12.75">
      <c r="A74" s="15" t="s">
        <v>111</v>
      </c>
      <c r="B74" s="16" t="s">
        <v>62</v>
      </c>
      <c r="C74" s="15" t="s">
        <v>131</v>
      </c>
      <c r="D74" s="21">
        <v>367459</v>
      </c>
      <c r="E74" s="22">
        <v>7</v>
      </c>
      <c r="F74" s="23"/>
      <c r="G74" s="23">
        <v>18834</v>
      </c>
      <c r="H74" s="23">
        <v>3042</v>
      </c>
      <c r="I74" s="24">
        <v>15902</v>
      </c>
      <c r="J74" s="23">
        <f t="shared" si="2"/>
        <v>37778</v>
      </c>
      <c r="K74" s="25"/>
      <c r="L74" s="23"/>
      <c r="M74" s="23"/>
      <c r="N74" s="23"/>
      <c r="O74" s="25"/>
      <c r="P74" s="25"/>
      <c r="Q74" s="23"/>
      <c r="R74" s="23"/>
      <c r="S74" s="23"/>
      <c r="T74" s="26"/>
      <c r="U74" s="23"/>
      <c r="V74" s="23"/>
      <c r="W74" s="23"/>
      <c r="X74" s="23"/>
      <c r="Y74" s="23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32"/>
      <c r="AN74" s="32"/>
      <c r="AO74" s="32"/>
      <c r="AP74" s="32"/>
      <c r="AQ74" s="32"/>
    </row>
    <row r="75" spans="1:43" ht="12.75">
      <c r="A75" s="15" t="s">
        <v>111</v>
      </c>
      <c r="B75" s="16" t="s">
        <v>62</v>
      </c>
      <c r="C75" s="15" t="s">
        <v>132</v>
      </c>
      <c r="D75" s="21">
        <v>107521</v>
      </c>
      <c r="E75" s="22">
        <v>7</v>
      </c>
      <c r="F75" s="23"/>
      <c r="G75" s="23">
        <v>5179</v>
      </c>
      <c r="H75" s="23">
        <v>1049</v>
      </c>
      <c r="I75" s="24">
        <v>5404</v>
      </c>
      <c r="J75" s="23">
        <f t="shared" si="2"/>
        <v>11632</v>
      </c>
      <c r="K75" s="25"/>
      <c r="L75" s="23"/>
      <c r="M75" s="23"/>
      <c r="N75" s="23"/>
      <c r="O75" s="25"/>
      <c r="P75" s="25"/>
      <c r="Q75" s="23"/>
      <c r="R75" s="23"/>
      <c r="S75" s="23"/>
      <c r="T75" s="26"/>
      <c r="U75" s="23"/>
      <c r="V75" s="23"/>
      <c r="W75" s="23"/>
      <c r="X75" s="23"/>
      <c r="Y75" s="23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32"/>
      <c r="AN75" s="32"/>
      <c r="AO75" s="32"/>
      <c r="AP75" s="32"/>
      <c r="AQ75" s="32"/>
    </row>
    <row r="76" spans="1:43" ht="12.75">
      <c r="A76" s="15" t="s">
        <v>111</v>
      </c>
      <c r="B76" s="16" t="s">
        <v>62</v>
      </c>
      <c r="C76" s="15" t="s">
        <v>133</v>
      </c>
      <c r="D76" s="21">
        <v>107549</v>
      </c>
      <c r="E76" s="22">
        <v>7</v>
      </c>
      <c r="F76" s="23"/>
      <c r="G76" s="23">
        <v>4081</v>
      </c>
      <c r="H76" s="23">
        <v>844</v>
      </c>
      <c r="I76" s="24">
        <v>3649</v>
      </c>
      <c r="J76" s="23">
        <f t="shared" si="2"/>
        <v>8574</v>
      </c>
      <c r="K76" s="25"/>
      <c r="L76" s="23"/>
      <c r="M76" s="23"/>
      <c r="N76" s="23"/>
      <c r="O76" s="25"/>
      <c r="P76" s="25"/>
      <c r="Q76" s="23"/>
      <c r="R76" s="23"/>
      <c r="S76" s="23"/>
      <c r="T76" s="26"/>
      <c r="U76" s="23"/>
      <c r="V76" s="23"/>
      <c r="W76" s="23"/>
      <c r="X76" s="23"/>
      <c r="Y76" s="23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32"/>
      <c r="AN76" s="32"/>
      <c r="AO76" s="32"/>
      <c r="AP76" s="32"/>
      <c r="AQ76" s="32"/>
    </row>
    <row r="77" spans="1:43" ht="12.75">
      <c r="A77" s="15" t="s">
        <v>111</v>
      </c>
      <c r="B77" s="16" t="s">
        <v>62</v>
      </c>
      <c r="C77" s="15" t="s">
        <v>134</v>
      </c>
      <c r="D77" s="21">
        <v>107585</v>
      </c>
      <c r="E77" s="22">
        <v>7</v>
      </c>
      <c r="F77" s="23"/>
      <c r="G77" s="23">
        <v>6440</v>
      </c>
      <c r="H77" s="23">
        <v>895</v>
      </c>
      <c r="I77" s="24">
        <v>7084</v>
      </c>
      <c r="J77" s="23">
        <f t="shared" si="2"/>
        <v>14419</v>
      </c>
      <c r="K77" s="25"/>
      <c r="L77" s="23"/>
      <c r="M77" s="23"/>
      <c r="N77" s="23"/>
      <c r="O77" s="25"/>
      <c r="P77" s="25"/>
      <c r="Q77" s="23"/>
      <c r="R77" s="23"/>
      <c r="S77" s="23"/>
      <c r="T77" s="26"/>
      <c r="U77" s="23"/>
      <c r="V77" s="23"/>
      <c r="W77" s="23"/>
      <c r="X77" s="23"/>
      <c r="Y77" s="23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32"/>
      <c r="AN77" s="32"/>
      <c r="AO77" s="32"/>
      <c r="AP77" s="32"/>
      <c r="AQ77" s="32"/>
    </row>
    <row r="78" spans="1:43" ht="12.75">
      <c r="A78" s="15" t="s">
        <v>111</v>
      </c>
      <c r="B78" s="16" t="s">
        <v>62</v>
      </c>
      <c r="C78" s="15" t="s">
        <v>135</v>
      </c>
      <c r="D78" s="21">
        <v>107619</v>
      </c>
      <c r="E78" s="22">
        <v>7</v>
      </c>
      <c r="F78" s="23"/>
      <c r="G78" s="23">
        <v>12993</v>
      </c>
      <c r="H78" s="23">
        <v>2436</v>
      </c>
      <c r="I78" s="24">
        <v>12892</v>
      </c>
      <c r="J78" s="23">
        <f t="shared" si="2"/>
        <v>28321</v>
      </c>
      <c r="K78" s="25"/>
      <c r="L78" s="23"/>
      <c r="M78" s="23"/>
      <c r="N78" s="23"/>
      <c r="O78" s="25"/>
      <c r="P78" s="25"/>
      <c r="Q78" s="23"/>
      <c r="R78" s="23"/>
      <c r="S78" s="23"/>
      <c r="T78" s="26"/>
      <c r="U78" s="23"/>
      <c r="V78" s="23"/>
      <c r="W78" s="23"/>
      <c r="X78" s="23"/>
      <c r="Y78" s="23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32"/>
      <c r="AN78" s="32"/>
      <c r="AO78" s="32"/>
      <c r="AP78" s="32"/>
      <c r="AQ78" s="32"/>
    </row>
    <row r="79" spans="1:43" ht="12.75">
      <c r="A79" s="15" t="s">
        <v>111</v>
      </c>
      <c r="B79" s="16" t="s">
        <v>62</v>
      </c>
      <c r="C79" s="15" t="s">
        <v>136</v>
      </c>
      <c r="D79" s="21">
        <v>107637</v>
      </c>
      <c r="E79" s="22">
        <v>7</v>
      </c>
      <c r="F79" s="23"/>
      <c r="G79" s="23">
        <v>9361</v>
      </c>
      <c r="H79" s="23">
        <v>3044</v>
      </c>
      <c r="I79" s="24">
        <v>9079</v>
      </c>
      <c r="J79" s="23">
        <f t="shared" si="2"/>
        <v>21484</v>
      </c>
      <c r="K79" s="25"/>
      <c r="L79" s="23"/>
      <c r="M79" s="23"/>
      <c r="N79" s="23"/>
      <c r="O79" s="25"/>
      <c r="P79" s="25"/>
      <c r="Q79" s="23"/>
      <c r="R79" s="23"/>
      <c r="S79" s="23"/>
      <c r="T79" s="26"/>
      <c r="U79" s="23"/>
      <c r="V79" s="23"/>
      <c r="W79" s="23"/>
      <c r="X79" s="23"/>
      <c r="Y79" s="23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32"/>
      <c r="AN79" s="32"/>
      <c r="AO79" s="32"/>
      <c r="AP79" s="32"/>
      <c r="AQ79" s="32"/>
    </row>
    <row r="80" spans="1:43" ht="12.75">
      <c r="A80" s="15" t="s">
        <v>111</v>
      </c>
      <c r="B80" s="16" t="s">
        <v>62</v>
      </c>
      <c r="C80" s="15" t="s">
        <v>137</v>
      </c>
      <c r="D80" s="21">
        <v>107664</v>
      </c>
      <c r="E80" s="22">
        <v>7</v>
      </c>
      <c r="F80" s="23"/>
      <c r="G80" s="23">
        <v>12579</v>
      </c>
      <c r="H80" s="23">
        <v>2780</v>
      </c>
      <c r="I80" s="24">
        <v>12846</v>
      </c>
      <c r="J80" s="23">
        <f t="shared" si="2"/>
        <v>28205</v>
      </c>
      <c r="K80" s="25"/>
      <c r="L80" s="23"/>
      <c r="M80" s="23"/>
      <c r="N80" s="23"/>
      <c r="O80" s="25"/>
      <c r="P80" s="25"/>
      <c r="Q80" s="23"/>
      <c r="R80" s="23"/>
      <c r="S80" s="23"/>
      <c r="T80" s="26"/>
      <c r="U80" s="23"/>
      <c r="V80" s="23"/>
      <c r="W80" s="23"/>
      <c r="X80" s="23"/>
      <c r="Y80" s="23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32"/>
      <c r="AN80" s="32"/>
      <c r="AO80" s="32"/>
      <c r="AP80" s="32"/>
      <c r="AQ80" s="32"/>
    </row>
    <row r="81" spans="1:44" ht="12.75">
      <c r="A81" s="15" t="s">
        <v>111</v>
      </c>
      <c r="B81" s="16" t="s">
        <v>62</v>
      </c>
      <c r="C81" s="15" t="s">
        <v>138</v>
      </c>
      <c r="D81" s="21">
        <v>107725</v>
      </c>
      <c r="E81" s="22">
        <v>7</v>
      </c>
      <c r="F81" s="23"/>
      <c r="G81" s="23">
        <v>8440</v>
      </c>
      <c r="H81" s="23">
        <v>2359</v>
      </c>
      <c r="I81" s="24">
        <v>9567</v>
      </c>
      <c r="J81" s="23">
        <f t="shared" si="2"/>
        <v>20366</v>
      </c>
      <c r="K81" s="25"/>
      <c r="L81" s="23"/>
      <c r="M81" s="23"/>
      <c r="N81" s="23"/>
      <c r="O81" s="25"/>
      <c r="P81" s="25"/>
      <c r="Q81" s="23"/>
      <c r="R81" s="23"/>
      <c r="S81" s="23"/>
      <c r="T81" s="26"/>
      <c r="U81" s="23"/>
      <c r="V81" s="23"/>
      <c r="W81" s="23"/>
      <c r="X81" s="23"/>
      <c r="Y81" s="23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32"/>
      <c r="AN81" s="32"/>
      <c r="AO81" s="32"/>
      <c r="AP81" s="32"/>
      <c r="AQ81" s="32"/>
      <c r="AR81" s="2"/>
    </row>
    <row r="82" spans="1:44" ht="12.75">
      <c r="A82" s="15" t="s">
        <v>111</v>
      </c>
      <c r="B82" s="16" t="s">
        <v>62</v>
      </c>
      <c r="C82" s="15" t="s">
        <v>139</v>
      </c>
      <c r="D82" s="21">
        <v>107743</v>
      </c>
      <c r="E82" s="22">
        <v>7</v>
      </c>
      <c r="F82" s="23"/>
      <c r="G82" s="23">
        <v>5005</v>
      </c>
      <c r="H82" s="23">
        <v>1023</v>
      </c>
      <c r="I82" s="24">
        <v>5075</v>
      </c>
      <c r="J82" s="23">
        <f t="shared" si="2"/>
        <v>11103</v>
      </c>
      <c r="K82" s="25"/>
      <c r="L82" s="23"/>
      <c r="M82" s="23"/>
      <c r="N82" s="23"/>
      <c r="O82" s="25"/>
      <c r="P82" s="25"/>
      <c r="Q82" s="23"/>
      <c r="R82" s="23"/>
      <c r="S82" s="23"/>
      <c r="T82" s="26"/>
      <c r="U82" s="23"/>
      <c r="V82" s="23"/>
      <c r="W82" s="23"/>
      <c r="X82" s="23"/>
      <c r="Y82" s="23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32"/>
      <c r="AN82" s="32"/>
      <c r="AO82" s="32"/>
      <c r="AP82" s="32"/>
      <c r="AQ82" s="32"/>
      <c r="AR82" s="2"/>
    </row>
    <row r="83" spans="1:44" ht="12.75">
      <c r="A83" s="15" t="s">
        <v>111</v>
      </c>
      <c r="B83" s="16" t="s">
        <v>62</v>
      </c>
      <c r="C83" s="15" t="s">
        <v>140</v>
      </c>
      <c r="D83" s="21"/>
      <c r="E83" s="22">
        <v>7</v>
      </c>
      <c r="F83" s="23"/>
      <c r="G83" s="23">
        <v>10046</v>
      </c>
      <c r="H83" s="23">
        <v>3247</v>
      </c>
      <c r="I83" s="24">
        <v>10005</v>
      </c>
      <c r="J83" s="23">
        <f t="shared" si="2"/>
        <v>23298</v>
      </c>
      <c r="K83" s="25"/>
      <c r="L83" s="23"/>
      <c r="M83" s="23"/>
      <c r="N83" s="23"/>
      <c r="O83" s="25"/>
      <c r="P83" s="25"/>
      <c r="Q83" s="23"/>
      <c r="R83" s="23"/>
      <c r="S83" s="23"/>
      <c r="T83" s="26"/>
      <c r="U83" s="23"/>
      <c r="V83" s="23"/>
      <c r="W83" s="23"/>
      <c r="X83" s="23"/>
      <c r="Y83" s="23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2"/>
      <c r="AN83" s="32"/>
      <c r="AO83" s="32"/>
      <c r="AP83" s="32"/>
      <c r="AQ83" s="32"/>
      <c r="AR83" s="2"/>
    </row>
    <row r="84" spans="1:44" ht="12.75">
      <c r="A84" s="15" t="s">
        <v>111</v>
      </c>
      <c r="B84" s="16" t="s">
        <v>62</v>
      </c>
      <c r="C84" s="15" t="s">
        <v>141</v>
      </c>
      <c r="D84" s="21">
        <v>107992</v>
      </c>
      <c r="E84" s="22">
        <v>7</v>
      </c>
      <c r="F84" s="23"/>
      <c r="G84" s="23">
        <v>7136</v>
      </c>
      <c r="H84" s="23">
        <v>1487</v>
      </c>
      <c r="I84" s="24">
        <v>8002</v>
      </c>
      <c r="J84" s="23">
        <f t="shared" si="2"/>
        <v>16625</v>
      </c>
      <c r="K84" s="25"/>
      <c r="L84" s="23"/>
      <c r="M84" s="23"/>
      <c r="N84" s="23"/>
      <c r="O84" s="25"/>
      <c r="P84" s="25"/>
      <c r="Q84" s="23"/>
      <c r="R84" s="23"/>
      <c r="S84" s="23"/>
      <c r="T84" s="26"/>
      <c r="U84" s="23"/>
      <c r="V84" s="23"/>
      <c r="W84" s="23"/>
      <c r="X84" s="23"/>
      <c r="Y84" s="23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32"/>
      <c r="AN84" s="32"/>
      <c r="AO84" s="32"/>
      <c r="AP84" s="32"/>
      <c r="AQ84" s="32"/>
      <c r="AR84" s="2"/>
    </row>
    <row r="85" spans="1:44" ht="12.75">
      <c r="A85" s="15" t="s">
        <v>111</v>
      </c>
      <c r="B85" s="16" t="s">
        <v>62</v>
      </c>
      <c r="C85" s="15" t="s">
        <v>142</v>
      </c>
      <c r="D85" s="21">
        <v>108092</v>
      </c>
      <c r="E85" s="22">
        <v>7</v>
      </c>
      <c r="F85" s="23"/>
      <c r="G85" s="23">
        <v>42900</v>
      </c>
      <c r="H85" s="23">
        <v>15669</v>
      </c>
      <c r="I85" s="24">
        <v>44779</v>
      </c>
      <c r="J85" s="23">
        <f t="shared" si="2"/>
        <v>103348</v>
      </c>
      <c r="K85" s="25"/>
      <c r="L85" s="23"/>
      <c r="M85" s="23"/>
      <c r="N85" s="23"/>
      <c r="O85" s="25"/>
      <c r="P85" s="25"/>
      <c r="Q85" s="23"/>
      <c r="R85" s="23"/>
      <c r="S85" s="23"/>
      <c r="T85" s="26"/>
      <c r="U85" s="23"/>
      <c r="V85" s="23"/>
      <c r="W85" s="23"/>
      <c r="X85" s="23"/>
      <c r="Y85" s="23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32"/>
      <c r="AN85" s="32"/>
      <c r="AO85" s="32"/>
      <c r="AP85" s="32"/>
      <c r="AQ85" s="32"/>
      <c r="AR85" s="2"/>
    </row>
    <row r="86" spans="1:44" ht="12.75">
      <c r="A86" s="15" t="s">
        <v>111</v>
      </c>
      <c r="B86" s="16" t="s">
        <v>62</v>
      </c>
      <c r="C86" s="15" t="s">
        <v>143</v>
      </c>
      <c r="D86" s="21">
        <v>106263</v>
      </c>
      <c r="E86" s="22">
        <v>9</v>
      </c>
      <c r="F86" s="23"/>
      <c r="G86" s="23"/>
      <c r="H86" s="23"/>
      <c r="I86" s="24">
        <v>6115</v>
      </c>
      <c r="J86" s="23">
        <f t="shared" si="2"/>
        <v>6115</v>
      </c>
      <c r="K86" s="25"/>
      <c r="L86" s="23"/>
      <c r="M86" s="23"/>
      <c r="N86" s="23"/>
      <c r="O86" s="25"/>
      <c r="P86" s="25"/>
      <c r="Q86" s="23"/>
      <c r="R86" s="23"/>
      <c r="S86" s="23">
        <v>18925</v>
      </c>
      <c r="T86" s="26">
        <f>SUM(Q86:S86)</f>
        <v>18925</v>
      </c>
      <c r="U86" s="23"/>
      <c r="V86" s="23"/>
      <c r="W86" s="23"/>
      <c r="X86" s="23"/>
      <c r="Y86" s="23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32"/>
      <c r="AN86" s="32"/>
      <c r="AO86" s="32"/>
      <c r="AP86" s="32"/>
      <c r="AQ86" s="32"/>
      <c r="AR86" s="2"/>
    </row>
    <row r="87" spans="1:44" ht="12.75">
      <c r="A87" s="15" t="s">
        <v>144</v>
      </c>
      <c r="B87" s="16" t="s">
        <v>62</v>
      </c>
      <c r="C87" s="15" t="s">
        <v>145</v>
      </c>
      <c r="D87" s="15" t="s">
        <v>146</v>
      </c>
      <c r="E87" s="34">
        <v>1</v>
      </c>
      <c r="F87" s="15"/>
      <c r="G87" s="15">
        <v>279281</v>
      </c>
      <c r="H87" s="15">
        <v>95295</v>
      </c>
      <c r="I87" s="17">
        <v>289843</v>
      </c>
      <c r="J87" s="15">
        <v>664419</v>
      </c>
      <c r="K87" s="15"/>
      <c r="L87" s="15"/>
      <c r="M87" s="15"/>
      <c r="N87" s="23"/>
      <c r="O87" s="15"/>
      <c r="P87" s="23"/>
      <c r="Q87" s="15">
        <v>48858</v>
      </c>
      <c r="R87" s="15">
        <v>25265</v>
      </c>
      <c r="S87" s="17">
        <v>51541</v>
      </c>
      <c r="T87" s="15">
        <v>125664</v>
      </c>
      <c r="U87" s="15"/>
      <c r="V87" s="15"/>
      <c r="W87" s="15"/>
      <c r="X87" s="15"/>
      <c r="Y87" s="15"/>
      <c r="Z87" s="35"/>
      <c r="AA87" s="35"/>
      <c r="AB87" s="35"/>
      <c r="AC87" s="35"/>
      <c r="AD87" s="35"/>
      <c r="AE87" s="35"/>
      <c r="AF87" s="35"/>
      <c r="AG87" s="35"/>
      <c r="AH87" s="36"/>
      <c r="AI87" s="37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ht="12.75">
      <c r="A88" s="15" t="s">
        <v>144</v>
      </c>
      <c r="B88" s="16" t="s">
        <v>62</v>
      </c>
      <c r="C88" s="15" t="s">
        <v>147</v>
      </c>
      <c r="D88" s="15" t="s">
        <v>148</v>
      </c>
      <c r="E88" s="34">
        <v>1</v>
      </c>
      <c r="F88" s="15"/>
      <c r="G88" s="15">
        <v>331417</v>
      </c>
      <c r="H88" s="15">
        <v>105639</v>
      </c>
      <c r="I88" s="17">
        <v>347550.3</v>
      </c>
      <c r="J88" s="15">
        <v>784606.3</v>
      </c>
      <c r="K88" s="15"/>
      <c r="L88" s="15"/>
      <c r="M88" s="15"/>
      <c r="N88" s="23"/>
      <c r="O88" s="15"/>
      <c r="P88" s="23"/>
      <c r="Q88" s="15">
        <v>61054</v>
      </c>
      <c r="R88" s="15">
        <v>21724</v>
      </c>
      <c r="S88" s="17">
        <v>62568</v>
      </c>
      <c r="T88" s="15">
        <v>145346</v>
      </c>
      <c r="U88" s="15"/>
      <c r="V88" s="15"/>
      <c r="W88" s="15"/>
      <c r="X88" s="15"/>
      <c r="Y88" s="15"/>
      <c r="Z88" s="35"/>
      <c r="AA88" s="35"/>
      <c r="AB88" s="35"/>
      <c r="AC88" s="35"/>
      <c r="AD88" s="35"/>
      <c r="AE88" s="35"/>
      <c r="AF88" s="35"/>
      <c r="AG88" s="35"/>
      <c r="AH88" s="39"/>
      <c r="AI88" s="37"/>
      <c r="AJ88" s="40"/>
      <c r="AK88" s="32"/>
      <c r="AL88" s="32"/>
      <c r="AM88" s="32"/>
      <c r="AN88" s="32"/>
      <c r="AO88" s="32"/>
      <c r="AP88" s="32"/>
      <c r="AQ88" s="32"/>
      <c r="AR88" s="32"/>
    </row>
    <row r="89" spans="1:44" ht="12.75">
      <c r="A89" s="15" t="s">
        <v>144</v>
      </c>
      <c r="B89" s="16" t="s">
        <v>62</v>
      </c>
      <c r="C89" s="41" t="s">
        <v>149</v>
      </c>
      <c r="D89" s="41" t="s">
        <v>150</v>
      </c>
      <c r="E89" s="42">
        <v>1</v>
      </c>
      <c r="F89" s="15"/>
      <c r="G89" s="15">
        <v>255418</v>
      </c>
      <c r="H89" s="23">
        <v>95041</v>
      </c>
      <c r="I89" s="24">
        <v>275575</v>
      </c>
      <c r="J89" s="15">
        <v>626034</v>
      </c>
      <c r="K89" s="23"/>
      <c r="L89" s="23"/>
      <c r="M89" s="23"/>
      <c r="N89" s="23"/>
      <c r="O89" s="23"/>
      <c r="P89" s="23"/>
      <c r="Q89" s="23">
        <v>43101</v>
      </c>
      <c r="R89" s="15">
        <v>22785</v>
      </c>
      <c r="S89" s="17">
        <v>43930</v>
      </c>
      <c r="T89" s="15">
        <v>109816</v>
      </c>
      <c r="U89" s="15"/>
      <c r="V89" s="15"/>
      <c r="W89" s="15"/>
      <c r="X89" s="15"/>
      <c r="Y89" s="15"/>
      <c r="Z89" s="35"/>
      <c r="AA89" s="35"/>
      <c r="AB89" s="35"/>
      <c r="AC89" s="35"/>
      <c r="AD89" s="35"/>
      <c r="AE89" s="35"/>
      <c r="AF89" s="35"/>
      <c r="AG89" s="35"/>
      <c r="AH89" s="39"/>
      <c r="AI89" s="37"/>
      <c r="AJ89" s="40"/>
      <c r="AK89" s="32"/>
      <c r="AL89" s="32"/>
      <c r="AM89" s="32"/>
      <c r="AN89" s="32"/>
      <c r="AO89" s="32"/>
      <c r="AP89" s="32"/>
      <c r="AQ89" s="32"/>
      <c r="AR89" s="32"/>
    </row>
    <row r="90" spans="1:44" ht="12.75">
      <c r="A90" s="15" t="s">
        <v>144</v>
      </c>
      <c r="B90" s="16" t="s">
        <v>62</v>
      </c>
      <c r="C90" s="15" t="s">
        <v>151</v>
      </c>
      <c r="D90" s="15" t="s">
        <v>152</v>
      </c>
      <c r="E90" s="34">
        <v>2</v>
      </c>
      <c r="F90" s="15"/>
      <c r="G90" s="15">
        <v>132388</v>
      </c>
      <c r="H90" s="15">
        <v>59070</v>
      </c>
      <c r="I90" s="17">
        <v>143080</v>
      </c>
      <c r="J90" s="15">
        <v>334538</v>
      </c>
      <c r="K90" s="15"/>
      <c r="L90" s="15"/>
      <c r="M90" s="15"/>
      <c r="N90" s="23"/>
      <c r="O90" s="15"/>
      <c r="P90" s="23"/>
      <c r="Q90" s="15">
        <v>17241</v>
      </c>
      <c r="R90" s="15">
        <v>10762</v>
      </c>
      <c r="S90" s="17">
        <v>17682</v>
      </c>
      <c r="T90" s="15">
        <v>45685</v>
      </c>
      <c r="U90" s="15"/>
      <c r="V90" s="15"/>
      <c r="W90" s="15"/>
      <c r="X90" s="15"/>
      <c r="Y90" s="15"/>
      <c r="Z90" s="35"/>
      <c r="AA90" s="35"/>
      <c r="AB90" s="35"/>
      <c r="AC90" s="35"/>
      <c r="AD90" s="35"/>
      <c r="AE90" s="35"/>
      <c r="AF90" s="35"/>
      <c r="AG90" s="35"/>
      <c r="AH90" s="39"/>
      <c r="AI90" s="37"/>
      <c r="AJ90" s="40"/>
      <c r="AK90" s="32"/>
      <c r="AL90" s="32"/>
      <c r="AM90" s="32"/>
      <c r="AN90" s="32"/>
      <c r="AO90" s="32"/>
      <c r="AP90" s="32"/>
      <c r="AQ90" s="32"/>
      <c r="AR90" s="32"/>
    </row>
    <row r="91" spans="1:44" ht="12.75">
      <c r="A91" s="15" t="s">
        <v>144</v>
      </c>
      <c r="B91" s="16" t="s">
        <v>62</v>
      </c>
      <c r="C91" s="41" t="s">
        <v>153</v>
      </c>
      <c r="D91" s="41" t="s">
        <v>154</v>
      </c>
      <c r="E91" s="42">
        <v>2</v>
      </c>
      <c r="F91" s="15"/>
      <c r="G91" s="15">
        <v>231576</v>
      </c>
      <c r="H91" s="15">
        <v>83628</v>
      </c>
      <c r="I91" s="17">
        <v>254015</v>
      </c>
      <c r="J91" s="15">
        <v>569219</v>
      </c>
      <c r="K91" s="15"/>
      <c r="L91" s="15"/>
      <c r="M91" s="15"/>
      <c r="N91" s="23"/>
      <c r="O91" s="15"/>
      <c r="P91" s="23"/>
      <c r="Q91" s="15">
        <v>24640</v>
      </c>
      <c r="R91" s="15">
        <v>16269</v>
      </c>
      <c r="S91" s="17">
        <v>26095</v>
      </c>
      <c r="T91" s="15">
        <v>67004</v>
      </c>
      <c r="U91" s="15"/>
      <c r="V91" s="15"/>
      <c r="W91" s="15"/>
      <c r="X91" s="15"/>
      <c r="Y91" s="15"/>
      <c r="Z91" s="35"/>
      <c r="AA91" s="35"/>
      <c r="AB91" s="35"/>
      <c r="AC91" s="35"/>
      <c r="AD91" s="35"/>
      <c r="AE91" s="35"/>
      <c r="AF91" s="35"/>
      <c r="AG91" s="35"/>
      <c r="AH91" s="39"/>
      <c r="AI91" s="37"/>
      <c r="AJ91" s="40"/>
      <c r="AK91" s="32"/>
      <c r="AL91" s="32"/>
      <c r="AM91" s="32"/>
      <c r="AN91" s="32"/>
      <c r="AO91" s="32"/>
      <c r="AP91" s="32"/>
      <c r="AQ91" s="32"/>
      <c r="AR91" s="32"/>
    </row>
    <row r="92" spans="1:44" ht="12.75">
      <c r="A92" s="15" t="s">
        <v>144</v>
      </c>
      <c r="B92" s="16" t="s">
        <v>62</v>
      </c>
      <c r="C92" s="41" t="s">
        <v>155</v>
      </c>
      <c r="D92" s="41" t="s">
        <v>156</v>
      </c>
      <c r="E92" s="42">
        <v>3</v>
      </c>
      <c r="F92" s="23"/>
      <c r="G92" s="23">
        <v>209647</v>
      </c>
      <c r="H92" s="23">
        <v>112819</v>
      </c>
      <c r="I92" s="24">
        <v>222745</v>
      </c>
      <c r="J92" s="15">
        <v>545211</v>
      </c>
      <c r="K92" s="23"/>
      <c r="L92" s="23"/>
      <c r="M92" s="23"/>
      <c r="N92" s="23"/>
      <c r="O92" s="23"/>
      <c r="P92" s="23"/>
      <c r="Q92" s="23">
        <v>30609</v>
      </c>
      <c r="R92" s="15">
        <v>21940</v>
      </c>
      <c r="S92" s="17">
        <v>32219</v>
      </c>
      <c r="T92" s="15">
        <v>84768</v>
      </c>
      <c r="U92" s="15"/>
      <c r="V92" s="15"/>
      <c r="W92" s="15"/>
      <c r="X92" s="15"/>
      <c r="Y92" s="15"/>
      <c r="Z92" s="35"/>
      <c r="AA92" s="35"/>
      <c r="AB92" s="35"/>
      <c r="AC92" s="35"/>
      <c r="AD92" s="35"/>
      <c r="AE92" s="35"/>
      <c r="AF92" s="35"/>
      <c r="AG92" s="35"/>
      <c r="AH92" s="39"/>
      <c r="AI92" s="37"/>
      <c r="AJ92" s="40"/>
      <c r="AK92" s="32"/>
      <c r="AL92" s="32"/>
      <c r="AM92" s="32"/>
      <c r="AN92" s="32"/>
      <c r="AO92" s="32"/>
      <c r="AP92" s="32"/>
      <c r="AQ92" s="32"/>
      <c r="AR92" s="32"/>
    </row>
    <row r="93" spans="1:44" ht="12.75">
      <c r="A93" s="15" t="s">
        <v>144</v>
      </c>
      <c r="B93" s="16" t="s">
        <v>62</v>
      </c>
      <c r="C93" s="15" t="s">
        <v>157</v>
      </c>
      <c r="D93" s="15" t="s">
        <v>158</v>
      </c>
      <c r="E93" s="34">
        <v>3</v>
      </c>
      <c r="F93" s="15"/>
      <c r="G93" s="15">
        <v>62522</v>
      </c>
      <c r="H93" s="15">
        <v>24014</v>
      </c>
      <c r="I93" s="17">
        <v>65185</v>
      </c>
      <c r="J93" s="15">
        <v>151721</v>
      </c>
      <c r="K93" s="23"/>
      <c r="L93" s="23"/>
      <c r="M93" s="23"/>
      <c r="N93" s="23"/>
      <c r="O93" s="15"/>
      <c r="P93" s="23"/>
      <c r="Q93" s="15">
        <v>7525</v>
      </c>
      <c r="R93" s="15">
        <v>5240</v>
      </c>
      <c r="S93" s="17">
        <v>7721</v>
      </c>
      <c r="T93" s="15">
        <v>20486</v>
      </c>
      <c r="U93" s="15"/>
      <c r="V93" s="15"/>
      <c r="W93" s="15"/>
      <c r="X93" s="15"/>
      <c r="Y93" s="15"/>
      <c r="Z93" s="35"/>
      <c r="AA93" s="35"/>
      <c r="AB93" s="35"/>
      <c r="AC93" s="35"/>
      <c r="AD93" s="35"/>
      <c r="AE93" s="35"/>
      <c r="AF93" s="35"/>
      <c r="AG93" s="35"/>
      <c r="AH93" s="39"/>
      <c r="AI93" s="37"/>
      <c r="AJ93" s="40"/>
      <c r="AK93" s="32"/>
      <c r="AL93" s="32"/>
      <c r="AM93" s="32"/>
      <c r="AN93" s="32"/>
      <c r="AO93" s="32"/>
      <c r="AP93" s="32"/>
      <c r="AQ93" s="32"/>
      <c r="AR93" s="32"/>
    </row>
    <row r="94" spans="1:44" ht="12.75">
      <c r="A94" s="15" t="s">
        <v>144</v>
      </c>
      <c r="B94" s="16" t="s">
        <v>62</v>
      </c>
      <c r="C94" s="41" t="s">
        <v>159</v>
      </c>
      <c r="D94" s="41" t="s">
        <v>160</v>
      </c>
      <c r="E94" s="42">
        <v>4</v>
      </c>
      <c r="F94" s="23"/>
      <c r="G94" s="23">
        <v>113201</v>
      </c>
      <c r="H94" s="23">
        <v>28182</v>
      </c>
      <c r="I94" s="24">
        <v>113366</v>
      </c>
      <c r="J94" s="15">
        <v>254749</v>
      </c>
      <c r="K94" s="23"/>
      <c r="L94" s="23"/>
      <c r="M94" s="23"/>
      <c r="N94" s="23"/>
      <c r="O94" s="23"/>
      <c r="P94" s="23"/>
      <c r="Q94" s="15">
        <v>6716</v>
      </c>
      <c r="R94" s="15">
        <v>3588</v>
      </c>
      <c r="S94" s="17">
        <v>6440</v>
      </c>
      <c r="T94" s="15">
        <v>16744</v>
      </c>
      <c r="U94" s="15"/>
      <c r="V94" s="15"/>
      <c r="W94" s="15"/>
      <c r="X94" s="15"/>
      <c r="Y94" s="15"/>
      <c r="Z94" s="35"/>
      <c r="AA94" s="35"/>
      <c r="AB94" s="35"/>
      <c r="AC94" s="35"/>
      <c r="AD94" s="35"/>
      <c r="AE94" s="35"/>
      <c r="AF94" s="35"/>
      <c r="AG94" s="35"/>
      <c r="AH94" s="39"/>
      <c r="AI94" s="37"/>
      <c r="AJ94" s="40"/>
      <c r="AK94" s="32"/>
      <c r="AL94" s="32"/>
      <c r="AM94" s="32"/>
      <c r="AN94" s="32"/>
      <c r="AO94" s="32"/>
      <c r="AP94" s="32"/>
      <c r="AQ94" s="32"/>
      <c r="AR94" s="32"/>
    </row>
    <row r="95" spans="1:44" ht="12.75">
      <c r="A95" s="15" t="s">
        <v>144</v>
      </c>
      <c r="B95" s="16" t="s">
        <v>62</v>
      </c>
      <c r="C95" s="15" t="s">
        <v>161</v>
      </c>
      <c r="D95" s="15" t="s">
        <v>162</v>
      </c>
      <c r="E95" s="34">
        <v>4</v>
      </c>
      <c r="F95" s="23"/>
      <c r="G95" s="23">
        <v>80758</v>
      </c>
      <c r="H95" s="23">
        <v>38607</v>
      </c>
      <c r="I95" s="24">
        <v>92160</v>
      </c>
      <c r="J95" s="15">
        <v>211525</v>
      </c>
      <c r="K95" s="23"/>
      <c r="L95" s="23"/>
      <c r="M95" s="23"/>
      <c r="N95" s="23"/>
      <c r="O95" s="23"/>
      <c r="P95" s="23"/>
      <c r="Q95" s="15">
        <v>8699</v>
      </c>
      <c r="R95" s="15">
        <v>6880</v>
      </c>
      <c r="S95" s="17">
        <v>8749</v>
      </c>
      <c r="T95" s="15">
        <v>24328</v>
      </c>
      <c r="U95" s="15"/>
      <c r="V95" s="15"/>
      <c r="W95" s="15"/>
      <c r="X95" s="15"/>
      <c r="Y95" s="15"/>
      <c r="Z95" s="35"/>
      <c r="AA95" s="35"/>
      <c r="AB95" s="35"/>
      <c r="AC95" s="35"/>
      <c r="AD95" s="35"/>
      <c r="AE95" s="35"/>
      <c r="AF95" s="35"/>
      <c r="AG95" s="35"/>
      <c r="AH95" s="39"/>
      <c r="AI95" s="37"/>
      <c r="AJ95" s="40"/>
      <c r="AK95" s="32"/>
      <c r="AL95" s="32"/>
      <c r="AM95" s="32"/>
      <c r="AN95" s="32"/>
      <c r="AO95" s="32"/>
      <c r="AP95" s="32"/>
      <c r="AQ95" s="32"/>
      <c r="AR95" s="32"/>
    </row>
    <row r="96" spans="1:44" ht="12.75">
      <c r="A96" s="15" t="s">
        <v>144</v>
      </c>
      <c r="B96" s="16" t="s">
        <v>62</v>
      </c>
      <c r="C96" s="15" t="s">
        <v>163</v>
      </c>
      <c r="D96" s="15"/>
      <c r="E96" s="17">
        <v>9</v>
      </c>
      <c r="F96" s="23"/>
      <c r="G96" s="23">
        <v>16218</v>
      </c>
      <c r="H96" s="23">
        <v>7294</v>
      </c>
      <c r="I96" s="24">
        <v>25101</v>
      </c>
      <c r="J96" s="15">
        <v>48613</v>
      </c>
      <c r="K96" s="23"/>
      <c r="L96" s="23"/>
      <c r="M96" s="23"/>
      <c r="N96" s="23"/>
      <c r="O96" s="23"/>
      <c r="P96" s="23"/>
      <c r="Q96" s="15">
        <v>6123</v>
      </c>
      <c r="R96" s="15">
        <v>3361</v>
      </c>
      <c r="S96" s="17">
        <v>5562</v>
      </c>
      <c r="T96" s="15">
        <v>15046</v>
      </c>
      <c r="U96" s="15"/>
      <c r="V96" s="15"/>
      <c r="W96" s="15"/>
      <c r="X96" s="15"/>
      <c r="Y96" s="15"/>
      <c r="Z96" s="35"/>
      <c r="AA96" s="35"/>
      <c r="AB96" s="35"/>
      <c r="AC96" s="35"/>
      <c r="AD96" s="35"/>
      <c r="AE96" s="35"/>
      <c r="AF96" s="35"/>
      <c r="AG96" s="35"/>
      <c r="AH96" s="35"/>
      <c r="AI96" s="2"/>
      <c r="AJ96" s="2"/>
      <c r="AK96" s="2"/>
      <c r="AL96" s="2"/>
      <c r="AM96" s="32"/>
      <c r="AN96" s="32"/>
      <c r="AO96" s="32"/>
      <c r="AP96" s="32"/>
      <c r="AQ96" s="32"/>
      <c r="AR96" s="2"/>
    </row>
    <row r="97" spans="1:43" ht="12.75">
      <c r="A97" s="15" t="s">
        <v>144</v>
      </c>
      <c r="B97" s="16" t="s">
        <v>62</v>
      </c>
      <c r="C97" s="15" t="s">
        <v>164</v>
      </c>
      <c r="D97" s="15"/>
      <c r="E97" s="17">
        <v>9</v>
      </c>
      <c r="F97" s="25"/>
      <c r="G97" s="23">
        <v>13519</v>
      </c>
      <c r="H97" s="23">
        <v>2511</v>
      </c>
      <c r="I97" s="24">
        <v>15700</v>
      </c>
      <c r="J97" s="15">
        <v>31730</v>
      </c>
      <c r="K97" s="23"/>
      <c r="L97" s="23"/>
      <c r="M97" s="23"/>
      <c r="N97" s="24"/>
      <c r="O97" s="24"/>
      <c r="P97" s="15"/>
      <c r="Q97" s="15">
        <v>6420</v>
      </c>
      <c r="R97" s="15">
        <v>5295</v>
      </c>
      <c r="S97" s="17">
        <v>7996</v>
      </c>
      <c r="T97" s="15">
        <v>19711</v>
      </c>
      <c r="U97" s="15"/>
      <c r="V97" s="15"/>
      <c r="W97" s="15"/>
      <c r="X97" s="15"/>
      <c r="Y97" s="15"/>
      <c r="Z97" s="35"/>
      <c r="AA97" s="35"/>
      <c r="AB97" s="35"/>
      <c r="AC97" s="35"/>
      <c r="AD97" s="35"/>
      <c r="AE97" s="35"/>
      <c r="AF97" s="35"/>
      <c r="AG97" s="35"/>
      <c r="AH97" s="35"/>
      <c r="AI97" s="2"/>
      <c r="AJ97" s="2"/>
      <c r="AK97" s="2"/>
      <c r="AL97" s="2"/>
      <c r="AM97" s="32"/>
      <c r="AN97" s="32"/>
      <c r="AO97" s="32"/>
      <c r="AP97" s="32"/>
      <c r="AQ97" s="32"/>
    </row>
    <row r="98" spans="1:43" ht="12.75">
      <c r="A98" s="15" t="s">
        <v>144</v>
      </c>
      <c r="B98" s="16" t="s">
        <v>62</v>
      </c>
      <c r="C98" s="15" t="s">
        <v>165</v>
      </c>
      <c r="D98" s="15"/>
      <c r="E98" s="17">
        <v>9</v>
      </c>
      <c r="F98" s="25"/>
      <c r="G98" s="23">
        <v>2812</v>
      </c>
      <c r="H98" s="23">
        <v>1230</v>
      </c>
      <c r="I98" s="24">
        <v>2962</v>
      </c>
      <c r="J98" s="15">
        <v>7004</v>
      </c>
      <c r="K98" s="23"/>
      <c r="L98" s="23"/>
      <c r="M98" s="23"/>
      <c r="N98" s="24"/>
      <c r="O98" s="24"/>
      <c r="P98" s="15"/>
      <c r="Q98" s="15">
        <v>4971</v>
      </c>
      <c r="R98" s="15">
        <v>3336</v>
      </c>
      <c r="S98" s="17">
        <v>5644.8</v>
      </c>
      <c r="T98" s="15">
        <v>13951.8</v>
      </c>
      <c r="U98" s="15"/>
      <c r="V98" s="15"/>
      <c r="W98" s="15"/>
      <c r="X98" s="15"/>
      <c r="Y98" s="15"/>
      <c r="Z98" s="35"/>
      <c r="AA98" s="35"/>
      <c r="AB98" s="35"/>
      <c r="AC98" s="35"/>
      <c r="AD98" s="35"/>
      <c r="AE98" s="35"/>
      <c r="AF98" s="35"/>
      <c r="AG98" s="35"/>
      <c r="AH98" s="35"/>
      <c r="AI98" s="2"/>
      <c r="AJ98" s="2"/>
      <c r="AK98" s="2"/>
      <c r="AL98" s="2"/>
      <c r="AM98" s="32"/>
      <c r="AN98" s="32"/>
      <c r="AO98" s="32"/>
      <c r="AP98" s="32"/>
      <c r="AQ98" s="32"/>
    </row>
    <row r="99" spans="1:43" ht="12.75">
      <c r="A99" s="15" t="s">
        <v>144</v>
      </c>
      <c r="B99" s="16" t="s">
        <v>62</v>
      </c>
      <c r="C99" s="15" t="s">
        <v>166</v>
      </c>
      <c r="D99" s="43">
        <v>132693</v>
      </c>
      <c r="E99" s="22" t="s">
        <v>167</v>
      </c>
      <c r="F99" s="15"/>
      <c r="G99" s="15">
        <v>89492</v>
      </c>
      <c r="H99" s="15">
        <v>33433</v>
      </c>
      <c r="I99" s="17">
        <v>91846</v>
      </c>
      <c r="J99" s="17">
        <f aca="true" t="shared" si="4" ref="J99:J115">SUM(F99:I99)</f>
        <v>214771</v>
      </c>
      <c r="K99" s="15"/>
      <c r="L99" s="15">
        <v>810396</v>
      </c>
      <c r="M99" s="15">
        <v>315456</v>
      </c>
      <c r="N99" s="24">
        <v>742931</v>
      </c>
      <c r="O99" s="17">
        <v>1868783</v>
      </c>
      <c r="P99" s="23"/>
      <c r="Q99" s="15"/>
      <c r="R99" s="15"/>
      <c r="S99" s="17"/>
      <c r="T99" s="15"/>
      <c r="U99" s="15"/>
      <c r="V99" s="15"/>
      <c r="W99" s="15"/>
      <c r="X99" s="15"/>
      <c r="Y99" s="15"/>
      <c r="Z99" s="2"/>
      <c r="AA99" s="2"/>
      <c r="AB99" s="2"/>
      <c r="AC99" s="2"/>
      <c r="AD99" s="32"/>
      <c r="AE99" s="32"/>
      <c r="AF99" s="32"/>
      <c r="AG99" s="32"/>
      <c r="AH99" s="44"/>
      <c r="AI99" s="44"/>
      <c r="AJ99" s="32"/>
      <c r="AK99" s="32"/>
      <c r="AL99" s="32"/>
      <c r="AM99" s="32"/>
      <c r="AN99" s="32"/>
      <c r="AO99" s="32"/>
      <c r="AP99" s="32"/>
      <c r="AQ99" s="32"/>
    </row>
    <row r="100" spans="1:43" ht="12.75">
      <c r="A100" s="15" t="s">
        <v>144</v>
      </c>
      <c r="B100" s="16" t="s">
        <v>62</v>
      </c>
      <c r="C100" s="15" t="s">
        <v>168</v>
      </c>
      <c r="D100" s="43">
        <v>132709</v>
      </c>
      <c r="E100" s="22" t="s">
        <v>167</v>
      </c>
      <c r="F100" s="15"/>
      <c r="G100" s="15">
        <v>170624</v>
      </c>
      <c r="H100" s="23">
        <v>81399</v>
      </c>
      <c r="I100" s="24">
        <v>181355</v>
      </c>
      <c r="J100" s="17">
        <f t="shared" si="4"/>
        <v>433378</v>
      </c>
      <c r="K100" s="23"/>
      <c r="L100" s="23">
        <v>544807</v>
      </c>
      <c r="M100" s="23">
        <v>292998</v>
      </c>
      <c r="N100" s="24">
        <v>713110</v>
      </c>
      <c r="O100" s="24">
        <v>1550915</v>
      </c>
      <c r="P100" s="23"/>
      <c r="Q100" s="23"/>
      <c r="R100" s="15"/>
      <c r="S100" s="17"/>
      <c r="T100" s="15"/>
      <c r="U100" s="15"/>
      <c r="V100" s="15"/>
      <c r="W100" s="15"/>
      <c r="X100" s="15"/>
      <c r="Y100" s="15"/>
      <c r="Z100" s="2"/>
      <c r="AA100" s="2"/>
      <c r="AB100" s="2"/>
      <c r="AC100" s="2"/>
      <c r="AD100" s="32"/>
      <c r="AE100" s="32"/>
      <c r="AF100" s="32"/>
      <c r="AG100" s="32"/>
      <c r="AH100" s="44"/>
      <c r="AI100" s="44"/>
      <c r="AJ100" s="32"/>
      <c r="AK100" s="32"/>
      <c r="AL100" s="32"/>
      <c r="AM100" s="32"/>
      <c r="AN100" s="32"/>
      <c r="AO100" s="32"/>
      <c r="AP100" s="32"/>
      <c r="AQ100" s="32"/>
    </row>
    <row r="101" spans="1:43" ht="12.75">
      <c r="A101" s="15" t="s">
        <v>144</v>
      </c>
      <c r="B101" s="16" t="s">
        <v>62</v>
      </c>
      <c r="C101" s="15" t="s">
        <v>169</v>
      </c>
      <c r="D101" s="43">
        <v>132851</v>
      </c>
      <c r="E101" s="22" t="s">
        <v>167</v>
      </c>
      <c r="F101" s="15"/>
      <c r="G101" s="15">
        <v>43651</v>
      </c>
      <c r="H101" s="15">
        <v>13579</v>
      </c>
      <c r="I101" s="17">
        <v>41754</v>
      </c>
      <c r="J101" s="17">
        <f t="shared" si="4"/>
        <v>98984</v>
      </c>
      <c r="K101" s="15"/>
      <c r="L101" s="15">
        <v>411937</v>
      </c>
      <c r="M101" s="15">
        <v>235324</v>
      </c>
      <c r="N101" s="24">
        <v>467190</v>
      </c>
      <c r="O101" s="17">
        <v>1114451</v>
      </c>
      <c r="P101" s="23"/>
      <c r="Q101" s="15"/>
      <c r="R101" s="15"/>
      <c r="S101" s="17"/>
      <c r="T101" s="15"/>
      <c r="U101" s="15"/>
      <c r="V101" s="15"/>
      <c r="W101" s="15"/>
      <c r="X101" s="15"/>
      <c r="Y101" s="15"/>
      <c r="Z101" s="2"/>
      <c r="AA101" s="2"/>
      <c r="AB101" s="2"/>
      <c r="AC101" s="2"/>
      <c r="AD101" s="32"/>
      <c r="AE101" s="32"/>
      <c r="AF101" s="32"/>
      <c r="AG101" s="32"/>
      <c r="AH101" s="44"/>
      <c r="AI101" s="44"/>
      <c r="AJ101" s="32"/>
      <c r="AK101" s="32"/>
      <c r="AL101" s="32"/>
      <c r="AM101" s="32"/>
      <c r="AN101" s="32"/>
      <c r="AO101" s="32"/>
      <c r="AP101" s="32"/>
      <c r="AQ101" s="32"/>
    </row>
    <row r="102" spans="1:43" ht="12.75">
      <c r="A102" s="15" t="s">
        <v>144</v>
      </c>
      <c r="B102" s="16" t="s">
        <v>62</v>
      </c>
      <c r="C102" s="15" t="s">
        <v>170</v>
      </c>
      <c r="D102" s="43">
        <v>133021</v>
      </c>
      <c r="E102" s="22" t="s">
        <v>167</v>
      </c>
      <c r="F102" s="15"/>
      <c r="G102" s="15">
        <v>14592</v>
      </c>
      <c r="H102" s="15">
        <v>3697</v>
      </c>
      <c r="I102" s="17">
        <v>15666</v>
      </c>
      <c r="J102" s="17">
        <f t="shared" si="4"/>
        <v>33955</v>
      </c>
      <c r="K102" s="15"/>
      <c r="L102" s="15">
        <v>163201</v>
      </c>
      <c r="M102" s="15">
        <v>70806</v>
      </c>
      <c r="N102" s="24">
        <v>187622</v>
      </c>
      <c r="O102" s="17">
        <v>421629</v>
      </c>
      <c r="P102" s="23"/>
      <c r="Q102" s="15"/>
      <c r="R102" s="15"/>
      <c r="S102" s="17"/>
      <c r="T102" s="15"/>
      <c r="U102" s="15"/>
      <c r="V102" s="15"/>
      <c r="W102" s="15"/>
      <c r="X102" s="15"/>
      <c r="Y102" s="15"/>
      <c r="Z102" s="2"/>
      <c r="AA102" s="2"/>
      <c r="AB102" s="2"/>
      <c r="AC102" s="2"/>
      <c r="AD102" s="32"/>
      <c r="AE102" s="32"/>
      <c r="AF102" s="32"/>
      <c r="AG102" s="32"/>
      <c r="AH102" s="44"/>
      <c r="AI102" s="44"/>
      <c r="AJ102" s="32"/>
      <c r="AK102" s="32"/>
      <c r="AL102" s="32"/>
      <c r="AM102" s="32"/>
      <c r="AN102" s="32"/>
      <c r="AO102" s="32"/>
      <c r="AP102" s="32"/>
      <c r="AQ102" s="32"/>
    </row>
    <row r="103" spans="1:43" ht="12.75">
      <c r="A103" s="15" t="s">
        <v>144</v>
      </c>
      <c r="B103" s="16" t="s">
        <v>62</v>
      </c>
      <c r="C103" s="15" t="s">
        <v>171</v>
      </c>
      <c r="D103" s="43">
        <v>133386</v>
      </c>
      <c r="E103" s="22" t="s">
        <v>167</v>
      </c>
      <c r="F103" s="23"/>
      <c r="G103" s="23">
        <v>84825</v>
      </c>
      <c r="H103" s="23">
        <v>29524</v>
      </c>
      <c r="I103" s="24">
        <v>82878</v>
      </c>
      <c r="J103" s="17">
        <f t="shared" si="4"/>
        <v>197227</v>
      </c>
      <c r="K103" s="23"/>
      <c r="L103" s="23">
        <v>2259333</v>
      </c>
      <c r="M103" s="23">
        <v>1134030</v>
      </c>
      <c r="N103" s="24">
        <v>2224102</v>
      </c>
      <c r="O103" s="24">
        <v>5617465</v>
      </c>
      <c r="P103" s="23"/>
      <c r="Q103" s="23"/>
      <c r="R103" s="15"/>
      <c r="S103" s="17"/>
      <c r="T103" s="15"/>
      <c r="U103" s="15"/>
      <c r="V103" s="15"/>
      <c r="W103" s="15"/>
      <c r="X103" s="15"/>
      <c r="Y103" s="15"/>
      <c r="Z103" s="2"/>
      <c r="AA103" s="2"/>
      <c r="AB103" s="2"/>
      <c r="AC103" s="2"/>
      <c r="AD103" s="32"/>
      <c r="AE103" s="32"/>
      <c r="AF103" s="32"/>
      <c r="AG103" s="32"/>
      <c r="AH103" s="44"/>
      <c r="AI103" s="44"/>
      <c r="AJ103" s="32"/>
      <c r="AK103" s="32"/>
      <c r="AL103" s="32"/>
      <c r="AM103" s="32"/>
      <c r="AN103" s="32"/>
      <c r="AO103" s="32"/>
      <c r="AP103" s="32"/>
      <c r="AQ103" s="32"/>
    </row>
    <row r="104" spans="1:43" ht="12.75">
      <c r="A104" s="15" t="s">
        <v>144</v>
      </c>
      <c r="B104" s="16" t="s">
        <v>62</v>
      </c>
      <c r="C104" s="15" t="s">
        <v>172</v>
      </c>
      <c r="D104" s="43">
        <v>133508</v>
      </c>
      <c r="E104" s="22" t="s">
        <v>167</v>
      </c>
      <c r="F104" s="15"/>
      <c r="G104" s="15">
        <v>65930</v>
      </c>
      <c r="H104" s="15">
        <v>26535</v>
      </c>
      <c r="I104" s="17">
        <v>68329</v>
      </c>
      <c r="J104" s="17">
        <f t="shared" si="4"/>
        <v>160794</v>
      </c>
      <c r="K104" s="23"/>
      <c r="L104" s="23">
        <v>140124</v>
      </c>
      <c r="M104" s="23">
        <v>60619</v>
      </c>
      <c r="N104" s="24">
        <v>229992</v>
      </c>
      <c r="O104" s="17">
        <v>430735</v>
      </c>
      <c r="P104" s="23"/>
      <c r="Q104" s="15"/>
      <c r="R104" s="15"/>
      <c r="S104" s="17"/>
      <c r="T104" s="15"/>
      <c r="U104" s="15"/>
      <c r="V104" s="15"/>
      <c r="W104" s="15"/>
      <c r="X104" s="15"/>
      <c r="Y104" s="15"/>
      <c r="Z104" s="2"/>
      <c r="AA104" s="2"/>
      <c r="AB104" s="2"/>
      <c r="AC104" s="2"/>
      <c r="AD104" s="32"/>
      <c r="AE104" s="32"/>
      <c r="AF104" s="32"/>
      <c r="AG104" s="32"/>
      <c r="AH104" s="44"/>
      <c r="AI104" s="44"/>
      <c r="AJ104" s="32"/>
      <c r="AK104" s="32"/>
      <c r="AL104" s="32"/>
      <c r="AM104" s="32"/>
      <c r="AN104" s="32"/>
      <c r="AO104" s="32"/>
      <c r="AP104" s="32"/>
      <c r="AQ104" s="32"/>
    </row>
    <row r="105" spans="1:43" ht="12.75">
      <c r="A105" s="15" t="s">
        <v>144</v>
      </c>
      <c r="B105" s="16" t="s">
        <v>62</v>
      </c>
      <c r="C105" s="15" t="s">
        <v>173</v>
      </c>
      <c r="D105" s="43">
        <v>133702</v>
      </c>
      <c r="E105" s="22" t="s">
        <v>167</v>
      </c>
      <c r="F105" s="23"/>
      <c r="G105" s="23">
        <v>138390</v>
      </c>
      <c r="H105" s="23">
        <v>69808</v>
      </c>
      <c r="I105" s="24">
        <v>132471</v>
      </c>
      <c r="J105" s="17">
        <f t="shared" si="4"/>
        <v>340669</v>
      </c>
      <c r="K105" s="23"/>
      <c r="L105" s="23">
        <v>4019639</v>
      </c>
      <c r="M105" s="23">
        <v>2171984</v>
      </c>
      <c r="N105" s="24">
        <v>4140157</v>
      </c>
      <c r="O105" s="24">
        <v>10331780</v>
      </c>
      <c r="P105" s="23"/>
      <c r="Q105" s="15"/>
      <c r="R105" s="15"/>
      <c r="S105" s="17"/>
      <c r="T105" s="15"/>
      <c r="U105" s="15"/>
      <c r="V105" s="15"/>
      <c r="W105" s="15"/>
      <c r="X105" s="15"/>
      <c r="Y105" s="15"/>
      <c r="Z105" s="2"/>
      <c r="AA105" s="2"/>
      <c r="AB105" s="2"/>
      <c r="AC105" s="2"/>
      <c r="AD105" s="32"/>
      <c r="AE105" s="32"/>
      <c r="AF105" s="32"/>
      <c r="AG105" s="32"/>
      <c r="AH105" s="44"/>
      <c r="AI105" s="44"/>
      <c r="AJ105" s="32"/>
      <c r="AK105" s="32"/>
      <c r="AL105" s="32"/>
      <c r="AM105" s="32"/>
      <c r="AN105" s="32"/>
      <c r="AO105" s="32"/>
      <c r="AP105" s="32"/>
      <c r="AQ105" s="32"/>
    </row>
    <row r="106" spans="1:43" ht="12.75">
      <c r="A106" s="15" t="s">
        <v>144</v>
      </c>
      <c r="B106" s="16" t="s">
        <v>62</v>
      </c>
      <c r="C106" s="15" t="s">
        <v>174</v>
      </c>
      <c r="D106" s="43">
        <v>133960</v>
      </c>
      <c r="E106" s="22" t="s">
        <v>167</v>
      </c>
      <c r="F106" s="25"/>
      <c r="G106" s="23">
        <v>11499</v>
      </c>
      <c r="H106" s="23">
        <v>4636</v>
      </c>
      <c r="I106" s="24">
        <v>11319</v>
      </c>
      <c r="J106" s="17">
        <f t="shared" si="4"/>
        <v>27454</v>
      </c>
      <c r="K106" s="23"/>
      <c r="L106" s="23">
        <v>36494</v>
      </c>
      <c r="M106" s="23">
        <v>16486</v>
      </c>
      <c r="N106" s="24">
        <v>39314</v>
      </c>
      <c r="O106" s="24">
        <v>92294</v>
      </c>
      <c r="P106" s="23"/>
      <c r="Q106" s="15"/>
      <c r="R106" s="15"/>
      <c r="S106" s="17"/>
      <c r="T106" s="15"/>
      <c r="U106" s="15"/>
      <c r="V106" s="15"/>
      <c r="W106" s="15"/>
      <c r="X106" s="15"/>
      <c r="Y106" s="15"/>
      <c r="Z106" s="2"/>
      <c r="AA106" s="2"/>
      <c r="AB106" s="2"/>
      <c r="AC106" s="2"/>
      <c r="AD106" s="32"/>
      <c r="AE106" s="32"/>
      <c r="AF106" s="32"/>
      <c r="AG106" s="32"/>
      <c r="AH106" s="44"/>
      <c r="AI106" s="44"/>
      <c r="AJ106" s="32"/>
      <c r="AK106" s="32"/>
      <c r="AL106" s="32"/>
      <c r="AM106" s="32"/>
      <c r="AN106" s="32"/>
      <c r="AO106" s="32"/>
      <c r="AP106" s="32"/>
      <c r="AQ106" s="32"/>
    </row>
    <row r="107" spans="1:43" ht="12.75">
      <c r="A107" s="15" t="s">
        <v>144</v>
      </c>
      <c r="B107" s="16" t="s">
        <v>62</v>
      </c>
      <c r="C107" s="15" t="s">
        <v>175</v>
      </c>
      <c r="D107" s="43">
        <v>134343</v>
      </c>
      <c r="E107" s="22" t="s">
        <v>167</v>
      </c>
      <c r="F107" s="25"/>
      <c r="G107" s="23">
        <v>43084</v>
      </c>
      <c r="H107" s="23">
        <v>11893</v>
      </c>
      <c r="I107" s="24">
        <v>46181</v>
      </c>
      <c r="J107" s="17">
        <f t="shared" si="4"/>
        <v>101158</v>
      </c>
      <c r="K107" s="23"/>
      <c r="L107" s="23">
        <v>265894</v>
      </c>
      <c r="M107" s="23">
        <v>115685</v>
      </c>
      <c r="N107" s="24">
        <v>254903</v>
      </c>
      <c r="O107" s="24">
        <v>636482</v>
      </c>
      <c r="P107" s="23"/>
      <c r="Q107" s="15"/>
      <c r="R107" s="15"/>
      <c r="S107" s="17"/>
      <c r="T107" s="15"/>
      <c r="U107" s="15"/>
      <c r="V107" s="15"/>
      <c r="W107" s="15"/>
      <c r="X107" s="15"/>
      <c r="Y107" s="15"/>
      <c r="Z107" s="2"/>
      <c r="AA107" s="2"/>
      <c r="AB107" s="2"/>
      <c r="AC107" s="2"/>
      <c r="AD107" s="32"/>
      <c r="AE107" s="32"/>
      <c r="AF107" s="32"/>
      <c r="AG107" s="32"/>
      <c r="AH107" s="44"/>
      <c r="AI107" s="44"/>
      <c r="AJ107" s="32"/>
      <c r="AK107" s="32"/>
      <c r="AL107" s="32"/>
      <c r="AM107" s="32"/>
      <c r="AN107" s="32"/>
      <c r="AO107" s="32"/>
      <c r="AP107" s="32"/>
      <c r="AQ107" s="32"/>
    </row>
    <row r="108" spans="1:43" ht="12.75">
      <c r="A108" s="15" t="s">
        <v>144</v>
      </c>
      <c r="B108" s="16" t="s">
        <v>62</v>
      </c>
      <c r="C108" s="15" t="s">
        <v>176</v>
      </c>
      <c r="D108" s="43">
        <v>134495</v>
      </c>
      <c r="E108" s="22" t="s">
        <v>167</v>
      </c>
      <c r="F108" s="25"/>
      <c r="G108" s="23">
        <v>127272</v>
      </c>
      <c r="H108" s="23">
        <v>53526</v>
      </c>
      <c r="I108" s="24">
        <v>123522</v>
      </c>
      <c r="J108" s="17">
        <f t="shared" si="4"/>
        <v>304320</v>
      </c>
      <c r="K108" s="23"/>
      <c r="L108" s="23">
        <v>624446</v>
      </c>
      <c r="M108" s="23">
        <v>350384</v>
      </c>
      <c r="N108" s="24">
        <v>583321</v>
      </c>
      <c r="O108" s="24">
        <v>1558151</v>
      </c>
      <c r="P108" s="15"/>
      <c r="Q108" s="15"/>
      <c r="R108" s="15"/>
      <c r="S108" s="17"/>
      <c r="T108" s="15"/>
      <c r="U108" s="15"/>
      <c r="V108" s="15"/>
      <c r="W108" s="15"/>
      <c r="X108" s="15"/>
      <c r="Y108" s="15"/>
      <c r="Z108" s="2"/>
      <c r="AA108" s="2"/>
      <c r="AB108" s="2"/>
      <c r="AC108" s="2"/>
      <c r="AD108" s="32"/>
      <c r="AE108" s="32"/>
      <c r="AF108" s="32"/>
      <c r="AG108" s="32"/>
      <c r="AH108" s="44"/>
      <c r="AI108" s="44"/>
      <c r="AJ108" s="32"/>
      <c r="AK108" s="32"/>
      <c r="AL108" s="32"/>
      <c r="AM108" s="32"/>
      <c r="AN108" s="32"/>
      <c r="AO108" s="32"/>
      <c r="AP108" s="32"/>
      <c r="AQ108" s="32"/>
    </row>
    <row r="109" spans="1:43" ht="12.75">
      <c r="A109" s="15" t="s">
        <v>144</v>
      </c>
      <c r="B109" s="16" t="s">
        <v>62</v>
      </c>
      <c r="C109" s="15" t="s">
        <v>177</v>
      </c>
      <c r="D109" s="43">
        <v>134608</v>
      </c>
      <c r="E109" s="22" t="s">
        <v>167</v>
      </c>
      <c r="F109" s="25"/>
      <c r="G109" s="23">
        <v>66403</v>
      </c>
      <c r="H109" s="23">
        <v>29245</v>
      </c>
      <c r="I109" s="24">
        <v>71703</v>
      </c>
      <c r="J109" s="17">
        <f t="shared" si="4"/>
        <v>167351</v>
      </c>
      <c r="K109" s="23"/>
      <c r="L109" s="23">
        <v>1228449</v>
      </c>
      <c r="M109" s="23">
        <v>931239</v>
      </c>
      <c r="N109" s="24">
        <v>1562456</v>
      </c>
      <c r="O109" s="24">
        <v>3722144</v>
      </c>
      <c r="P109" s="15"/>
      <c r="Q109" s="15"/>
      <c r="R109" s="15"/>
      <c r="S109" s="17"/>
      <c r="T109" s="15"/>
      <c r="U109" s="15"/>
      <c r="V109" s="15"/>
      <c r="W109" s="15"/>
      <c r="X109" s="15"/>
      <c r="Y109" s="15"/>
      <c r="Z109" s="2"/>
      <c r="AA109" s="2"/>
      <c r="AB109" s="2"/>
      <c r="AC109" s="2"/>
      <c r="AD109" s="32"/>
      <c r="AE109" s="32"/>
      <c r="AF109" s="32"/>
      <c r="AG109" s="32"/>
      <c r="AH109" s="44"/>
      <c r="AI109" s="44"/>
      <c r="AJ109" s="32"/>
      <c r="AK109" s="32"/>
      <c r="AL109" s="32"/>
      <c r="AM109" s="32"/>
      <c r="AN109" s="32"/>
      <c r="AO109" s="32"/>
      <c r="AP109" s="32"/>
      <c r="AQ109" s="32"/>
    </row>
    <row r="110" spans="1:43" ht="12.75">
      <c r="A110" s="15" t="s">
        <v>144</v>
      </c>
      <c r="B110" s="16" t="s">
        <v>62</v>
      </c>
      <c r="C110" s="15" t="s">
        <v>178</v>
      </c>
      <c r="D110" s="43">
        <v>135160</v>
      </c>
      <c r="E110" s="22" t="s">
        <v>167</v>
      </c>
      <c r="F110" s="25"/>
      <c r="G110" s="23">
        <v>18014</v>
      </c>
      <c r="H110" s="23">
        <v>6025</v>
      </c>
      <c r="I110" s="24">
        <v>16227</v>
      </c>
      <c r="J110" s="17">
        <f t="shared" si="4"/>
        <v>40266</v>
      </c>
      <c r="K110" s="23"/>
      <c r="L110" s="23">
        <v>322175</v>
      </c>
      <c r="M110" s="23">
        <v>205428</v>
      </c>
      <c r="N110" s="24">
        <v>319807</v>
      </c>
      <c r="O110" s="24">
        <v>847410</v>
      </c>
      <c r="P110" s="23"/>
      <c r="Q110" s="15"/>
      <c r="R110" s="15"/>
      <c r="S110" s="17"/>
      <c r="T110" s="15"/>
      <c r="U110" s="15"/>
      <c r="V110" s="15"/>
      <c r="W110" s="15"/>
      <c r="X110" s="15"/>
      <c r="Y110" s="15"/>
      <c r="Z110" s="2"/>
      <c r="AA110" s="2"/>
      <c r="AB110" s="2"/>
      <c r="AC110" s="2"/>
      <c r="AD110" s="32"/>
      <c r="AE110" s="32"/>
      <c r="AF110" s="32"/>
      <c r="AG110" s="32"/>
      <c r="AH110" s="44"/>
      <c r="AI110" s="44"/>
      <c r="AJ110" s="32"/>
      <c r="AK110" s="32"/>
      <c r="AL110" s="32"/>
      <c r="AM110" s="32"/>
      <c r="AN110" s="32"/>
      <c r="AO110" s="32"/>
      <c r="AP110" s="32"/>
      <c r="AQ110" s="32"/>
    </row>
    <row r="111" spans="1:43" ht="12.75">
      <c r="A111" s="15" t="s">
        <v>144</v>
      </c>
      <c r="B111" s="16" t="s">
        <v>62</v>
      </c>
      <c r="C111" s="15" t="s">
        <v>179</v>
      </c>
      <c r="D111" s="43">
        <v>135188</v>
      </c>
      <c r="E111" s="22" t="s">
        <v>167</v>
      </c>
      <c r="F111" s="15"/>
      <c r="G111" s="15">
        <v>16700</v>
      </c>
      <c r="H111" s="15">
        <v>6333</v>
      </c>
      <c r="I111" s="17">
        <v>16426</v>
      </c>
      <c r="J111" s="17">
        <f t="shared" si="4"/>
        <v>39459</v>
      </c>
      <c r="K111" s="15"/>
      <c r="L111" s="15">
        <v>61945</v>
      </c>
      <c r="M111" s="15">
        <v>26684</v>
      </c>
      <c r="N111" s="24">
        <v>71941</v>
      </c>
      <c r="O111" s="17">
        <v>160570</v>
      </c>
      <c r="P111" s="23"/>
      <c r="Q111" s="15"/>
      <c r="R111" s="15"/>
      <c r="S111" s="17"/>
      <c r="T111" s="15"/>
      <c r="U111" s="15"/>
      <c r="V111" s="15"/>
      <c r="W111" s="15"/>
      <c r="X111" s="15"/>
      <c r="Y111" s="15"/>
      <c r="Z111" s="2"/>
      <c r="AA111" s="2"/>
      <c r="AB111" s="2"/>
      <c r="AC111" s="2"/>
      <c r="AD111" s="32"/>
      <c r="AE111" s="32"/>
      <c r="AF111" s="32"/>
      <c r="AG111" s="32"/>
      <c r="AH111" s="44"/>
      <c r="AI111" s="44"/>
      <c r="AJ111" s="32"/>
      <c r="AK111" s="32"/>
      <c r="AL111" s="32"/>
      <c r="AM111" s="32"/>
      <c r="AN111" s="32"/>
      <c r="AO111" s="32"/>
      <c r="AP111" s="32"/>
      <c r="AQ111" s="32"/>
    </row>
    <row r="112" spans="1:43" ht="12.75">
      <c r="A112" s="15" t="s">
        <v>144</v>
      </c>
      <c r="B112" s="16" t="s">
        <v>62</v>
      </c>
      <c r="C112" s="15" t="s">
        <v>180</v>
      </c>
      <c r="D112" s="43">
        <v>135391</v>
      </c>
      <c r="E112" s="22" t="s">
        <v>167</v>
      </c>
      <c r="F112" s="15"/>
      <c r="G112" s="15">
        <v>58884</v>
      </c>
      <c r="H112" s="15">
        <v>19401</v>
      </c>
      <c r="I112" s="17">
        <v>56807</v>
      </c>
      <c r="J112" s="17">
        <f t="shared" si="4"/>
        <v>135092</v>
      </c>
      <c r="K112" s="15"/>
      <c r="L112" s="15">
        <v>122208</v>
      </c>
      <c r="M112" s="15">
        <v>44827</v>
      </c>
      <c r="N112" s="24">
        <v>95328</v>
      </c>
      <c r="O112" s="17">
        <v>262363</v>
      </c>
      <c r="P112" s="23"/>
      <c r="Q112" s="15"/>
      <c r="R112" s="15"/>
      <c r="S112" s="17"/>
      <c r="T112" s="15"/>
      <c r="U112" s="15"/>
      <c r="V112" s="15"/>
      <c r="W112" s="15"/>
      <c r="X112" s="15"/>
      <c r="Y112" s="15"/>
      <c r="Z112" s="2"/>
      <c r="AA112" s="2"/>
      <c r="AB112" s="2"/>
      <c r="AC112" s="2"/>
      <c r="AD112" s="32"/>
      <c r="AE112" s="32"/>
      <c r="AF112" s="32"/>
      <c r="AG112" s="32"/>
      <c r="AH112" s="44"/>
      <c r="AI112" s="44"/>
      <c r="AJ112" s="32"/>
      <c r="AK112" s="32"/>
      <c r="AL112" s="32"/>
      <c r="AM112" s="32"/>
      <c r="AN112" s="32"/>
      <c r="AO112" s="32"/>
      <c r="AP112" s="32"/>
      <c r="AQ112" s="32"/>
    </row>
    <row r="113" spans="1:43" ht="12.75">
      <c r="A113" s="15" t="s">
        <v>144</v>
      </c>
      <c r="B113" s="16" t="s">
        <v>62</v>
      </c>
      <c r="C113" s="15" t="s">
        <v>181</v>
      </c>
      <c r="D113" s="43">
        <v>135717</v>
      </c>
      <c r="E113" s="22" t="s">
        <v>167</v>
      </c>
      <c r="F113" s="15"/>
      <c r="G113" s="15">
        <v>374099</v>
      </c>
      <c r="H113" s="15">
        <v>218900</v>
      </c>
      <c r="I113" s="17">
        <v>361803</v>
      </c>
      <c r="J113" s="17">
        <f t="shared" si="4"/>
        <v>954802</v>
      </c>
      <c r="K113" s="15"/>
      <c r="L113" s="15">
        <v>2393222</v>
      </c>
      <c r="M113" s="15">
        <v>1482591</v>
      </c>
      <c r="N113" s="24">
        <v>2677888</v>
      </c>
      <c r="O113" s="17">
        <v>6553701</v>
      </c>
      <c r="P113" s="23"/>
      <c r="Q113" s="15"/>
      <c r="R113" s="15"/>
      <c r="S113" s="17"/>
      <c r="T113" s="15"/>
      <c r="U113" s="15"/>
      <c r="V113" s="15"/>
      <c r="W113" s="15"/>
      <c r="X113" s="15"/>
      <c r="Y113" s="15"/>
      <c r="Z113" s="2"/>
      <c r="AA113" s="2"/>
      <c r="AB113" s="2"/>
      <c r="AC113" s="2"/>
      <c r="AD113" s="32"/>
      <c r="AE113" s="32"/>
      <c r="AF113" s="32"/>
      <c r="AG113" s="32"/>
      <c r="AH113" s="44"/>
      <c r="AI113" s="44"/>
      <c r="AJ113" s="32"/>
      <c r="AK113" s="32"/>
      <c r="AL113" s="32"/>
      <c r="AM113" s="32"/>
      <c r="AN113" s="32"/>
      <c r="AO113" s="32"/>
      <c r="AP113" s="32"/>
      <c r="AQ113" s="32"/>
    </row>
    <row r="114" spans="1:43" ht="12.75">
      <c r="A114" s="15" t="s">
        <v>144</v>
      </c>
      <c r="B114" s="16" t="s">
        <v>62</v>
      </c>
      <c r="C114" s="15" t="s">
        <v>182</v>
      </c>
      <c r="D114" s="43">
        <v>136145</v>
      </c>
      <c r="E114" s="22" t="s">
        <v>167</v>
      </c>
      <c r="F114" s="15"/>
      <c r="G114" s="15">
        <v>7155</v>
      </c>
      <c r="H114" s="15">
        <v>1977</v>
      </c>
      <c r="I114" s="17">
        <v>8213</v>
      </c>
      <c r="J114" s="17">
        <f t="shared" si="4"/>
        <v>17345</v>
      </c>
      <c r="K114" s="15"/>
      <c r="L114" s="15">
        <v>153282</v>
      </c>
      <c r="M114" s="15">
        <v>36743</v>
      </c>
      <c r="N114" s="24">
        <v>150989</v>
      </c>
      <c r="O114" s="24">
        <v>341014</v>
      </c>
      <c r="P114" s="15"/>
      <c r="Q114" s="15"/>
      <c r="R114" s="15"/>
      <c r="S114" s="17"/>
      <c r="T114" s="15"/>
      <c r="U114" s="15"/>
      <c r="V114" s="15"/>
      <c r="W114" s="15"/>
      <c r="X114" s="15"/>
      <c r="Y114" s="15"/>
      <c r="Z114" s="2"/>
      <c r="AA114" s="2"/>
      <c r="AB114" s="2"/>
      <c r="AC114" s="2"/>
      <c r="AD114" s="32"/>
      <c r="AE114" s="32"/>
      <c r="AF114" s="32"/>
      <c r="AG114" s="32"/>
      <c r="AH114" s="44"/>
      <c r="AI114" s="44"/>
      <c r="AJ114" s="32"/>
      <c r="AK114" s="32"/>
      <c r="AL114" s="32"/>
      <c r="AM114" s="32"/>
      <c r="AN114" s="32"/>
      <c r="AO114" s="32"/>
      <c r="AP114" s="32"/>
      <c r="AQ114" s="32"/>
    </row>
    <row r="115" spans="1:43" ht="12.75">
      <c r="A115" s="15" t="s">
        <v>144</v>
      </c>
      <c r="B115" s="16" t="s">
        <v>62</v>
      </c>
      <c r="C115" s="15" t="s">
        <v>183</v>
      </c>
      <c r="D115" s="43">
        <v>136233</v>
      </c>
      <c r="E115" s="22" t="s">
        <v>167</v>
      </c>
      <c r="F115" s="15"/>
      <c r="G115" s="15">
        <v>43554</v>
      </c>
      <c r="H115" s="15">
        <v>20922</v>
      </c>
      <c r="I115" s="17">
        <v>43853</v>
      </c>
      <c r="J115" s="17">
        <f t="shared" si="4"/>
        <v>108329</v>
      </c>
      <c r="K115" s="15"/>
      <c r="L115" s="15">
        <v>213165</v>
      </c>
      <c r="M115" s="15">
        <v>111299</v>
      </c>
      <c r="N115" s="24">
        <v>245933</v>
      </c>
      <c r="O115" s="17">
        <v>570397</v>
      </c>
      <c r="P115" s="23"/>
      <c r="Q115" s="15"/>
      <c r="R115" s="15"/>
      <c r="S115" s="17"/>
      <c r="T115" s="15"/>
      <c r="U115" s="15"/>
      <c r="V115" s="15"/>
      <c r="W115" s="15"/>
      <c r="X115" s="15"/>
      <c r="Y115" s="15"/>
      <c r="Z115" s="2"/>
      <c r="AA115" s="2"/>
      <c r="AB115" s="2"/>
      <c r="AC115" s="2"/>
      <c r="AD115" s="32"/>
      <c r="AE115" s="32"/>
      <c r="AF115" s="32"/>
      <c r="AG115" s="32"/>
      <c r="AH115" s="44"/>
      <c r="AI115" s="44"/>
      <c r="AJ115" s="32"/>
      <c r="AK115" s="32"/>
      <c r="AL115" s="32"/>
      <c r="AM115" s="32"/>
      <c r="AN115" s="32"/>
      <c r="AO115" s="32"/>
      <c r="AP115" s="32"/>
      <c r="AQ115" s="32"/>
    </row>
    <row r="116" spans="1:43" ht="12.75">
      <c r="A116" s="15" t="s">
        <v>144</v>
      </c>
      <c r="B116" s="16" t="s">
        <v>62</v>
      </c>
      <c r="C116" s="15" t="s">
        <v>184</v>
      </c>
      <c r="D116" s="43">
        <v>136358</v>
      </c>
      <c r="E116" s="22" t="s">
        <v>167</v>
      </c>
      <c r="F116" s="16"/>
      <c r="G116" s="16">
        <v>113573</v>
      </c>
      <c r="H116" s="16">
        <v>45193</v>
      </c>
      <c r="I116" s="45">
        <v>121295</v>
      </c>
      <c r="J116" s="46">
        <v>280061</v>
      </c>
      <c r="K116" s="16"/>
      <c r="L116" s="16">
        <v>473579</v>
      </c>
      <c r="M116" s="16">
        <v>211850</v>
      </c>
      <c r="N116" s="45">
        <v>558879</v>
      </c>
      <c r="O116" s="47">
        <v>1244308</v>
      </c>
      <c r="P116" s="48"/>
      <c r="Q116" s="48"/>
      <c r="R116" s="15"/>
      <c r="S116" s="17"/>
      <c r="T116" s="15"/>
      <c r="U116" s="15"/>
      <c r="V116" s="15"/>
      <c r="W116" s="15"/>
      <c r="X116" s="15"/>
      <c r="Y116" s="15"/>
      <c r="Z116" s="2"/>
      <c r="AA116" s="2"/>
      <c r="AB116" s="2"/>
      <c r="AC116" s="2"/>
      <c r="AD116" s="32"/>
      <c r="AE116" s="32"/>
      <c r="AF116" s="32"/>
      <c r="AG116" s="32"/>
      <c r="AH116" s="44"/>
      <c r="AI116" s="44"/>
      <c r="AJ116" s="32"/>
      <c r="AK116" s="32"/>
      <c r="AL116" s="32"/>
      <c r="AM116" s="32"/>
      <c r="AN116" s="32"/>
      <c r="AO116" s="32"/>
      <c r="AP116" s="32"/>
      <c r="AQ116" s="32"/>
    </row>
    <row r="117" spans="1:43" ht="12.75">
      <c r="A117" s="15" t="s">
        <v>144</v>
      </c>
      <c r="B117" s="16" t="s">
        <v>62</v>
      </c>
      <c r="C117" s="15" t="s">
        <v>185</v>
      </c>
      <c r="D117" s="43">
        <v>136400</v>
      </c>
      <c r="E117" s="22" t="s">
        <v>167</v>
      </c>
      <c r="F117" s="16"/>
      <c r="G117" s="16">
        <v>36032</v>
      </c>
      <c r="H117" s="16">
        <v>12547</v>
      </c>
      <c r="I117" s="45">
        <v>33477</v>
      </c>
      <c r="J117" s="46">
        <v>82056</v>
      </c>
      <c r="K117" s="16"/>
      <c r="L117" s="16">
        <v>226369</v>
      </c>
      <c r="M117" s="16">
        <v>87758</v>
      </c>
      <c r="N117" s="45">
        <v>266049</v>
      </c>
      <c r="O117" s="47">
        <v>580176</v>
      </c>
      <c r="P117" s="48"/>
      <c r="Q117" s="48"/>
      <c r="R117" s="15"/>
      <c r="S117" s="17"/>
      <c r="T117" s="15"/>
      <c r="U117" s="15"/>
      <c r="V117" s="15"/>
      <c r="W117" s="15"/>
      <c r="X117" s="15"/>
      <c r="Y117" s="15"/>
      <c r="Z117" s="2"/>
      <c r="AA117" s="2"/>
      <c r="AB117" s="2"/>
      <c r="AC117" s="2"/>
      <c r="AD117" s="32"/>
      <c r="AE117" s="32"/>
      <c r="AF117" s="32"/>
      <c r="AG117" s="32"/>
      <c r="AH117" s="44"/>
      <c r="AI117" s="44"/>
      <c r="AJ117" s="32"/>
      <c r="AK117" s="32"/>
      <c r="AL117" s="32"/>
      <c r="AM117" s="32"/>
      <c r="AN117" s="32"/>
      <c r="AO117" s="32"/>
      <c r="AP117" s="32"/>
      <c r="AQ117" s="32"/>
    </row>
    <row r="118" spans="1:43" ht="12.75">
      <c r="A118" s="15" t="s">
        <v>144</v>
      </c>
      <c r="B118" s="16" t="s">
        <v>62</v>
      </c>
      <c r="C118" s="15" t="s">
        <v>186</v>
      </c>
      <c r="D118" s="43">
        <v>136473</v>
      </c>
      <c r="E118" s="22" t="s">
        <v>167</v>
      </c>
      <c r="F118" s="16"/>
      <c r="G118" s="16">
        <v>82901</v>
      </c>
      <c r="H118" s="16">
        <v>32088</v>
      </c>
      <c r="I118" s="45">
        <v>80541</v>
      </c>
      <c r="J118" s="46">
        <v>195530</v>
      </c>
      <c r="K118" s="16"/>
      <c r="L118" s="16">
        <v>789049</v>
      </c>
      <c r="M118" s="16">
        <v>335668</v>
      </c>
      <c r="N118" s="45">
        <v>787090</v>
      </c>
      <c r="O118" s="47">
        <v>1911807</v>
      </c>
      <c r="P118" s="48"/>
      <c r="Q118" s="48"/>
      <c r="R118" s="15"/>
      <c r="S118" s="17"/>
      <c r="T118" s="15"/>
      <c r="U118" s="15"/>
      <c r="V118" s="15"/>
      <c r="W118" s="15"/>
      <c r="X118" s="15"/>
      <c r="Y118" s="15"/>
      <c r="Z118" s="2"/>
      <c r="AA118" s="2"/>
      <c r="AB118" s="2"/>
      <c r="AC118" s="2"/>
      <c r="AD118" s="32"/>
      <c r="AE118" s="32"/>
      <c r="AF118" s="32"/>
      <c r="AG118" s="32"/>
      <c r="AH118" s="44"/>
      <c r="AI118" s="44"/>
      <c r="AJ118" s="32"/>
      <c r="AK118" s="32"/>
      <c r="AL118" s="32"/>
      <c r="AM118" s="32"/>
      <c r="AN118" s="32"/>
      <c r="AO118" s="32"/>
      <c r="AP118" s="32"/>
      <c r="AQ118" s="32"/>
    </row>
    <row r="119" spans="1:43" ht="12.75">
      <c r="A119" s="15" t="s">
        <v>144</v>
      </c>
      <c r="B119" s="16" t="s">
        <v>62</v>
      </c>
      <c r="C119" s="15" t="s">
        <v>187</v>
      </c>
      <c r="D119" s="43">
        <v>136516</v>
      </c>
      <c r="E119" s="22" t="s">
        <v>167</v>
      </c>
      <c r="F119" s="15"/>
      <c r="G119" s="15">
        <v>40126</v>
      </c>
      <c r="H119" s="15">
        <v>14281</v>
      </c>
      <c r="I119" s="17">
        <v>39349</v>
      </c>
      <c r="J119" s="19">
        <v>93756</v>
      </c>
      <c r="K119" s="15"/>
      <c r="L119" s="15">
        <v>176404</v>
      </c>
      <c r="M119" s="15">
        <v>94849</v>
      </c>
      <c r="N119" s="17">
        <v>172318</v>
      </c>
      <c r="O119" s="17">
        <v>443571</v>
      </c>
      <c r="P119" s="15"/>
      <c r="Q119" s="15"/>
      <c r="R119" s="15"/>
      <c r="S119" s="17"/>
      <c r="T119" s="15"/>
      <c r="U119" s="15"/>
      <c r="V119" s="15"/>
      <c r="W119" s="15"/>
      <c r="X119" s="15"/>
      <c r="Y119" s="15"/>
      <c r="Z119" s="2"/>
      <c r="AA119" s="2"/>
      <c r="AB119" s="2"/>
      <c r="AC119" s="2"/>
      <c r="AD119" s="32"/>
      <c r="AE119" s="32"/>
      <c r="AF119" s="32"/>
      <c r="AG119" s="32"/>
      <c r="AH119" s="44"/>
      <c r="AI119" s="44"/>
      <c r="AJ119" s="32"/>
      <c r="AK119" s="32"/>
      <c r="AL119" s="32"/>
      <c r="AM119" s="32"/>
      <c r="AN119" s="32"/>
      <c r="AO119" s="32"/>
      <c r="AP119" s="32"/>
      <c r="AQ119" s="32"/>
    </row>
    <row r="120" spans="1:43" ht="12.75">
      <c r="A120" s="15" t="s">
        <v>144</v>
      </c>
      <c r="B120" s="16" t="s">
        <v>62</v>
      </c>
      <c r="C120" s="15" t="s">
        <v>188</v>
      </c>
      <c r="D120" s="43">
        <v>137096</v>
      </c>
      <c r="E120" s="22" t="s">
        <v>167</v>
      </c>
      <c r="F120" s="15"/>
      <c r="G120" s="15">
        <v>98876</v>
      </c>
      <c r="H120" s="15">
        <v>43442</v>
      </c>
      <c r="I120" s="17">
        <v>100643</v>
      </c>
      <c r="J120" s="17">
        <v>242961</v>
      </c>
      <c r="K120" s="15"/>
      <c r="L120" s="15">
        <v>472771</v>
      </c>
      <c r="M120" s="15">
        <v>202287</v>
      </c>
      <c r="N120" s="17">
        <v>511720</v>
      </c>
      <c r="O120" s="17">
        <v>1186778</v>
      </c>
      <c r="P120" s="15"/>
      <c r="Q120" s="15"/>
      <c r="R120" s="15"/>
      <c r="S120" s="17"/>
      <c r="T120" s="15"/>
      <c r="U120" s="15"/>
      <c r="V120" s="15"/>
      <c r="W120" s="15"/>
      <c r="X120" s="15"/>
      <c r="Y120" s="15"/>
      <c r="Z120" s="2"/>
      <c r="AA120" s="2"/>
      <c r="AB120" s="2"/>
      <c r="AC120" s="2"/>
      <c r="AD120" s="32"/>
      <c r="AE120" s="32"/>
      <c r="AF120" s="32"/>
      <c r="AG120" s="32"/>
      <c r="AH120" s="44"/>
      <c r="AI120" s="44"/>
      <c r="AJ120" s="32"/>
      <c r="AK120" s="32"/>
      <c r="AL120" s="32"/>
      <c r="AM120" s="32"/>
      <c r="AN120" s="32"/>
      <c r="AO120" s="32"/>
      <c r="AP120" s="32"/>
      <c r="AQ120" s="32"/>
    </row>
    <row r="121" spans="1:43" ht="12.75">
      <c r="A121" s="15" t="s">
        <v>144</v>
      </c>
      <c r="B121" s="16" t="s">
        <v>62</v>
      </c>
      <c r="C121" s="15" t="s">
        <v>189</v>
      </c>
      <c r="D121" s="43">
        <v>137209</v>
      </c>
      <c r="E121" s="22" t="s">
        <v>167</v>
      </c>
      <c r="F121" s="23"/>
      <c r="G121" s="23">
        <v>48780</v>
      </c>
      <c r="H121" s="23">
        <v>24357</v>
      </c>
      <c r="I121" s="24">
        <v>50314</v>
      </c>
      <c r="J121" s="24">
        <v>123451</v>
      </c>
      <c r="K121" s="23"/>
      <c r="L121" s="23">
        <v>1277387</v>
      </c>
      <c r="M121" s="23">
        <v>985801</v>
      </c>
      <c r="N121" s="24">
        <v>1236090</v>
      </c>
      <c r="O121" s="24">
        <v>3499278</v>
      </c>
      <c r="P121" s="23"/>
      <c r="Q121" s="23"/>
      <c r="R121" s="23"/>
      <c r="S121" s="24"/>
      <c r="T121" s="23"/>
      <c r="U121" s="23"/>
      <c r="V121" s="23"/>
      <c r="W121" s="23"/>
      <c r="X121" s="23"/>
      <c r="Y121" s="23"/>
      <c r="Z121" s="2"/>
      <c r="AA121" s="2"/>
      <c r="AB121" s="2"/>
      <c r="AC121" s="2"/>
      <c r="AD121" s="32"/>
      <c r="AE121" s="32"/>
      <c r="AF121" s="32"/>
      <c r="AG121" s="32"/>
      <c r="AH121" s="44"/>
      <c r="AI121" s="44"/>
      <c r="AJ121" s="32"/>
      <c r="AK121" s="32"/>
      <c r="AL121" s="32"/>
      <c r="AM121" s="32"/>
      <c r="AN121" s="32"/>
      <c r="AO121" s="32"/>
      <c r="AP121" s="32"/>
      <c r="AQ121" s="32"/>
    </row>
    <row r="122" spans="1:43" ht="12.75">
      <c r="A122" s="15" t="s">
        <v>144</v>
      </c>
      <c r="B122" s="16" t="s">
        <v>62</v>
      </c>
      <c r="C122" s="15" t="s">
        <v>190</v>
      </c>
      <c r="D122" s="43">
        <v>137315</v>
      </c>
      <c r="E122" s="22" t="s">
        <v>167</v>
      </c>
      <c r="F122" s="23"/>
      <c r="G122" s="23">
        <v>12134</v>
      </c>
      <c r="H122" s="23">
        <v>3493</v>
      </c>
      <c r="I122" s="24">
        <v>13035</v>
      </c>
      <c r="J122" s="24">
        <v>28662</v>
      </c>
      <c r="K122" s="23"/>
      <c r="L122" s="23">
        <v>667630</v>
      </c>
      <c r="M122" s="23">
        <v>346288</v>
      </c>
      <c r="N122" s="24">
        <v>711950</v>
      </c>
      <c r="O122" s="24">
        <v>1725868</v>
      </c>
      <c r="P122" s="23"/>
      <c r="Q122" s="23"/>
      <c r="R122" s="23"/>
      <c r="S122" s="24"/>
      <c r="T122" s="23"/>
      <c r="U122" s="23"/>
      <c r="V122" s="23"/>
      <c r="W122" s="23"/>
      <c r="X122" s="23"/>
      <c r="Y122" s="23"/>
      <c r="Z122" s="2"/>
      <c r="AA122" s="2"/>
      <c r="AB122" s="2"/>
      <c r="AC122" s="2"/>
      <c r="AD122" s="32"/>
      <c r="AE122" s="32"/>
      <c r="AF122" s="32"/>
      <c r="AG122" s="32"/>
      <c r="AH122" s="44"/>
      <c r="AI122" s="44"/>
      <c r="AJ122" s="32"/>
      <c r="AK122" s="32"/>
      <c r="AL122" s="32"/>
      <c r="AM122" s="32"/>
      <c r="AN122" s="32"/>
      <c r="AO122" s="32"/>
      <c r="AP122" s="32"/>
      <c r="AQ122" s="32"/>
    </row>
    <row r="123" spans="1:43" ht="12.75">
      <c r="A123" s="15" t="s">
        <v>144</v>
      </c>
      <c r="B123" s="16" t="s">
        <v>62</v>
      </c>
      <c r="C123" s="15" t="s">
        <v>191</v>
      </c>
      <c r="D123" s="43">
        <v>137281</v>
      </c>
      <c r="E123" s="22" t="s">
        <v>167</v>
      </c>
      <c r="F123" s="23"/>
      <c r="G123" s="23">
        <v>25755</v>
      </c>
      <c r="H123" s="23">
        <v>7664</v>
      </c>
      <c r="I123" s="24">
        <v>29082</v>
      </c>
      <c r="J123" s="24">
        <v>62501</v>
      </c>
      <c r="K123" s="23"/>
      <c r="L123" s="23">
        <v>188572</v>
      </c>
      <c r="M123" s="23">
        <v>80553</v>
      </c>
      <c r="N123" s="24">
        <v>143562</v>
      </c>
      <c r="O123" s="24">
        <v>412687</v>
      </c>
      <c r="P123" s="23"/>
      <c r="Q123" s="23"/>
      <c r="R123" s="23"/>
      <c r="S123" s="24"/>
      <c r="T123" s="23"/>
      <c r="U123" s="23"/>
      <c r="V123" s="23"/>
      <c r="W123" s="23"/>
      <c r="X123" s="23"/>
      <c r="Y123" s="23"/>
      <c r="Z123" s="2"/>
      <c r="AA123" s="2"/>
      <c r="AB123" s="2"/>
      <c r="AC123" s="2"/>
      <c r="AD123" s="32"/>
      <c r="AE123" s="32"/>
      <c r="AF123" s="32"/>
      <c r="AG123" s="32"/>
      <c r="AH123" s="44"/>
      <c r="AI123" s="44"/>
      <c r="AJ123" s="32"/>
      <c r="AK123" s="32"/>
      <c r="AL123" s="32"/>
      <c r="AM123" s="32"/>
      <c r="AN123" s="32"/>
      <c r="AO123" s="32"/>
      <c r="AP123" s="32"/>
      <c r="AQ123" s="32"/>
    </row>
    <row r="124" spans="1:43" ht="12.75">
      <c r="A124" s="15" t="s">
        <v>144</v>
      </c>
      <c r="B124" s="16" t="s">
        <v>62</v>
      </c>
      <c r="C124" s="15" t="s">
        <v>192</v>
      </c>
      <c r="D124" s="43">
        <v>137078</v>
      </c>
      <c r="E124" s="22" t="s">
        <v>167</v>
      </c>
      <c r="F124" s="23"/>
      <c r="G124" s="23">
        <v>139928</v>
      </c>
      <c r="H124" s="23">
        <v>54680</v>
      </c>
      <c r="I124" s="24">
        <v>136743</v>
      </c>
      <c r="J124" s="24">
        <v>331351</v>
      </c>
      <c r="K124" s="23"/>
      <c r="L124" s="23">
        <v>402961</v>
      </c>
      <c r="M124" s="23">
        <v>171538</v>
      </c>
      <c r="N124" s="24">
        <v>531286</v>
      </c>
      <c r="O124" s="24">
        <v>1105785</v>
      </c>
      <c r="P124" s="23"/>
      <c r="Q124" s="23"/>
      <c r="R124" s="23"/>
      <c r="S124" s="24"/>
      <c r="T124" s="23"/>
      <c r="U124" s="23"/>
      <c r="V124" s="23"/>
      <c r="W124" s="23"/>
      <c r="X124" s="23"/>
      <c r="Y124" s="23"/>
      <c r="Z124" s="2"/>
      <c r="AA124" s="2"/>
      <c r="AB124" s="2"/>
      <c r="AC124" s="2"/>
      <c r="AD124" s="32"/>
      <c r="AE124" s="32"/>
      <c r="AF124" s="32"/>
      <c r="AG124" s="32"/>
      <c r="AH124" s="44"/>
      <c r="AI124" s="44"/>
      <c r="AJ124" s="32"/>
      <c r="AK124" s="32"/>
      <c r="AL124" s="32"/>
      <c r="AM124" s="32"/>
      <c r="AN124" s="32"/>
      <c r="AO124" s="32"/>
      <c r="AP124" s="32"/>
      <c r="AQ124" s="32"/>
    </row>
    <row r="125" spans="1:43" ht="12.75">
      <c r="A125" s="15" t="s">
        <v>144</v>
      </c>
      <c r="B125" s="16" t="s">
        <v>62</v>
      </c>
      <c r="C125" s="15" t="s">
        <v>193</v>
      </c>
      <c r="D125" s="43">
        <v>137759</v>
      </c>
      <c r="E125" s="22" t="s">
        <v>167</v>
      </c>
      <c r="F125" s="23"/>
      <c r="G125" s="23">
        <v>75135</v>
      </c>
      <c r="H125" s="23">
        <v>30446</v>
      </c>
      <c r="I125" s="24">
        <v>79932</v>
      </c>
      <c r="J125" s="24">
        <v>185513</v>
      </c>
      <c r="K125" s="23"/>
      <c r="L125" s="23">
        <v>124783</v>
      </c>
      <c r="M125" s="23">
        <v>36815</v>
      </c>
      <c r="N125" s="24">
        <v>197891</v>
      </c>
      <c r="O125" s="24">
        <v>359489</v>
      </c>
      <c r="P125" s="23"/>
      <c r="Q125" s="23"/>
      <c r="R125" s="23"/>
      <c r="S125" s="24"/>
      <c r="T125" s="23"/>
      <c r="U125" s="23"/>
      <c r="V125" s="23"/>
      <c r="W125" s="23"/>
      <c r="X125" s="23"/>
      <c r="Y125" s="23"/>
      <c r="Z125" s="2"/>
      <c r="AA125" s="2"/>
      <c r="AB125" s="2"/>
      <c r="AC125" s="2"/>
      <c r="AD125" s="32"/>
      <c r="AE125" s="32"/>
      <c r="AF125" s="32"/>
      <c r="AG125" s="32"/>
      <c r="AH125" s="44"/>
      <c r="AI125" s="44"/>
      <c r="AJ125" s="32"/>
      <c r="AK125" s="32"/>
      <c r="AL125" s="32"/>
      <c r="AM125" s="32"/>
      <c r="AN125" s="32"/>
      <c r="AO125" s="32"/>
      <c r="AP125" s="32"/>
      <c r="AQ125" s="32"/>
    </row>
    <row r="126" spans="1:43" ht="12.75">
      <c r="A126" s="15" t="s">
        <v>144</v>
      </c>
      <c r="B126" s="16" t="s">
        <v>62</v>
      </c>
      <c r="C126" s="15" t="s">
        <v>194</v>
      </c>
      <c r="D126" s="43">
        <v>138187</v>
      </c>
      <c r="E126" s="22" t="s">
        <v>167</v>
      </c>
      <c r="F126" s="23"/>
      <c r="G126" s="23">
        <v>164403</v>
      </c>
      <c r="H126" s="23">
        <v>80938</v>
      </c>
      <c r="I126" s="24">
        <v>173923</v>
      </c>
      <c r="J126" s="24">
        <v>419264</v>
      </c>
      <c r="K126" s="23"/>
      <c r="L126" s="23">
        <v>529694</v>
      </c>
      <c r="M126" s="23">
        <v>246363</v>
      </c>
      <c r="N126" s="24">
        <v>619337</v>
      </c>
      <c r="O126" s="24">
        <v>1395394</v>
      </c>
      <c r="P126" s="23"/>
      <c r="Q126" s="23"/>
      <c r="R126" s="23"/>
      <c r="S126" s="24"/>
      <c r="T126" s="23"/>
      <c r="U126" s="23"/>
      <c r="V126" s="23"/>
      <c r="W126" s="23"/>
      <c r="X126" s="23"/>
      <c r="Y126" s="23"/>
      <c r="Z126" s="2"/>
      <c r="AA126" s="2"/>
      <c r="AB126" s="2"/>
      <c r="AC126" s="2"/>
      <c r="AD126" s="32"/>
      <c r="AE126" s="32"/>
      <c r="AF126" s="32"/>
      <c r="AG126" s="32"/>
      <c r="AH126" s="44"/>
      <c r="AI126" s="44"/>
      <c r="AJ126" s="32"/>
      <c r="AK126" s="32"/>
      <c r="AL126" s="32"/>
      <c r="AM126" s="32"/>
      <c r="AN126" s="32"/>
      <c r="AO126" s="32"/>
      <c r="AP126" s="32"/>
      <c r="AQ126" s="32"/>
    </row>
    <row r="127" spans="1:43" ht="12.75">
      <c r="A127" s="15" t="s">
        <v>195</v>
      </c>
      <c r="B127" s="16" t="s">
        <v>196</v>
      </c>
      <c r="C127" s="15" t="s">
        <v>197</v>
      </c>
      <c r="D127" s="50" t="s">
        <v>198</v>
      </c>
      <c r="E127" s="22" t="s">
        <v>199</v>
      </c>
      <c r="F127" s="51">
        <v>324865</v>
      </c>
      <c r="G127" s="51">
        <v>304991</v>
      </c>
      <c r="H127" s="51">
        <v>78422</v>
      </c>
      <c r="I127" s="52">
        <v>327168</v>
      </c>
      <c r="J127" s="24">
        <f aca="true" t="shared" si="5" ref="J127:J158">SUM(F127:I127)</f>
        <v>1035446</v>
      </c>
      <c r="K127" s="53"/>
      <c r="L127" s="53"/>
      <c r="M127" s="53"/>
      <c r="N127" s="53"/>
      <c r="O127" s="54"/>
      <c r="P127" s="25">
        <v>67418</v>
      </c>
      <c r="Q127" s="23">
        <v>65553</v>
      </c>
      <c r="R127" s="23">
        <v>36815</v>
      </c>
      <c r="S127" s="23">
        <v>79772</v>
      </c>
      <c r="T127" s="25">
        <f aca="true" t="shared" si="6" ref="T127:T143">SUM(P127:S127)</f>
        <v>249558</v>
      </c>
      <c r="U127" s="15"/>
      <c r="V127" s="15"/>
      <c r="W127" s="15"/>
      <c r="X127" s="15"/>
      <c r="Y127" s="15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2.75">
      <c r="A128" s="15" t="s">
        <v>195</v>
      </c>
      <c r="B128" s="16" t="s">
        <v>196</v>
      </c>
      <c r="C128" s="41" t="s">
        <v>200</v>
      </c>
      <c r="D128" s="55" t="s">
        <v>201</v>
      </c>
      <c r="E128" s="56" t="s">
        <v>199</v>
      </c>
      <c r="F128" s="51">
        <v>184614</v>
      </c>
      <c r="G128" s="51">
        <v>175664</v>
      </c>
      <c r="H128" s="51">
        <v>66397</v>
      </c>
      <c r="I128" s="52">
        <v>196406</v>
      </c>
      <c r="J128" s="25">
        <f t="shared" si="5"/>
        <v>623081</v>
      </c>
      <c r="K128" s="25"/>
      <c r="L128" s="23"/>
      <c r="M128" s="23"/>
      <c r="N128" s="23"/>
      <c r="O128" s="25"/>
      <c r="P128" s="25">
        <v>61517</v>
      </c>
      <c r="Q128" s="23">
        <v>59303</v>
      </c>
      <c r="R128" s="23">
        <v>37596</v>
      </c>
      <c r="S128" s="23">
        <v>61129</v>
      </c>
      <c r="T128" s="25">
        <f t="shared" si="6"/>
        <v>219545</v>
      </c>
      <c r="U128" s="15"/>
      <c r="V128" s="15"/>
      <c r="W128" s="15"/>
      <c r="X128" s="15"/>
      <c r="Y128" s="15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25" ht="12.75">
      <c r="A129" s="15" t="s">
        <v>195</v>
      </c>
      <c r="B129" s="16" t="s">
        <v>196</v>
      </c>
      <c r="C129" s="15" t="s">
        <v>202</v>
      </c>
      <c r="D129" s="21" t="s">
        <v>203</v>
      </c>
      <c r="E129" s="22" t="s">
        <v>204</v>
      </c>
      <c r="F129" s="51">
        <v>136303</v>
      </c>
      <c r="G129" s="51">
        <v>126877</v>
      </c>
      <c r="H129" s="51">
        <v>43470</v>
      </c>
      <c r="I129" s="52">
        <v>145716</v>
      </c>
      <c r="J129" s="25">
        <f t="shared" si="5"/>
        <v>452366</v>
      </c>
      <c r="K129" s="25"/>
      <c r="L129" s="23"/>
      <c r="M129" s="23"/>
      <c r="N129" s="23"/>
      <c r="O129" s="25"/>
      <c r="P129" s="25">
        <v>45023</v>
      </c>
      <c r="Q129" s="23">
        <v>42539</v>
      </c>
      <c r="R129" s="23">
        <v>23280</v>
      </c>
      <c r="S129" s="23">
        <v>45308</v>
      </c>
      <c r="T129" s="25">
        <f t="shared" si="6"/>
        <v>156150</v>
      </c>
      <c r="U129" s="15"/>
      <c r="V129" s="15"/>
      <c r="W129" s="15"/>
      <c r="X129" s="15"/>
      <c r="Y129" s="15"/>
    </row>
    <row r="130" spans="1:25" ht="12.75">
      <c r="A130" s="15" t="s">
        <v>195</v>
      </c>
      <c r="B130" s="16" t="s">
        <v>196</v>
      </c>
      <c r="C130" s="15" t="s">
        <v>205</v>
      </c>
      <c r="D130" s="21" t="s">
        <v>206</v>
      </c>
      <c r="E130" s="22" t="s">
        <v>207</v>
      </c>
      <c r="F130" s="51">
        <v>175855</v>
      </c>
      <c r="G130" s="51">
        <v>164053</v>
      </c>
      <c r="H130" s="51">
        <v>51580</v>
      </c>
      <c r="I130" s="52">
        <v>188186</v>
      </c>
      <c r="J130" s="25">
        <f t="shared" si="5"/>
        <v>579674</v>
      </c>
      <c r="K130" s="25"/>
      <c r="L130" s="23"/>
      <c r="M130" s="23"/>
      <c r="N130" s="23"/>
      <c r="O130" s="25"/>
      <c r="P130" s="25">
        <v>11816</v>
      </c>
      <c r="Q130" s="23">
        <v>11620</v>
      </c>
      <c r="R130" s="23">
        <v>10697</v>
      </c>
      <c r="S130" s="23">
        <v>11338</v>
      </c>
      <c r="T130" s="25">
        <f t="shared" si="6"/>
        <v>45471</v>
      </c>
      <c r="U130" s="15"/>
      <c r="V130" s="15"/>
      <c r="W130" s="15"/>
      <c r="X130" s="15"/>
      <c r="Y130" s="15"/>
    </row>
    <row r="131" spans="1:25" ht="12.75">
      <c r="A131" s="15" t="s">
        <v>195</v>
      </c>
      <c r="B131" s="16" t="s">
        <v>196</v>
      </c>
      <c r="C131" s="15" t="s">
        <v>208</v>
      </c>
      <c r="D131" s="21" t="s">
        <v>209</v>
      </c>
      <c r="E131" s="22" t="s">
        <v>210</v>
      </c>
      <c r="F131" s="51">
        <v>60385</v>
      </c>
      <c r="G131" s="51">
        <v>55917</v>
      </c>
      <c r="H131" s="51">
        <v>19739</v>
      </c>
      <c r="I131" s="52">
        <v>59914</v>
      </c>
      <c r="J131" s="25">
        <f t="shared" si="5"/>
        <v>195955</v>
      </c>
      <c r="K131" s="25"/>
      <c r="L131" s="23"/>
      <c r="M131" s="23"/>
      <c r="N131" s="23"/>
      <c r="O131" s="25"/>
      <c r="P131" s="25">
        <v>8467</v>
      </c>
      <c r="Q131" s="23">
        <v>8036</v>
      </c>
      <c r="R131" s="23">
        <v>8932</v>
      </c>
      <c r="S131" s="23">
        <v>7752</v>
      </c>
      <c r="T131" s="25">
        <f t="shared" si="6"/>
        <v>33187</v>
      </c>
      <c r="U131" s="15"/>
      <c r="V131" s="15"/>
      <c r="W131" s="15"/>
      <c r="X131" s="15"/>
      <c r="Y131" s="15"/>
    </row>
    <row r="132" spans="1:25" ht="12.75">
      <c r="A132" s="15" t="s">
        <v>195</v>
      </c>
      <c r="B132" s="16" t="s">
        <v>196</v>
      </c>
      <c r="C132" s="15" t="s">
        <v>211</v>
      </c>
      <c r="D132" s="21" t="s">
        <v>212</v>
      </c>
      <c r="E132" s="22" t="s">
        <v>210</v>
      </c>
      <c r="F132" s="51">
        <v>109645</v>
      </c>
      <c r="G132" s="51">
        <v>103174</v>
      </c>
      <c r="H132" s="51">
        <v>39620</v>
      </c>
      <c r="I132" s="52">
        <v>116273</v>
      </c>
      <c r="J132" s="25">
        <f t="shared" si="5"/>
        <v>368712</v>
      </c>
      <c r="K132" s="25"/>
      <c r="L132" s="23"/>
      <c r="M132" s="23"/>
      <c r="N132" s="23"/>
      <c r="O132" s="25"/>
      <c r="P132" s="25">
        <v>10434</v>
      </c>
      <c r="Q132" s="23">
        <v>10277</v>
      </c>
      <c r="R132" s="23">
        <v>10003</v>
      </c>
      <c r="S132" s="23">
        <v>9740</v>
      </c>
      <c r="T132" s="25">
        <f t="shared" si="6"/>
        <v>40454</v>
      </c>
      <c r="U132" s="15"/>
      <c r="V132" s="15"/>
      <c r="W132" s="15"/>
      <c r="X132" s="15"/>
      <c r="Y132" s="15"/>
    </row>
    <row r="133" spans="1:25" ht="12.75">
      <c r="A133" s="15" t="s">
        <v>195</v>
      </c>
      <c r="B133" s="16" t="s">
        <v>196</v>
      </c>
      <c r="C133" s="15" t="s">
        <v>213</v>
      </c>
      <c r="D133" s="21" t="s">
        <v>214</v>
      </c>
      <c r="E133" s="22" t="s">
        <v>210</v>
      </c>
      <c r="F133" s="51">
        <v>81916</v>
      </c>
      <c r="G133" s="51">
        <v>76302</v>
      </c>
      <c r="H133" s="51">
        <v>25092</v>
      </c>
      <c r="I133" s="52">
        <v>86094</v>
      </c>
      <c r="J133" s="25">
        <f t="shared" si="5"/>
        <v>269404</v>
      </c>
      <c r="K133" s="25"/>
      <c r="L133" s="23"/>
      <c r="M133" s="23"/>
      <c r="N133" s="23"/>
      <c r="O133" s="25"/>
      <c r="P133" s="25">
        <v>16470</v>
      </c>
      <c r="Q133" s="23">
        <v>16472</v>
      </c>
      <c r="R133" s="23">
        <v>16288</v>
      </c>
      <c r="S133" s="23">
        <v>15221</v>
      </c>
      <c r="T133" s="25">
        <f t="shared" si="6"/>
        <v>64451</v>
      </c>
      <c r="U133" s="15"/>
      <c r="V133" s="15"/>
      <c r="W133" s="15"/>
      <c r="X133" s="15"/>
      <c r="Y133" s="15"/>
    </row>
    <row r="134" spans="1:25" ht="12.75">
      <c r="A134" s="15" t="s">
        <v>195</v>
      </c>
      <c r="B134" s="16" t="s">
        <v>196</v>
      </c>
      <c r="C134" s="41" t="s">
        <v>215</v>
      </c>
      <c r="D134" s="57" t="s">
        <v>216</v>
      </c>
      <c r="E134" s="56" t="s">
        <v>210</v>
      </c>
      <c r="F134" s="51">
        <v>39889</v>
      </c>
      <c r="G134" s="51">
        <v>38582</v>
      </c>
      <c r="H134" s="51">
        <v>15885</v>
      </c>
      <c r="I134" s="52">
        <v>41684</v>
      </c>
      <c r="J134" s="25">
        <f t="shared" si="5"/>
        <v>136040</v>
      </c>
      <c r="K134" s="25"/>
      <c r="L134" s="23"/>
      <c r="M134" s="23"/>
      <c r="N134" s="23"/>
      <c r="O134" s="25"/>
      <c r="P134" s="25">
        <v>2636</v>
      </c>
      <c r="Q134" s="23">
        <v>2378</v>
      </c>
      <c r="R134" s="23">
        <v>2543</v>
      </c>
      <c r="S134" s="23">
        <v>2570</v>
      </c>
      <c r="T134" s="25">
        <f t="shared" si="6"/>
        <v>10127</v>
      </c>
      <c r="U134" s="15"/>
      <c r="V134" s="15"/>
      <c r="W134" s="15"/>
      <c r="X134" s="15"/>
      <c r="Y134" s="15"/>
    </row>
    <row r="135" spans="1:25" ht="12.75">
      <c r="A135" s="15" t="s">
        <v>195</v>
      </c>
      <c r="B135" s="16" t="s">
        <v>196</v>
      </c>
      <c r="C135" s="15" t="s">
        <v>217</v>
      </c>
      <c r="D135" s="21" t="s">
        <v>218</v>
      </c>
      <c r="E135" s="22" t="s">
        <v>219</v>
      </c>
      <c r="F135" s="51">
        <v>61112</v>
      </c>
      <c r="G135" s="51">
        <v>56935</v>
      </c>
      <c r="H135" s="51">
        <v>23364</v>
      </c>
      <c r="I135" s="52">
        <v>61981</v>
      </c>
      <c r="J135" s="25">
        <f t="shared" si="5"/>
        <v>203392</v>
      </c>
      <c r="K135" s="25"/>
      <c r="L135" s="23"/>
      <c r="M135" s="23"/>
      <c r="N135" s="23"/>
      <c r="O135" s="25"/>
      <c r="P135" s="25">
        <v>3549</v>
      </c>
      <c r="Q135" s="23">
        <v>3192</v>
      </c>
      <c r="R135" s="23">
        <v>2941</v>
      </c>
      <c r="S135" s="23">
        <v>3603</v>
      </c>
      <c r="T135" s="25">
        <f t="shared" si="6"/>
        <v>13285</v>
      </c>
      <c r="U135" s="15"/>
      <c r="V135" s="15"/>
      <c r="W135" s="15"/>
      <c r="X135" s="15"/>
      <c r="Y135" s="15"/>
    </row>
    <row r="136" spans="1:25" ht="12.75">
      <c r="A136" s="15" t="s">
        <v>195</v>
      </c>
      <c r="B136" s="16" t="s">
        <v>196</v>
      </c>
      <c r="C136" s="15" t="s">
        <v>220</v>
      </c>
      <c r="D136" s="21" t="s">
        <v>221</v>
      </c>
      <c r="E136" s="22" t="s">
        <v>219</v>
      </c>
      <c r="F136" s="51">
        <v>59526</v>
      </c>
      <c r="G136" s="51">
        <v>54551</v>
      </c>
      <c r="H136" s="51">
        <v>22314</v>
      </c>
      <c r="I136" s="52">
        <v>61164</v>
      </c>
      <c r="J136" s="25">
        <f t="shared" si="5"/>
        <v>197555</v>
      </c>
      <c r="K136" s="25"/>
      <c r="L136" s="23"/>
      <c r="M136" s="23"/>
      <c r="N136" s="23"/>
      <c r="O136" s="25"/>
      <c r="P136" s="25">
        <v>4537</v>
      </c>
      <c r="Q136" s="23">
        <v>4501</v>
      </c>
      <c r="R136" s="23">
        <v>4656</v>
      </c>
      <c r="S136" s="23">
        <v>5043</v>
      </c>
      <c r="T136" s="25">
        <f t="shared" si="6"/>
        <v>18737</v>
      </c>
      <c r="U136" s="15"/>
      <c r="V136" s="15"/>
      <c r="W136" s="15"/>
      <c r="X136" s="15"/>
      <c r="Y136" s="15"/>
    </row>
    <row r="137" spans="1:25" ht="12.75">
      <c r="A137" s="15" t="s">
        <v>195</v>
      </c>
      <c r="B137" s="16" t="s">
        <v>196</v>
      </c>
      <c r="C137" s="15" t="s">
        <v>222</v>
      </c>
      <c r="D137" s="21" t="s">
        <v>223</v>
      </c>
      <c r="E137" s="22" t="s">
        <v>219</v>
      </c>
      <c r="F137" s="51">
        <v>37151</v>
      </c>
      <c r="G137" s="51">
        <v>36704</v>
      </c>
      <c r="H137" s="51">
        <v>10856</v>
      </c>
      <c r="I137" s="52">
        <v>42750</v>
      </c>
      <c r="J137" s="25">
        <f t="shared" si="5"/>
        <v>127461</v>
      </c>
      <c r="K137" s="25"/>
      <c r="L137" s="23"/>
      <c r="M137" s="23"/>
      <c r="N137" s="23"/>
      <c r="O137" s="25"/>
      <c r="P137" s="25">
        <v>4718</v>
      </c>
      <c r="Q137" s="23">
        <v>4705</v>
      </c>
      <c r="R137" s="23">
        <v>4480</v>
      </c>
      <c r="S137" s="23">
        <v>4608</v>
      </c>
      <c r="T137" s="25">
        <f t="shared" si="6"/>
        <v>18511</v>
      </c>
      <c r="U137" s="15"/>
      <c r="V137" s="15"/>
      <c r="W137" s="15"/>
      <c r="X137" s="15"/>
      <c r="Y137" s="15"/>
    </row>
    <row r="138" spans="1:25" ht="12.75">
      <c r="A138" s="15" t="s">
        <v>195</v>
      </c>
      <c r="B138" s="16" t="s">
        <v>196</v>
      </c>
      <c r="C138" s="15" t="s">
        <v>224</v>
      </c>
      <c r="D138" s="21" t="s">
        <v>225</v>
      </c>
      <c r="E138" s="22" t="s">
        <v>219</v>
      </c>
      <c r="F138" s="51">
        <v>27864</v>
      </c>
      <c r="G138" s="51">
        <v>26386</v>
      </c>
      <c r="H138" s="51">
        <v>9739</v>
      </c>
      <c r="I138" s="52">
        <v>28860</v>
      </c>
      <c r="J138" s="25">
        <f t="shared" si="5"/>
        <v>92849</v>
      </c>
      <c r="K138" s="25"/>
      <c r="L138" s="23"/>
      <c r="M138" s="23"/>
      <c r="N138" s="23"/>
      <c r="O138" s="25"/>
      <c r="P138" s="25">
        <v>2730</v>
      </c>
      <c r="Q138" s="23">
        <v>2924</v>
      </c>
      <c r="R138" s="23">
        <v>4725</v>
      </c>
      <c r="S138" s="23">
        <v>2751</v>
      </c>
      <c r="T138" s="25">
        <f t="shared" si="6"/>
        <v>13130</v>
      </c>
      <c r="U138" s="15"/>
      <c r="V138" s="15"/>
      <c r="W138" s="15"/>
      <c r="X138" s="15"/>
      <c r="Y138" s="15"/>
    </row>
    <row r="139" spans="1:25" ht="12.75">
      <c r="A139" s="15" t="s">
        <v>195</v>
      </c>
      <c r="B139" s="16" t="s">
        <v>196</v>
      </c>
      <c r="C139" s="15" t="s">
        <v>226</v>
      </c>
      <c r="D139" s="21" t="s">
        <v>227</v>
      </c>
      <c r="E139" s="22" t="s">
        <v>219</v>
      </c>
      <c r="F139" s="51">
        <v>120443</v>
      </c>
      <c r="G139" s="51">
        <v>113769</v>
      </c>
      <c r="H139" s="51">
        <v>51942</v>
      </c>
      <c r="I139" s="52">
        <v>130268</v>
      </c>
      <c r="J139" s="25">
        <f t="shared" si="5"/>
        <v>416422</v>
      </c>
      <c r="K139" s="25"/>
      <c r="L139" s="23"/>
      <c r="M139" s="23"/>
      <c r="N139" s="23"/>
      <c r="O139" s="25"/>
      <c r="P139" s="25">
        <v>6678</v>
      </c>
      <c r="Q139" s="23">
        <v>6643</v>
      </c>
      <c r="R139" s="23">
        <v>5343</v>
      </c>
      <c r="S139" s="23">
        <v>7903</v>
      </c>
      <c r="T139" s="25">
        <f t="shared" si="6"/>
        <v>26567</v>
      </c>
      <c r="U139" s="23"/>
      <c r="V139" s="23"/>
      <c r="W139" s="23"/>
      <c r="X139" s="23"/>
      <c r="Y139" s="23"/>
    </row>
    <row r="140" spans="1:25" ht="12.75">
      <c r="A140" s="15" t="s">
        <v>195</v>
      </c>
      <c r="B140" s="16" t="s">
        <v>196</v>
      </c>
      <c r="C140" s="15" t="s">
        <v>228</v>
      </c>
      <c r="D140" s="21" t="s">
        <v>229</v>
      </c>
      <c r="E140" s="22" t="s">
        <v>219</v>
      </c>
      <c r="F140" s="51">
        <v>36756</v>
      </c>
      <c r="G140" s="51">
        <v>35020</v>
      </c>
      <c r="H140" s="51">
        <v>12726</v>
      </c>
      <c r="I140" s="52">
        <v>39454</v>
      </c>
      <c r="J140" s="25">
        <f t="shared" si="5"/>
        <v>123956</v>
      </c>
      <c r="K140" s="25"/>
      <c r="L140" s="23"/>
      <c r="M140" s="23"/>
      <c r="N140" s="23"/>
      <c r="O140" s="25"/>
      <c r="P140" s="25">
        <v>2740</v>
      </c>
      <c r="Q140" s="23">
        <v>2677</v>
      </c>
      <c r="R140" s="23">
        <v>3676</v>
      </c>
      <c r="S140" s="23">
        <v>3183</v>
      </c>
      <c r="T140" s="25">
        <f t="shared" si="6"/>
        <v>12276</v>
      </c>
      <c r="U140" s="23"/>
      <c r="V140" s="23"/>
      <c r="W140" s="23"/>
      <c r="X140" s="23"/>
      <c r="Y140" s="23"/>
    </row>
    <row r="141" spans="1:25" ht="12.75">
      <c r="A141" s="15" t="s">
        <v>195</v>
      </c>
      <c r="B141" s="16" t="s">
        <v>196</v>
      </c>
      <c r="C141" s="15" t="s">
        <v>230</v>
      </c>
      <c r="D141" s="21" t="s">
        <v>231</v>
      </c>
      <c r="E141" s="22" t="s">
        <v>232</v>
      </c>
      <c r="F141" s="51">
        <v>58460</v>
      </c>
      <c r="G141" s="51">
        <v>56948</v>
      </c>
      <c r="H141" s="51">
        <v>23412</v>
      </c>
      <c r="I141" s="52">
        <v>61475</v>
      </c>
      <c r="J141" s="25">
        <f t="shared" si="5"/>
        <v>200295</v>
      </c>
      <c r="K141" s="25"/>
      <c r="L141" s="23"/>
      <c r="M141" s="23"/>
      <c r="N141" s="23"/>
      <c r="O141" s="25"/>
      <c r="P141" s="25">
        <v>2655</v>
      </c>
      <c r="Q141" s="23">
        <v>2468</v>
      </c>
      <c r="R141" s="23">
        <v>2645</v>
      </c>
      <c r="S141" s="23">
        <v>3003</v>
      </c>
      <c r="T141" s="25">
        <f t="shared" si="6"/>
        <v>10771</v>
      </c>
      <c r="U141" s="23"/>
      <c r="V141" s="23"/>
      <c r="W141" s="23"/>
      <c r="X141" s="23"/>
      <c r="Y141" s="23"/>
    </row>
    <row r="142" spans="1:25" ht="12.75">
      <c r="A142" s="15" t="s">
        <v>195</v>
      </c>
      <c r="B142" s="16" t="s">
        <v>196</v>
      </c>
      <c r="C142" s="15" t="s">
        <v>233</v>
      </c>
      <c r="D142" s="21" t="s">
        <v>234</v>
      </c>
      <c r="E142" s="22" t="s">
        <v>232</v>
      </c>
      <c r="F142" s="51">
        <v>49522</v>
      </c>
      <c r="G142" s="51">
        <v>46524</v>
      </c>
      <c r="H142" s="51">
        <v>14795</v>
      </c>
      <c r="I142" s="52">
        <v>50301</v>
      </c>
      <c r="J142" s="25">
        <f t="shared" si="5"/>
        <v>161142</v>
      </c>
      <c r="K142" s="25"/>
      <c r="L142" s="23"/>
      <c r="M142" s="23"/>
      <c r="N142" s="23"/>
      <c r="O142" s="25"/>
      <c r="P142" s="25"/>
      <c r="Q142" s="23"/>
      <c r="R142" s="23"/>
      <c r="S142" s="23"/>
      <c r="T142" s="25">
        <f t="shared" si="6"/>
        <v>0</v>
      </c>
      <c r="U142" s="23"/>
      <c r="V142" s="23"/>
      <c r="W142" s="23"/>
      <c r="X142" s="23"/>
      <c r="Y142" s="23"/>
    </row>
    <row r="143" spans="1:25" ht="12.75">
      <c r="A143" s="15" t="s">
        <v>195</v>
      </c>
      <c r="B143" s="16" t="s">
        <v>196</v>
      </c>
      <c r="C143" s="15" t="s">
        <v>235</v>
      </c>
      <c r="D143" s="21" t="s">
        <v>236</v>
      </c>
      <c r="E143" s="22" t="s">
        <v>232</v>
      </c>
      <c r="F143" s="51">
        <v>42703</v>
      </c>
      <c r="G143" s="51">
        <v>39576</v>
      </c>
      <c r="H143" s="51">
        <v>9336</v>
      </c>
      <c r="I143" s="52">
        <v>38920</v>
      </c>
      <c r="J143" s="25">
        <f t="shared" si="5"/>
        <v>130535</v>
      </c>
      <c r="K143" s="25"/>
      <c r="L143" s="23"/>
      <c r="M143" s="23"/>
      <c r="N143" s="23"/>
      <c r="O143" s="25"/>
      <c r="P143" s="25">
        <v>190</v>
      </c>
      <c r="Q143" s="23">
        <v>240</v>
      </c>
      <c r="R143" s="23">
        <v>50</v>
      </c>
      <c r="S143" s="23">
        <v>570</v>
      </c>
      <c r="T143" s="25">
        <f t="shared" si="6"/>
        <v>1050</v>
      </c>
      <c r="U143" s="23"/>
      <c r="V143" s="23"/>
      <c r="W143" s="23"/>
      <c r="X143" s="23"/>
      <c r="Y143" s="23"/>
    </row>
    <row r="144" spans="1:25" ht="12.75">
      <c r="A144" s="15" t="s">
        <v>195</v>
      </c>
      <c r="B144" s="16" t="s">
        <v>196</v>
      </c>
      <c r="C144" s="15" t="s">
        <v>237</v>
      </c>
      <c r="D144" s="21" t="s">
        <v>238</v>
      </c>
      <c r="E144" s="22" t="s">
        <v>167</v>
      </c>
      <c r="F144" s="51">
        <v>27257</v>
      </c>
      <c r="G144" s="51">
        <v>26675</v>
      </c>
      <c r="H144" s="51">
        <v>10770</v>
      </c>
      <c r="I144" s="52">
        <v>31564</v>
      </c>
      <c r="J144" s="25">
        <f t="shared" si="5"/>
        <v>96266</v>
      </c>
      <c r="K144" s="25"/>
      <c r="L144" s="23"/>
      <c r="M144" s="23"/>
      <c r="N144" s="23"/>
      <c r="O144" s="25"/>
      <c r="P144" s="25"/>
      <c r="Q144" s="23"/>
      <c r="R144" s="23"/>
      <c r="S144" s="23"/>
      <c r="T144" s="25"/>
      <c r="U144" s="23"/>
      <c r="V144" s="23"/>
      <c r="W144" s="23"/>
      <c r="X144" s="23"/>
      <c r="Y144" s="23"/>
    </row>
    <row r="145" spans="1:25" ht="12.75">
      <c r="A145" s="15" t="s">
        <v>195</v>
      </c>
      <c r="B145" s="16" t="s">
        <v>196</v>
      </c>
      <c r="C145" s="15" t="s">
        <v>239</v>
      </c>
      <c r="D145" s="21" t="s">
        <v>240</v>
      </c>
      <c r="E145" s="22" t="s">
        <v>167</v>
      </c>
      <c r="F145" s="51">
        <v>19085</v>
      </c>
      <c r="G145" s="51">
        <v>20585</v>
      </c>
      <c r="H145" s="51">
        <v>9910</v>
      </c>
      <c r="I145" s="52">
        <v>21880</v>
      </c>
      <c r="J145" s="25">
        <f t="shared" si="5"/>
        <v>71460</v>
      </c>
      <c r="K145" s="25"/>
      <c r="L145" s="23"/>
      <c r="M145" s="23"/>
      <c r="N145" s="23"/>
      <c r="O145" s="25"/>
      <c r="P145" s="25"/>
      <c r="Q145" s="23"/>
      <c r="R145" s="23"/>
      <c r="S145" s="23"/>
      <c r="T145" s="25"/>
      <c r="U145" s="23"/>
      <c r="V145" s="23"/>
      <c r="W145" s="23"/>
      <c r="X145" s="23"/>
      <c r="Y145" s="23"/>
    </row>
    <row r="146" spans="1:25" ht="12.75">
      <c r="A146" s="15" t="s">
        <v>195</v>
      </c>
      <c r="B146" s="16" t="s">
        <v>196</v>
      </c>
      <c r="C146" s="15" t="s">
        <v>241</v>
      </c>
      <c r="D146" s="21" t="s">
        <v>242</v>
      </c>
      <c r="E146" s="22" t="s">
        <v>167</v>
      </c>
      <c r="F146" s="51">
        <v>12277</v>
      </c>
      <c r="G146" s="51">
        <v>10916</v>
      </c>
      <c r="H146" s="51">
        <v>4856</v>
      </c>
      <c r="I146" s="52">
        <v>10711</v>
      </c>
      <c r="J146" s="25">
        <f t="shared" si="5"/>
        <v>38760</v>
      </c>
      <c r="K146" s="25"/>
      <c r="L146" s="23"/>
      <c r="M146" s="23"/>
      <c r="N146" s="23"/>
      <c r="O146" s="25"/>
      <c r="P146" s="25"/>
      <c r="Q146" s="23"/>
      <c r="R146" s="23"/>
      <c r="S146" s="23"/>
      <c r="T146" s="25"/>
      <c r="U146" s="23"/>
      <c r="V146" s="23"/>
      <c r="W146" s="23"/>
      <c r="X146" s="23"/>
      <c r="Y146" s="23"/>
    </row>
    <row r="147" spans="1:25" ht="12.75">
      <c r="A147" s="15" t="s">
        <v>195</v>
      </c>
      <c r="B147" s="16" t="s">
        <v>196</v>
      </c>
      <c r="C147" s="15" t="s">
        <v>243</v>
      </c>
      <c r="D147" s="21" t="s">
        <v>244</v>
      </c>
      <c r="E147" s="22" t="s">
        <v>167</v>
      </c>
      <c r="F147" s="51">
        <v>17594</v>
      </c>
      <c r="G147" s="51">
        <v>15889</v>
      </c>
      <c r="H147" s="51">
        <v>7077</v>
      </c>
      <c r="I147" s="52">
        <v>18337</v>
      </c>
      <c r="J147" s="25">
        <f t="shared" si="5"/>
        <v>58897</v>
      </c>
      <c r="K147" s="25"/>
      <c r="L147" s="23"/>
      <c r="M147" s="23"/>
      <c r="N147" s="23"/>
      <c r="O147" s="25"/>
      <c r="P147" s="25"/>
      <c r="Q147" s="23"/>
      <c r="R147" s="23"/>
      <c r="S147" s="23"/>
      <c r="T147" s="25"/>
      <c r="U147" s="23"/>
      <c r="V147" s="23"/>
      <c r="W147" s="23"/>
      <c r="X147" s="23"/>
      <c r="Y147" s="23"/>
    </row>
    <row r="148" spans="1:25" ht="12.75">
      <c r="A148" s="15" t="s">
        <v>195</v>
      </c>
      <c r="B148" s="16" t="s">
        <v>196</v>
      </c>
      <c r="C148" s="15" t="s">
        <v>245</v>
      </c>
      <c r="D148" s="21" t="s">
        <v>246</v>
      </c>
      <c r="E148" s="22" t="s">
        <v>167</v>
      </c>
      <c r="F148" s="51">
        <v>29938</v>
      </c>
      <c r="G148" s="51">
        <v>27182</v>
      </c>
      <c r="H148" s="51">
        <v>11227</v>
      </c>
      <c r="I148" s="52">
        <v>31359</v>
      </c>
      <c r="J148" s="25">
        <f t="shared" si="5"/>
        <v>99706</v>
      </c>
      <c r="K148" s="25"/>
      <c r="L148" s="23"/>
      <c r="M148" s="23"/>
      <c r="N148" s="23"/>
      <c r="O148" s="25"/>
      <c r="P148" s="25"/>
      <c r="Q148" s="23"/>
      <c r="R148" s="23"/>
      <c r="S148" s="23"/>
      <c r="T148" s="25"/>
      <c r="U148" s="23"/>
      <c r="V148" s="23"/>
      <c r="W148" s="23"/>
      <c r="X148" s="23"/>
      <c r="Y148" s="23"/>
    </row>
    <row r="149" spans="1:25" ht="12.75">
      <c r="A149" s="15" t="s">
        <v>195</v>
      </c>
      <c r="B149" s="16" t="s">
        <v>196</v>
      </c>
      <c r="C149" s="15" t="s">
        <v>247</v>
      </c>
      <c r="D149" s="21" t="s">
        <v>248</v>
      </c>
      <c r="E149" s="22" t="s">
        <v>167</v>
      </c>
      <c r="F149" s="51">
        <v>26577</v>
      </c>
      <c r="G149" s="51">
        <v>24415</v>
      </c>
      <c r="H149" s="51">
        <v>13904</v>
      </c>
      <c r="I149" s="52">
        <v>27289</v>
      </c>
      <c r="J149" s="25">
        <f t="shared" si="5"/>
        <v>92185</v>
      </c>
      <c r="K149" s="25"/>
      <c r="L149" s="23"/>
      <c r="M149" s="23"/>
      <c r="N149" s="23"/>
      <c r="O149" s="25"/>
      <c r="P149" s="25"/>
      <c r="Q149" s="23"/>
      <c r="R149" s="23"/>
      <c r="S149" s="23"/>
      <c r="T149" s="25"/>
      <c r="U149" s="23"/>
      <c r="V149" s="23"/>
      <c r="W149" s="23"/>
      <c r="X149" s="23"/>
      <c r="Y149" s="23"/>
    </row>
    <row r="150" spans="1:25" ht="12.75">
      <c r="A150" s="15" t="s">
        <v>195</v>
      </c>
      <c r="B150" s="16" t="s">
        <v>196</v>
      </c>
      <c r="C150" s="15" t="s">
        <v>249</v>
      </c>
      <c r="D150" s="21" t="s">
        <v>250</v>
      </c>
      <c r="E150" s="22" t="s">
        <v>167</v>
      </c>
      <c r="F150" s="51">
        <v>152560</v>
      </c>
      <c r="G150" s="51">
        <v>143941</v>
      </c>
      <c r="H150" s="51">
        <v>59681</v>
      </c>
      <c r="I150" s="52">
        <v>160224</v>
      </c>
      <c r="J150" s="25">
        <f t="shared" si="5"/>
        <v>516406</v>
      </c>
      <c r="K150" s="25"/>
      <c r="L150" s="23"/>
      <c r="M150" s="23"/>
      <c r="N150" s="23"/>
      <c r="O150" s="25"/>
      <c r="P150" s="25"/>
      <c r="Q150" s="23"/>
      <c r="R150" s="23"/>
      <c r="S150" s="23"/>
      <c r="T150" s="25"/>
      <c r="U150" s="23"/>
      <c r="V150" s="23"/>
      <c r="W150" s="23"/>
      <c r="X150" s="23"/>
      <c r="Y150" s="23"/>
    </row>
    <row r="151" spans="1:25" ht="12.75">
      <c r="A151" s="15" t="s">
        <v>195</v>
      </c>
      <c r="B151" s="16" t="s">
        <v>196</v>
      </c>
      <c r="C151" s="15" t="s">
        <v>251</v>
      </c>
      <c r="D151" s="21" t="s">
        <v>252</v>
      </c>
      <c r="E151" s="22" t="s">
        <v>167</v>
      </c>
      <c r="F151" s="51">
        <v>9592</v>
      </c>
      <c r="G151" s="51">
        <v>8882</v>
      </c>
      <c r="H151" s="51">
        <v>3555</v>
      </c>
      <c r="I151" s="52">
        <v>10442</v>
      </c>
      <c r="J151" s="25">
        <f t="shared" si="5"/>
        <v>32471</v>
      </c>
      <c r="K151" s="25"/>
      <c r="L151" s="23"/>
      <c r="M151" s="23"/>
      <c r="N151" s="23"/>
      <c r="O151" s="25"/>
      <c r="P151" s="25"/>
      <c r="Q151" s="23"/>
      <c r="R151" s="23"/>
      <c r="S151" s="23"/>
      <c r="T151" s="25"/>
      <c r="U151" s="23"/>
      <c r="V151" s="23"/>
      <c r="W151" s="23"/>
      <c r="X151" s="23"/>
      <c r="Y151" s="23"/>
    </row>
    <row r="152" spans="1:25" ht="12.75">
      <c r="A152" s="15" t="s">
        <v>195</v>
      </c>
      <c r="B152" s="16" t="s">
        <v>196</v>
      </c>
      <c r="C152" s="15" t="s">
        <v>253</v>
      </c>
      <c r="D152" s="21" t="s">
        <v>254</v>
      </c>
      <c r="E152" s="22" t="s">
        <v>167</v>
      </c>
      <c r="F152" s="51">
        <v>30837</v>
      </c>
      <c r="G152" s="51">
        <v>28283</v>
      </c>
      <c r="H152" s="51">
        <v>12979</v>
      </c>
      <c r="I152" s="52">
        <v>31991</v>
      </c>
      <c r="J152" s="25">
        <f t="shared" si="5"/>
        <v>104090</v>
      </c>
      <c r="K152" s="25"/>
      <c r="L152" s="23"/>
      <c r="M152" s="23"/>
      <c r="N152" s="23"/>
      <c r="O152" s="25"/>
      <c r="P152" s="25"/>
      <c r="Q152" s="23"/>
      <c r="R152" s="23"/>
      <c r="S152" s="23"/>
      <c r="T152" s="25"/>
      <c r="U152" s="23"/>
      <c r="V152" s="23"/>
      <c r="W152" s="23"/>
      <c r="X152" s="23"/>
      <c r="Y152" s="23"/>
    </row>
    <row r="153" spans="1:25" ht="12.75">
      <c r="A153" s="15" t="s">
        <v>195</v>
      </c>
      <c r="B153" s="16" t="s">
        <v>196</v>
      </c>
      <c r="C153" s="15" t="s">
        <v>255</v>
      </c>
      <c r="D153" s="21" t="s">
        <v>256</v>
      </c>
      <c r="E153" s="22" t="s">
        <v>167</v>
      </c>
      <c r="F153" s="51">
        <v>30418</v>
      </c>
      <c r="G153" s="51">
        <v>27613</v>
      </c>
      <c r="H153" s="51">
        <v>11276</v>
      </c>
      <c r="I153" s="52">
        <v>28763</v>
      </c>
      <c r="J153" s="25">
        <f t="shared" si="5"/>
        <v>98070</v>
      </c>
      <c r="K153" s="25"/>
      <c r="L153" s="23"/>
      <c r="M153" s="23"/>
      <c r="N153" s="23"/>
      <c r="O153" s="25"/>
      <c r="P153" s="25"/>
      <c r="Q153" s="23"/>
      <c r="R153" s="23"/>
      <c r="S153" s="23"/>
      <c r="T153" s="25"/>
      <c r="U153" s="23"/>
      <c r="V153" s="23"/>
      <c r="W153" s="23"/>
      <c r="X153" s="23"/>
      <c r="Y153" s="23"/>
    </row>
    <row r="154" spans="1:25" ht="12.75">
      <c r="A154" s="15" t="s">
        <v>195</v>
      </c>
      <c r="B154" s="16" t="s">
        <v>196</v>
      </c>
      <c r="C154" s="15" t="s">
        <v>257</v>
      </c>
      <c r="D154" s="21" t="s">
        <v>258</v>
      </c>
      <c r="E154" s="22" t="s">
        <v>167</v>
      </c>
      <c r="F154" s="51">
        <v>25073</v>
      </c>
      <c r="G154" s="51">
        <v>22942</v>
      </c>
      <c r="H154" s="51">
        <v>5927</v>
      </c>
      <c r="I154" s="52">
        <v>26614</v>
      </c>
      <c r="J154" s="25">
        <f t="shared" si="5"/>
        <v>80556</v>
      </c>
      <c r="K154" s="25"/>
      <c r="L154" s="23"/>
      <c r="M154" s="23"/>
      <c r="N154" s="23"/>
      <c r="O154" s="25"/>
      <c r="P154" s="25"/>
      <c r="Q154" s="23"/>
      <c r="R154" s="23"/>
      <c r="S154" s="23"/>
      <c r="T154" s="25"/>
      <c r="U154" s="23"/>
      <c r="V154" s="23"/>
      <c r="W154" s="23"/>
      <c r="X154" s="23"/>
      <c r="Y154" s="23"/>
    </row>
    <row r="155" spans="1:25" ht="12.75">
      <c r="A155" s="15" t="s">
        <v>195</v>
      </c>
      <c r="B155" s="16" t="s">
        <v>196</v>
      </c>
      <c r="C155" s="15" t="s">
        <v>259</v>
      </c>
      <c r="D155" s="21" t="s">
        <v>260</v>
      </c>
      <c r="E155" s="22" t="s">
        <v>167</v>
      </c>
      <c r="F155" s="51">
        <v>34837</v>
      </c>
      <c r="G155" s="51">
        <v>33248</v>
      </c>
      <c r="H155" s="51">
        <v>16261</v>
      </c>
      <c r="I155" s="52">
        <v>36224</v>
      </c>
      <c r="J155" s="25">
        <f t="shared" si="5"/>
        <v>120570</v>
      </c>
      <c r="K155" s="25"/>
      <c r="L155" s="23"/>
      <c r="M155" s="23"/>
      <c r="N155" s="23"/>
      <c r="O155" s="25"/>
      <c r="P155" s="25"/>
      <c r="Q155" s="23"/>
      <c r="R155" s="23"/>
      <c r="S155" s="23"/>
      <c r="T155" s="25"/>
      <c r="U155" s="23"/>
      <c r="V155" s="23"/>
      <c r="W155" s="23"/>
      <c r="X155" s="23"/>
      <c r="Y155" s="23"/>
    </row>
    <row r="156" spans="1:25" ht="12.75">
      <c r="A156" s="15" t="s">
        <v>195</v>
      </c>
      <c r="B156" s="16" t="s">
        <v>196</v>
      </c>
      <c r="C156" s="15" t="s">
        <v>261</v>
      </c>
      <c r="D156" s="21" t="s">
        <v>262</v>
      </c>
      <c r="E156" s="22" t="s">
        <v>167</v>
      </c>
      <c r="F156" s="51">
        <v>22393</v>
      </c>
      <c r="G156" s="51">
        <v>21597</v>
      </c>
      <c r="H156" s="51">
        <v>7452</v>
      </c>
      <c r="I156" s="52">
        <v>24916</v>
      </c>
      <c r="J156" s="25">
        <f t="shared" si="5"/>
        <v>76358</v>
      </c>
      <c r="K156" s="25"/>
      <c r="L156" s="23"/>
      <c r="M156" s="23"/>
      <c r="N156" s="23"/>
      <c r="O156" s="25"/>
      <c r="P156" s="25"/>
      <c r="Q156" s="23"/>
      <c r="R156" s="23"/>
      <c r="S156" s="23"/>
      <c r="T156" s="25"/>
      <c r="U156" s="23"/>
      <c r="V156" s="23"/>
      <c r="W156" s="23"/>
      <c r="X156" s="23"/>
      <c r="Y156" s="23"/>
    </row>
    <row r="157" spans="1:25" ht="12.75">
      <c r="A157" s="15" t="s">
        <v>195</v>
      </c>
      <c r="B157" s="16" t="s">
        <v>196</v>
      </c>
      <c r="C157" s="15" t="s">
        <v>263</v>
      </c>
      <c r="D157" s="21" t="s">
        <v>264</v>
      </c>
      <c r="E157" s="22" t="s">
        <v>167</v>
      </c>
      <c r="F157" s="51">
        <v>12135</v>
      </c>
      <c r="G157" s="51">
        <v>11489</v>
      </c>
      <c r="H157" s="51">
        <v>5270</v>
      </c>
      <c r="I157" s="52">
        <v>13007</v>
      </c>
      <c r="J157" s="25">
        <f t="shared" si="5"/>
        <v>41901</v>
      </c>
      <c r="K157" s="25"/>
      <c r="L157" s="23"/>
      <c r="M157" s="23"/>
      <c r="N157" s="23"/>
      <c r="O157" s="25"/>
      <c r="P157" s="25"/>
      <c r="Q157" s="23"/>
      <c r="R157" s="23"/>
      <c r="S157" s="23"/>
      <c r="T157" s="25"/>
      <c r="U157" s="23"/>
      <c r="V157" s="23"/>
      <c r="W157" s="23"/>
      <c r="X157" s="23"/>
      <c r="Y157" s="23"/>
    </row>
    <row r="158" spans="1:25" ht="12.75">
      <c r="A158" s="15" t="s">
        <v>195</v>
      </c>
      <c r="B158" s="16" t="s">
        <v>196</v>
      </c>
      <c r="C158" s="15" t="s">
        <v>265</v>
      </c>
      <c r="D158" s="21" t="s">
        <v>266</v>
      </c>
      <c r="E158" s="22" t="s">
        <v>167</v>
      </c>
      <c r="F158" s="51">
        <v>8652</v>
      </c>
      <c r="G158" s="51">
        <v>8280</v>
      </c>
      <c r="H158" s="51">
        <v>4155</v>
      </c>
      <c r="I158" s="52">
        <v>8497</v>
      </c>
      <c r="J158" s="25">
        <f t="shared" si="5"/>
        <v>29584</v>
      </c>
      <c r="K158" s="25"/>
      <c r="L158" s="23"/>
      <c r="M158" s="23"/>
      <c r="N158" s="23"/>
      <c r="O158" s="25"/>
      <c r="P158" s="25"/>
      <c r="Q158" s="23"/>
      <c r="R158" s="23"/>
      <c r="S158" s="23"/>
      <c r="T158" s="25"/>
      <c r="U158" s="23"/>
      <c r="V158" s="23"/>
      <c r="W158" s="23"/>
      <c r="X158" s="23"/>
      <c r="Y158" s="23"/>
    </row>
    <row r="159" spans="1:25" ht="12.75">
      <c r="A159" s="15" t="s">
        <v>195</v>
      </c>
      <c r="B159" s="16" t="s">
        <v>196</v>
      </c>
      <c r="C159" s="15" t="s">
        <v>267</v>
      </c>
      <c r="D159" s="21" t="s">
        <v>268</v>
      </c>
      <c r="E159" s="22" t="s">
        <v>269</v>
      </c>
      <c r="F159" s="51">
        <v>13601</v>
      </c>
      <c r="G159" s="51">
        <v>12480</v>
      </c>
      <c r="H159" s="51">
        <v>5151</v>
      </c>
      <c r="I159" s="52">
        <v>13768</v>
      </c>
      <c r="J159" s="25">
        <f aca="true" t="shared" si="7" ref="J159:J190">SUM(F159:I159)</f>
        <v>45000</v>
      </c>
      <c r="K159" s="25"/>
      <c r="L159" s="23"/>
      <c r="M159" s="23"/>
      <c r="N159" s="23"/>
      <c r="O159" s="25"/>
      <c r="P159" s="25">
        <v>2636</v>
      </c>
      <c r="Q159" s="23">
        <v>2326</v>
      </c>
      <c r="R159" s="23">
        <v>1651</v>
      </c>
      <c r="S159" s="23">
        <v>3135</v>
      </c>
      <c r="T159" s="25"/>
      <c r="U159" s="23"/>
      <c r="V159" s="23"/>
      <c r="W159" s="23"/>
      <c r="X159" s="23"/>
      <c r="Y159" s="23"/>
    </row>
    <row r="160" spans="1:25" ht="12.75">
      <c r="A160" s="15" t="s">
        <v>195</v>
      </c>
      <c r="B160" s="16" t="s">
        <v>196</v>
      </c>
      <c r="C160" s="15" t="s">
        <v>270</v>
      </c>
      <c r="D160" s="21" t="s">
        <v>271</v>
      </c>
      <c r="E160" s="22" t="s">
        <v>269</v>
      </c>
      <c r="F160" s="51">
        <v>38249</v>
      </c>
      <c r="G160" s="51">
        <v>36463</v>
      </c>
      <c r="H160" s="51">
        <v>17049</v>
      </c>
      <c r="I160" s="52">
        <v>42344</v>
      </c>
      <c r="J160" s="25">
        <f t="shared" si="7"/>
        <v>134105</v>
      </c>
      <c r="K160" s="25"/>
      <c r="L160" s="23"/>
      <c r="M160" s="23"/>
      <c r="N160" s="23"/>
      <c r="O160" s="25"/>
      <c r="P160" s="25">
        <v>3565</v>
      </c>
      <c r="Q160" s="23">
        <v>3599</v>
      </c>
      <c r="R160" s="23">
        <v>2923</v>
      </c>
      <c r="S160" s="23">
        <v>3944</v>
      </c>
      <c r="T160" s="25"/>
      <c r="U160" s="23"/>
      <c r="V160" s="23"/>
      <c r="W160" s="23"/>
      <c r="X160" s="23"/>
      <c r="Y160" s="23"/>
    </row>
    <row r="161" spans="1:27" ht="12.75">
      <c r="A161" s="15" t="s">
        <v>195</v>
      </c>
      <c r="B161" s="16" t="s">
        <v>196</v>
      </c>
      <c r="C161" s="15" t="s">
        <v>272</v>
      </c>
      <c r="D161" s="15">
        <v>138682</v>
      </c>
      <c r="E161" s="17">
        <v>8</v>
      </c>
      <c r="F161" s="51">
        <f>19870-1580</f>
        <v>18290</v>
      </c>
      <c r="G161" s="23">
        <f>20402.9-1360</f>
        <v>19042.9</v>
      </c>
      <c r="H161" s="23">
        <f>17519-1230</f>
        <v>16289</v>
      </c>
      <c r="I161" s="24">
        <f>26175-2755</f>
        <v>23420</v>
      </c>
      <c r="J161" s="25">
        <f t="shared" si="7"/>
        <v>77041.9</v>
      </c>
      <c r="K161" s="25"/>
      <c r="L161" s="23"/>
      <c r="M161" s="23"/>
      <c r="N161" s="23"/>
      <c r="O161" s="25"/>
      <c r="P161" s="25"/>
      <c r="Q161" s="23"/>
      <c r="R161" s="23"/>
      <c r="S161" s="23"/>
      <c r="T161" s="25"/>
      <c r="U161" s="15"/>
      <c r="V161" s="15"/>
      <c r="W161" s="15"/>
      <c r="X161" s="15"/>
      <c r="Y161" s="15"/>
      <c r="Z161" s="58"/>
      <c r="AA161" s="2"/>
    </row>
    <row r="162" spans="1:27" ht="12.75">
      <c r="A162" s="15" t="s">
        <v>195</v>
      </c>
      <c r="B162" s="16" t="s">
        <v>196</v>
      </c>
      <c r="C162" s="15" t="s">
        <v>273</v>
      </c>
      <c r="D162" s="15">
        <v>366447</v>
      </c>
      <c r="E162" s="17">
        <v>8</v>
      </c>
      <c r="F162" s="51">
        <f>9469-295</f>
        <v>9174</v>
      </c>
      <c r="G162" s="23">
        <f>8743.2-285</f>
        <v>8458.2</v>
      </c>
      <c r="H162" s="23">
        <f>6144-160</f>
        <v>5984</v>
      </c>
      <c r="I162" s="24">
        <f>9484-560</f>
        <v>8924</v>
      </c>
      <c r="J162" s="25">
        <f t="shared" si="7"/>
        <v>32540.2</v>
      </c>
      <c r="K162" s="25"/>
      <c r="L162" s="23"/>
      <c r="M162" s="23"/>
      <c r="N162" s="23"/>
      <c r="O162" s="25"/>
      <c r="P162" s="25"/>
      <c r="Q162" s="23"/>
      <c r="R162" s="23"/>
      <c r="S162" s="23"/>
      <c r="T162" s="25"/>
      <c r="U162" s="15"/>
      <c r="V162" s="15"/>
      <c r="W162" s="15"/>
      <c r="X162" s="15"/>
      <c r="Y162" s="15"/>
      <c r="Z162" s="58"/>
      <c r="AA162" s="2"/>
    </row>
    <row r="163" spans="1:27" ht="12.75">
      <c r="A163" s="15" t="s">
        <v>195</v>
      </c>
      <c r="B163" s="16" t="s">
        <v>196</v>
      </c>
      <c r="C163" s="15" t="s">
        <v>274</v>
      </c>
      <c r="D163" s="15">
        <v>246813</v>
      </c>
      <c r="E163" s="17">
        <v>8</v>
      </c>
      <c r="F163" s="51">
        <f>16118-1540</f>
        <v>14578</v>
      </c>
      <c r="G163" s="23">
        <f>15551.3-1184</f>
        <v>14367.3</v>
      </c>
      <c r="H163" s="23">
        <f>8113.1-520</f>
        <v>7593.1</v>
      </c>
      <c r="I163" s="24">
        <f>16965-1520</f>
        <v>15445</v>
      </c>
      <c r="J163" s="25">
        <f t="shared" si="7"/>
        <v>51983.4</v>
      </c>
      <c r="K163" s="25"/>
      <c r="L163" s="23"/>
      <c r="M163" s="23"/>
      <c r="N163" s="23"/>
      <c r="O163" s="25"/>
      <c r="P163" s="25"/>
      <c r="Q163" s="23"/>
      <c r="R163" s="23"/>
      <c r="S163" s="23"/>
      <c r="T163" s="25"/>
      <c r="U163" s="15"/>
      <c r="V163" s="15"/>
      <c r="W163" s="15"/>
      <c r="X163" s="15"/>
      <c r="Y163" s="15"/>
      <c r="Z163" s="58"/>
      <c r="AA163" s="2"/>
    </row>
    <row r="164" spans="1:27" ht="12.75">
      <c r="A164" s="15" t="s">
        <v>195</v>
      </c>
      <c r="B164" s="16" t="s">
        <v>196</v>
      </c>
      <c r="C164" s="15" t="s">
        <v>275</v>
      </c>
      <c r="D164" s="15">
        <v>138840</v>
      </c>
      <c r="E164" s="17">
        <v>8</v>
      </c>
      <c r="F164" s="51">
        <f>23918-688</f>
        <v>23230</v>
      </c>
      <c r="G164" s="23">
        <f>22595-725</f>
        <v>21870</v>
      </c>
      <c r="H164" s="23">
        <f>17950-505</f>
        <v>17445</v>
      </c>
      <c r="I164" s="24">
        <f>25290-1160</f>
        <v>24130</v>
      </c>
      <c r="J164" s="25">
        <f t="shared" si="7"/>
        <v>86675</v>
      </c>
      <c r="K164" s="25"/>
      <c r="L164" s="23"/>
      <c r="M164" s="23"/>
      <c r="N164" s="23"/>
      <c r="O164" s="25"/>
      <c r="P164" s="25"/>
      <c r="Q164" s="23"/>
      <c r="R164" s="23"/>
      <c r="S164" s="23"/>
      <c r="T164" s="25"/>
      <c r="U164" s="15"/>
      <c r="V164" s="15"/>
      <c r="W164" s="15"/>
      <c r="X164" s="15"/>
      <c r="Y164" s="15"/>
      <c r="Z164" s="58"/>
      <c r="AA164" s="2"/>
    </row>
    <row r="165" spans="1:27" ht="12.75">
      <c r="A165" s="15" t="s">
        <v>195</v>
      </c>
      <c r="B165" s="16" t="s">
        <v>196</v>
      </c>
      <c r="C165" s="15" t="s">
        <v>276</v>
      </c>
      <c r="D165" s="15">
        <v>138956</v>
      </c>
      <c r="E165" s="17">
        <v>8</v>
      </c>
      <c r="F165" s="51">
        <f>28158.8-1765</f>
        <v>26393.8</v>
      </c>
      <c r="G165" s="23">
        <f>28061.7-1555</f>
        <v>26506.7</v>
      </c>
      <c r="H165" s="23">
        <f>19094-1500</f>
        <v>17594</v>
      </c>
      <c r="I165" s="24">
        <f>30568-2335</f>
        <v>28233</v>
      </c>
      <c r="J165" s="25">
        <f t="shared" si="7"/>
        <v>98727.5</v>
      </c>
      <c r="K165" s="25"/>
      <c r="L165" s="23"/>
      <c r="M165" s="23"/>
      <c r="N165" s="23"/>
      <c r="O165" s="25"/>
      <c r="P165" s="25"/>
      <c r="Q165" s="23"/>
      <c r="R165" s="23"/>
      <c r="S165" s="23"/>
      <c r="T165" s="25"/>
      <c r="U165" s="15"/>
      <c r="V165" s="15"/>
      <c r="W165" s="15"/>
      <c r="X165" s="15"/>
      <c r="Y165" s="15"/>
      <c r="Z165" s="58"/>
      <c r="AA165" s="2"/>
    </row>
    <row r="166" spans="1:27" ht="12.75">
      <c r="A166" s="15" t="s">
        <v>195</v>
      </c>
      <c r="B166" s="16" t="s">
        <v>196</v>
      </c>
      <c r="C166" s="15" t="s">
        <v>277</v>
      </c>
      <c r="D166" s="15">
        <v>139126</v>
      </c>
      <c r="E166" s="17">
        <v>8</v>
      </c>
      <c r="F166" s="51">
        <f>10967-535</f>
        <v>10432</v>
      </c>
      <c r="G166" s="23">
        <f>11482.5-325</f>
        <v>11157.5</v>
      </c>
      <c r="H166" s="23">
        <f>8860-550</f>
        <v>8310</v>
      </c>
      <c r="I166" s="24">
        <f>12848-605</f>
        <v>12243</v>
      </c>
      <c r="J166" s="25">
        <f t="shared" si="7"/>
        <v>42142.5</v>
      </c>
      <c r="K166" s="25"/>
      <c r="L166" s="23"/>
      <c r="M166" s="23"/>
      <c r="N166" s="23"/>
      <c r="O166" s="25"/>
      <c r="P166" s="25"/>
      <c r="Q166" s="23"/>
      <c r="R166" s="23"/>
      <c r="S166" s="23"/>
      <c r="T166" s="25"/>
      <c r="U166" s="15"/>
      <c r="V166" s="15"/>
      <c r="W166" s="15"/>
      <c r="X166" s="15"/>
      <c r="Y166" s="15"/>
      <c r="Z166" s="58"/>
      <c r="AA166" s="2"/>
    </row>
    <row r="167" spans="1:27" ht="12.75">
      <c r="A167" s="15" t="s">
        <v>195</v>
      </c>
      <c r="B167" s="16" t="s">
        <v>196</v>
      </c>
      <c r="C167" s="15" t="s">
        <v>278</v>
      </c>
      <c r="D167" s="15">
        <v>139278</v>
      </c>
      <c r="E167" s="17">
        <v>8</v>
      </c>
      <c r="F167" s="51">
        <f>16900.5-4235</f>
        <v>12665.5</v>
      </c>
      <c r="G167" s="23">
        <f>15801.9-3715</f>
        <v>12086.9</v>
      </c>
      <c r="H167" s="23">
        <f>11549.7-1880</f>
        <v>9669.7</v>
      </c>
      <c r="I167" s="24">
        <f>18304.1-3950</f>
        <v>14354.099999999999</v>
      </c>
      <c r="J167" s="25">
        <f t="shared" si="7"/>
        <v>48776.200000000004</v>
      </c>
      <c r="K167" s="25"/>
      <c r="L167" s="23"/>
      <c r="M167" s="23"/>
      <c r="N167" s="23"/>
      <c r="O167" s="25"/>
      <c r="P167" s="25"/>
      <c r="Q167" s="23"/>
      <c r="R167" s="23"/>
      <c r="S167" s="23"/>
      <c r="T167" s="25"/>
      <c r="U167" s="15"/>
      <c r="V167" s="15"/>
      <c r="W167" s="15"/>
      <c r="X167" s="15"/>
      <c r="Y167" s="15"/>
      <c r="Z167" s="58"/>
      <c r="AA167" s="2"/>
    </row>
    <row r="168" spans="1:27" ht="12.75">
      <c r="A168" s="15" t="s">
        <v>195</v>
      </c>
      <c r="B168" s="16" t="s">
        <v>196</v>
      </c>
      <c r="C168" s="15" t="s">
        <v>279</v>
      </c>
      <c r="D168" s="15">
        <v>140331</v>
      </c>
      <c r="E168" s="17">
        <v>8</v>
      </c>
      <c r="F168" s="51">
        <f>18632-2765</f>
        <v>15867</v>
      </c>
      <c r="G168" s="23">
        <f>17851-2505</f>
        <v>15346</v>
      </c>
      <c r="H168" s="23">
        <f>11210-1325</f>
        <v>9885</v>
      </c>
      <c r="I168" s="24">
        <f>20706-3830</f>
        <v>16876</v>
      </c>
      <c r="J168" s="25">
        <f t="shared" si="7"/>
        <v>57974</v>
      </c>
      <c r="K168" s="25"/>
      <c r="L168" s="23"/>
      <c r="M168" s="23"/>
      <c r="N168" s="23"/>
      <c r="O168" s="25"/>
      <c r="P168" s="25"/>
      <c r="Q168" s="23"/>
      <c r="R168" s="23"/>
      <c r="S168" s="23"/>
      <c r="T168" s="25"/>
      <c r="U168" s="15"/>
      <c r="V168" s="15"/>
      <c r="W168" s="15"/>
      <c r="X168" s="15"/>
      <c r="Y168" s="15"/>
      <c r="Z168" s="58"/>
      <c r="AA168" s="2"/>
    </row>
    <row r="169" spans="1:27" ht="12.75">
      <c r="A169" s="15" t="s">
        <v>195</v>
      </c>
      <c r="B169" s="16" t="s">
        <v>196</v>
      </c>
      <c r="C169" s="15" t="s">
        <v>280</v>
      </c>
      <c r="D169" s="15">
        <v>139357</v>
      </c>
      <c r="E169" s="17">
        <v>8</v>
      </c>
      <c r="F169" s="51">
        <f>16984-950</f>
        <v>16034</v>
      </c>
      <c r="G169" s="23">
        <f>16673.1-875</f>
        <v>15798.099999999999</v>
      </c>
      <c r="H169" s="23">
        <f>14419-790</f>
        <v>13629</v>
      </c>
      <c r="I169" s="24">
        <f>19252-1270</f>
        <v>17982</v>
      </c>
      <c r="J169" s="25">
        <f t="shared" si="7"/>
        <v>63443.1</v>
      </c>
      <c r="K169" s="25"/>
      <c r="L169" s="23"/>
      <c r="M169" s="23"/>
      <c r="N169" s="23"/>
      <c r="O169" s="25"/>
      <c r="P169" s="25"/>
      <c r="Q169" s="23"/>
      <c r="R169" s="23"/>
      <c r="S169" s="23"/>
      <c r="T169" s="25"/>
      <c r="U169" s="15"/>
      <c r="V169" s="15"/>
      <c r="W169" s="15"/>
      <c r="X169" s="15"/>
      <c r="Y169" s="15"/>
      <c r="Z169" s="58"/>
      <c r="AA169" s="2"/>
    </row>
    <row r="170" spans="1:27" ht="12.75">
      <c r="A170" s="15" t="s">
        <v>195</v>
      </c>
      <c r="B170" s="16" t="s">
        <v>196</v>
      </c>
      <c r="C170" s="15" t="s">
        <v>281</v>
      </c>
      <c r="D170" s="15">
        <v>139384</v>
      </c>
      <c r="E170" s="17">
        <v>8</v>
      </c>
      <c r="F170" s="51">
        <f>15078-620</f>
        <v>14458</v>
      </c>
      <c r="G170" s="23">
        <f>14250.1-435</f>
        <v>13815.1</v>
      </c>
      <c r="H170" s="23">
        <f>8831-220</f>
        <v>8611</v>
      </c>
      <c r="I170" s="24">
        <f>15510-395</f>
        <v>15115</v>
      </c>
      <c r="J170" s="25">
        <f t="shared" si="7"/>
        <v>51999.1</v>
      </c>
      <c r="K170" s="25"/>
      <c r="L170" s="23"/>
      <c r="M170" s="23"/>
      <c r="N170" s="23"/>
      <c r="O170" s="25"/>
      <c r="P170" s="25"/>
      <c r="Q170" s="23"/>
      <c r="R170" s="23"/>
      <c r="S170" s="23"/>
      <c r="T170" s="25"/>
      <c r="U170" s="15"/>
      <c r="V170" s="15"/>
      <c r="W170" s="15"/>
      <c r="X170" s="15"/>
      <c r="Y170" s="15"/>
      <c r="Z170" s="58"/>
      <c r="AA170" s="2"/>
    </row>
    <row r="171" spans="1:27" ht="12.75">
      <c r="A171" s="15" t="s">
        <v>195</v>
      </c>
      <c r="B171" s="16" t="s">
        <v>196</v>
      </c>
      <c r="C171" s="15" t="s">
        <v>282</v>
      </c>
      <c r="D171" s="15">
        <v>244446</v>
      </c>
      <c r="E171" s="17">
        <v>8</v>
      </c>
      <c r="F171" s="51">
        <f>23028.5-1635</f>
        <v>21393.5</v>
      </c>
      <c r="G171" s="23">
        <f>23172-1505</f>
        <v>21667</v>
      </c>
      <c r="H171" s="23">
        <f>13770.5-855</f>
        <v>12915.5</v>
      </c>
      <c r="I171" s="24">
        <v>22541</v>
      </c>
      <c r="J171" s="25">
        <f t="shared" si="7"/>
        <v>78517</v>
      </c>
      <c r="K171" s="25"/>
      <c r="L171" s="23"/>
      <c r="M171" s="23"/>
      <c r="N171" s="24"/>
      <c r="O171" s="26"/>
      <c r="P171" s="25"/>
      <c r="Q171" s="23"/>
      <c r="R171" s="23"/>
      <c r="S171" s="24"/>
      <c r="T171" s="26"/>
      <c r="U171" s="15"/>
      <c r="V171" s="15"/>
      <c r="W171" s="15"/>
      <c r="X171" s="15"/>
      <c r="Y171" s="15"/>
      <c r="Z171" s="58"/>
      <c r="AA171" s="2"/>
    </row>
    <row r="172" spans="1:27" ht="12.75">
      <c r="A172" s="15" t="s">
        <v>195</v>
      </c>
      <c r="B172" s="16" t="s">
        <v>196</v>
      </c>
      <c r="C172" s="15" t="s">
        <v>283</v>
      </c>
      <c r="D172" s="15">
        <v>248794</v>
      </c>
      <c r="E172" s="17">
        <v>8</v>
      </c>
      <c r="F172" s="51">
        <f>6029-240</f>
        <v>5789</v>
      </c>
      <c r="G172" s="23">
        <f>5200-280</f>
        <v>4920</v>
      </c>
      <c r="H172" s="23">
        <f>4744-175</f>
        <v>4569</v>
      </c>
      <c r="I172" s="24">
        <f>6855-635</f>
        <v>6220</v>
      </c>
      <c r="J172" s="25">
        <f t="shared" si="7"/>
        <v>21498</v>
      </c>
      <c r="K172" s="25"/>
      <c r="L172" s="23"/>
      <c r="M172" s="23"/>
      <c r="N172" s="24"/>
      <c r="O172" s="26"/>
      <c r="P172" s="25"/>
      <c r="Q172" s="23"/>
      <c r="R172" s="23"/>
      <c r="S172" s="24"/>
      <c r="T172" s="26"/>
      <c r="U172" s="15"/>
      <c r="V172" s="15"/>
      <c r="W172" s="15"/>
      <c r="X172" s="15"/>
      <c r="Y172" s="15"/>
      <c r="Z172" s="58"/>
      <c r="AA172" s="2"/>
    </row>
    <row r="173" spans="1:27" ht="12.75">
      <c r="A173" s="15" t="s">
        <v>195</v>
      </c>
      <c r="B173" s="16" t="s">
        <v>196</v>
      </c>
      <c r="C173" s="15" t="s">
        <v>284</v>
      </c>
      <c r="D173" s="15">
        <v>139986</v>
      </c>
      <c r="E173" s="17">
        <v>8</v>
      </c>
      <c r="F173" s="51">
        <f>14697-1595</f>
        <v>13102</v>
      </c>
      <c r="G173" s="51">
        <f>14368.2-1495</f>
        <v>12873.2</v>
      </c>
      <c r="H173" s="51">
        <f>10305-1020</f>
        <v>9285</v>
      </c>
      <c r="I173" s="52">
        <f>15539-1615</f>
        <v>13924</v>
      </c>
      <c r="J173" s="25">
        <f t="shared" si="7"/>
        <v>49184.2</v>
      </c>
      <c r="K173" s="25"/>
      <c r="L173" s="23"/>
      <c r="M173" s="23"/>
      <c r="N173" s="24"/>
      <c r="O173" s="26"/>
      <c r="P173" s="25"/>
      <c r="Q173" s="23"/>
      <c r="R173" s="23"/>
      <c r="S173" s="24"/>
      <c r="T173" s="26"/>
      <c r="U173" s="15"/>
      <c r="V173" s="15"/>
      <c r="W173" s="15"/>
      <c r="X173" s="15"/>
      <c r="Y173" s="15"/>
      <c r="Z173" s="58"/>
      <c r="AA173" s="2"/>
    </row>
    <row r="174" spans="1:27" ht="12.75">
      <c r="A174" s="15" t="s">
        <v>195</v>
      </c>
      <c r="B174" s="16" t="s">
        <v>196</v>
      </c>
      <c r="C174" s="15" t="s">
        <v>285</v>
      </c>
      <c r="D174" s="15">
        <v>140012</v>
      </c>
      <c r="E174" s="17">
        <v>8</v>
      </c>
      <c r="F174" s="51">
        <f>30129-1975</f>
        <v>28154</v>
      </c>
      <c r="G174" s="51">
        <f>29066.6-1635</f>
        <v>27431.6</v>
      </c>
      <c r="H174" s="51">
        <f>18909-1015</f>
        <v>17894</v>
      </c>
      <c r="I174" s="52">
        <f>32936-2270</f>
        <v>30666</v>
      </c>
      <c r="J174" s="25">
        <f t="shared" si="7"/>
        <v>104145.6</v>
      </c>
      <c r="K174" s="25"/>
      <c r="L174" s="23"/>
      <c r="M174" s="23"/>
      <c r="N174" s="24"/>
      <c r="O174" s="26"/>
      <c r="P174" s="25"/>
      <c r="Q174" s="23"/>
      <c r="R174" s="23"/>
      <c r="S174" s="24"/>
      <c r="T174" s="26"/>
      <c r="U174" s="15"/>
      <c r="V174" s="15"/>
      <c r="W174" s="15"/>
      <c r="X174" s="15"/>
      <c r="Y174" s="15"/>
      <c r="Z174" s="58"/>
      <c r="AA174" s="2"/>
    </row>
    <row r="175" spans="1:27" ht="12.75">
      <c r="A175" s="15" t="s">
        <v>195</v>
      </c>
      <c r="B175" s="16" t="s">
        <v>196</v>
      </c>
      <c r="C175" s="15" t="s">
        <v>286</v>
      </c>
      <c r="D175" s="15">
        <v>140076</v>
      </c>
      <c r="E175" s="17">
        <v>8</v>
      </c>
      <c r="F175" s="51">
        <f>9352-440</f>
        <v>8912</v>
      </c>
      <c r="G175" s="51">
        <f>8663.4-355</f>
        <v>8308.4</v>
      </c>
      <c r="H175" s="51">
        <f>6756-250</f>
        <v>6506</v>
      </c>
      <c r="I175" s="52">
        <f>9971.1-595</f>
        <v>9376.1</v>
      </c>
      <c r="J175" s="25">
        <f t="shared" si="7"/>
        <v>33102.5</v>
      </c>
      <c r="K175" s="25"/>
      <c r="L175" s="23"/>
      <c r="M175" s="23"/>
      <c r="N175" s="24"/>
      <c r="O175" s="26"/>
      <c r="P175" s="25"/>
      <c r="Q175" s="23"/>
      <c r="R175" s="23"/>
      <c r="S175" s="24"/>
      <c r="T175" s="26"/>
      <c r="U175" s="15"/>
      <c r="V175" s="15"/>
      <c r="W175" s="15"/>
      <c r="X175" s="15"/>
      <c r="Y175" s="15"/>
      <c r="Z175" s="58"/>
      <c r="AA175" s="2"/>
    </row>
    <row r="176" spans="1:27" ht="12.75">
      <c r="A176" s="15" t="s">
        <v>195</v>
      </c>
      <c r="B176" s="16" t="s">
        <v>196</v>
      </c>
      <c r="C176" s="15" t="s">
        <v>287</v>
      </c>
      <c r="D176" s="15">
        <v>140243</v>
      </c>
      <c r="E176" s="17">
        <v>8</v>
      </c>
      <c r="F176" s="51">
        <f>11411.9-525</f>
        <v>10886.9</v>
      </c>
      <c r="G176" s="51">
        <f>10951.9-295</f>
        <v>10656.9</v>
      </c>
      <c r="H176" s="51">
        <f>7796.5-445</f>
        <v>7351.5</v>
      </c>
      <c r="I176" s="52">
        <f>12777-760</f>
        <v>12017</v>
      </c>
      <c r="J176" s="25">
        <f t="shared" si="7"/>
        <v>40912.3</v>
      </c>
      <c r="K176" s="25"/>
      <c r="L176" s="23"/>
      <c r="M176" s="23"/>
      <c r="N176" s="24"/>
      <c r="O176" s="26"/>
      <c r="P176" s="25"/>
      <c r="Q176" s="23"/>
      <c r="R176" s="23"/>
      <c r="S176" s="24"/>
      <c r="T176" s="26"/>
      <c r="U176" s="15"/>
      <c r="V176" s="15"/>
      <c r="W176" s="15"/>
      <c r="X176" s="15"/>
      <c r="Y176" s="15"/>
      <c r="Z176" s="58"/>
      <c r="AA176" s="2"/>
    </row>
    <row r="177" spans="1:27" ht="12.75">
      <c r="A177" s="15" t="s">
        <v>195</v>
      </c>
      <c r="B177" s="16" t="s">
        <v>196</v>
      </c>
      <c r="C177" s="15" t="s">
        <v>288</v>
      </c>
      <c r="D177" s="15">
        <v>140304</v>
      </c>
      <c r="E177" s="17">
        <v>8</v>
      </c>
      <c r="F177" s="51">
        <f>22793.6-2510</f>
        <v>20283.6</v>
      </c>
      <c r="G177" s="51">
        <f>22368-2245</f>
        <v>20123</v>
      </c>
      <c r="H177" s="51">
        <f>20261.3-1855</f>
        <v>18406.3</v>
      </c>
      <c r="I177" s="52">
        <v>24961</v>
      </c>
      <c r="J177" s="25">
        <f t="shared" si="7"/>
        <v>83773.9</v>
      </c>
      <c r="K177" s="25"/>
      <c r="L177" s="23"/>
      <c r="M177" s="23"/>
      <c r="N177" s="24"/>
      <c r="O177" s="26"/>
      <c r="P177" s="25"/>
      <c r="Q177" s="23"/>
      <c r="R177" s="23"/>
      <c r="S177" s="24"/>
      <c r="T177" s="26"/>
      <c r="U177" s="15"/>
      <c r="V177" s="15"/>
      <c r="W177" s="15"/>
      <c r="X177" s="15"/>
      <c r="Y177" s="15"/>
      <c r="Z177" s="58"/>
      <c r="AA177" s="2"/>
    </row>
    <row r="178" spans="1:27" ht="12.75">
      <c r="A178" s="15" t="s">
        <v>195</v>
      </c>
      <c r="B178" s="16" t="s">
        <v>196</v>
      </c>
      <c r="C178" s="15" t="s">
        <v>289</v>
      </c>
      <c r="D178" s="15">
        <v>140085</v>
      </c>
      <c r="E178" s="17">
        <v>8</v>
      </c>
      <c r="F178" s="51">
        <f>13570-80</f>
        <v>13490</v>
      </c>
      <c r="G178" s="51">
        <f>13414.3-375</f>
        <v>13039.3</v>
      </c>
      <c r="H178" s="51">
        <f>10308-525</f>
        <v>9783</v>
      </c>
      <c r="I178" s="52">
        <f>15978-1300</f>
        <v>14678</v>
      </c>
      <c r="J178" s="25">
        <f t="shared" si="7"/>
        <v>50990.3</v>
      </c>
      <c r="K178" s="25"/>
      <c r="L178" s="23"/>
      <c r="M178" s="23"/>
      <c r="N178" s="24"/>
      <c r="O178" s="26"/>
      <c r="P178" s="25"/>
      <c r="Q178" s="23"/>
      <c r="R178" s="23"/>
      <c r="S178" s="24"/>
      <c r="T178" s="26"/>
      <c r="U178" s="15"/>
      <c r="V178" s="15"/>
      <c r="W178" s="15"/>
      <c r="X178" s="15"/>
      <c r="Y178" s="15"/>
      <c r="Z178" s="58"/>
      <c r="AA178" s="2"/>
    </row>
    <row r="179" spans="1:27" ht="12.75">
      <c r="A179" s="15" t="s">
        <v>195</v>
      </c>
      <c r="B179" s="16" t="s">
        <v>196</v>
      </c>
      <c r="C179" s="15" t="s">
        <v>290</v>
      </c>
      <c r="D179" s="15">
        <v>140599</v>
      </c>
      <c r="E179" s="17">
        <v>8</v>
      </c>
      <c r="F179" s="51">
        <f>7893-205</f>
        <v>7688</v>
      </c>
      <c r="G179" s="51">
        <f>7025.3-135</f>
        <v>6890.3</v>
      </c>
      <c r="H179" s="51">
        <f>6455-175</f>
        <v>6280</v>
      </c>
      <c r="I179" s="52">
        <f>9854-275</f>
        <v>9579</v>
      </c>
      <c r="J179" s="25">
        <f t="shared" si="7"/>
        <v>30437.3</v>
      </c>
      <c r="K179" s="25"/>
      <c r="L179" s="23"/>
      <c r="M179" s="23"/>
      <c r="N179" s="24"/>
      <c r="O179" s="26"/>
      <c r="P179" s="25"/>
      <c r="Q179" s="23"/>
      <c r="R179" s="23"/>
      <c r="S179" s="24"/>
      <c r="T179" s="26"/>
      <c r="U179" s="15"/>
      <c r="V179" s="15"/>
      <c r="W179" s="15"/>
      <c r="X179" s="15"/>
      <c r="Y179" s="15"/>
      <c r="Z179" s="58"/>
      <c r="AA179" s="2"/>
    </row>
    <row r="180" spans="1:27" ht="12.75">
      <c r="A180" s="15" t="s">
        <v>195</v>
      </c>
      <c r="B180" s="16" t="s">
        <v>196</v>
      </c>
      <c r="C180" s="15" t="s">
        <v>291</v>
      </c>
      <c r="D180" s="15">
        <v>140678</v>
      </c>
      <c r="E180" s="17">
        <v>8</v>
      </c>
      <c r="F180" s="51">
        <f>11802.2-315</f>
        <v>11487.2</v>
      </c>
      <c r="G180" s="51">
        <f>10911.7-255</f>
        <v>10656.7</v>
      </c>
      <c r="H180" s="51">
        <f>9033-290</f>
        <v>8743</v>
      </c>
      <c r="I180" s="52">
        <f>12836-775</f>
        <v>12061</v>
      </c>
      <c r="J180" s="25">
        <f t="shared" si="7"/>
        <v>42947.9</v>
      </c>
      <c r="K180" s="25"/>
      <c r="L180" s="23"/>
      <c r="M180" s="23"/>
      <c r="N180" s="24"/>
      <c r="O180" s="26"/>
      <c r="P180" s="25"/>
      <c r="Q180" s="23"/>
      <c r="R180" s="23"/>
      <c r="S180" s="24"/>
      <c r="T180" s="26"/>
      <c r="U180" s="15"/>
      <c r="V180" s="15"/>
      <c r="W180" s="15"/>
      <c r="X180" s="15"/>
      <c r="Y180" s="15"/>
      <c r="Z180" s="58"/>
      <c r="AA180" s="2"/>
    </row>
    <row r="181" spans="1:27" ht="12.75">
      <c r="A181" s="15" t="s">
        <v>195</v>
      </c>
      <c r="B181" s="16" t="s">
        <v>196</v>
      </c>
      <c r="C181" s="15" t="s">
        <v>292</v>
      </c>
      <c r="D181" s="15">
        <v>366456</v>
      </c>
      <c r="E181" s="17">
        <v>8</v>
      </c>
      <c r="F181" s="51">
        <f>10680-675</f>
        <v>10005</v>
      </c>
      <c r="G181" s="51">
        <f>10304.1-575</f>
        <v>9729.1</v>
      </c>
      <c r="H181" s="51">
        <f>7260-325</f>
        <v>6935</v>
      </c>
      <c r="I181" s="52">
        <f>10128-745</f>
        <v>9383</v>
      </c>
      <c r="J181" s="25">
        <f t="shared" si="7"/>
        <v>36052.1</v>
      </c>
      <c r="K181" s="25"/>
      <c r="L181" s="23"/>
      <c r="M181" s="23"/>
      <c r="N181" s="24"/>
      <c r="O181" s="26"/>
      <c r="P181" s="25"/>
      <c r="Q181" s="23"/>
      <c r="R181" s="23"/>
      <c r="S181" s="24"/>
      <c r="T181" s="26"/>
      <c r="U181" s="15"/>
      <c r="V181" s="15"/>
      <c r="W181" s="15"/>
      <c r="X181" s="15"/>
      <c r="Y181" s="15"/>
      <c r="Z181" s="58"/>
      <c r="AA181" s="2"/>
    </row>
    <row r="182" spans="1:27" ht="12.75">
      <c r="A182" s="15" t="s">
        <v>195</v>
      </c>
      <c r="B182" s="16" t="s">
        <v>196</v>
      </c>
      <c r="C182" s="15" t="s">
        <v>293</v>
      </c>
      <c r="D182" s="15">
        <v>366465</v>
      </c>
      <c r="E182" s="17">
        <v>8</v>
      </c>
      <c r="F182" s="51">
        <f>10258-1360</f>
        <v>8898</v>
      </c>
      <c r="G182" s="51">
        <f>11546-1225</f>
        <v>10321</v>
      </c>
      <c r="H182" s="51">
        <f>8720-720</f>
        <v>8000</v>
      </c>
      <c r="I182" s="52">
        <f>13431.1-1635</f>
        <v>11796.1</v>
      </c>
      <c r="J182" s="25">
        <f t="shared" si="7"/>
        <v>39015.1</v>
      </c>
      <c r="K182" s="25"/>
      <c r="L182" s="23"/>
      <c r="M182" s="23"/>
      <c r="N182" s="24"/>
      <c r="O182" s="26"/>
      <c r="P182" s="25"/>
      <c r="Q182" s="23"/>
      <c r="R182" s="23"/>
      <c r="S182" s="24"/>
      <c r="T182" s="26"/>
      <c r="U182" s="15"/>
      <c r="V182" s="15"/>
      <c r="W182" s="15"/>
      <c r="X182" s="15"/>
      <c r="Y182" s="15"/>
      <c r="Z182" s="58"/>
      <c r="AA182" s="2"/>
    </row>
    <row r="183" spans="1:27" ht="12.75">
      <c r="A183" s="15" t="s">
        <v>195</v>
      </c>
      <c r="B183" s="16" t="s">
        <v>196</v>
      </c>
      <c r="C183" s="15" t="s">
        <v>294</v>
      </c>
      <c r="D183" s="15">
        <v>248776</v>
      </c>
      <c r="E183" s="17">
        <v>8</v>
      </c>
      <c r="F183" s="51">
        <f>8032-835</f>
        <v>7197</v>
      </c>
      <c r="G183" s="51">
        <f>8237.8-707</f>
        <v>7530.799999999999</v>
      </c>
      <c r="H183" s="51">
        <f>7162-525</f>
        <v>6637</v>
      </c>
      <c r="I183" s="52">
        <f>8846.5-895</f>
        <v>7951.5</v>
      </c>
      <c r="J183" s="25">
        <f t="shared" si="7"/>
        <v>29316.3</v>
      </c>
      <c r="K183" s="25"/>
      <c r="L183" s="23"/>
      <c r="M183" s="23"/>
      <c r="N183" s="24"/>
      <c r="O183" s="26"/>
      <c r="P183" s="25"/>
      <c r="Q183" s="23"/>
      <c r="R183" s="23"/>
      <c r="S183" s="24"/>
      <c r="T183" s="26"/>
      <c r="U183" s="15"/>
      <c r="V183" s="15"/>
      <c r="W183" s="15"/>
      <c r="X183" s="15"/>
      <c r="Y183" s="15"/>
      <c r="Z183" s="58"/>
      <c r="AA183" s="2"/>
    </row>
    <row r="184" spans="1:27" ht="12.75">
      <c r="A184" s="15" t="s">
        <v>195</v>
      </c>
      <c r="B184" s="16" t="s">
        <v>196</v>
      </c>
      <c r="C184" s="15" t="s">
        <v>295</v>
      </c>
      <c r="D184" s="15">
        <v>140809</v>
      </c>
      <c r="E184" s="17">
        <v>8</v>
      </c>
      <c r="F184" s="51">
        <f>8685-455</f>
        <v>8230</v>
      </c>
      <c r="G184" s="51">
        <f>8314.4-430</f>
        <v>7884.4</v>
      </c>
      <c r="H184" s="51">
        <f>6324-565</f>
        <v>5759</v>
      </c>
      <c r="I184" s="52">
        <f>9512-830</f>
        <v>8682</v>
      </c>
      <c r="J184" s="25">
        <f t="shared" si="7"/>
        <v>30555.4</v>
      </c>
      <c r="K184" s="25"/>
      <c r="L184" s="23"/>
      <c r="M184" s="23"/>
      <c r="N184" s="24"/>
      <c r="O184" s="26"/>
      <c r="P184" s="25"/>
      <c r="Q184" s="23"/>
      <c r="R184" s="23"/>
      <c r="S184" s="24"/>
      <c r="T184" s="26"/>
      <c r="U184" s="15"/>
      <c r="V184" s="15"/>
      <c r="W184" s="15"/>
      <c r="X184" s="15"/>
      <c r="Y184" s="15"/>
      <c r="Z184" s="58"/>
      <c r="AA184" s="2"/>
    </row>
    <row r="185" spans="1:27" ht="12.75">
      <c r="A185" s="15" t="s">
        <v>195</v>
      </c>
      <c r="B185" s="16" t="s">
        <v>196</v>
      </c>
      <c r="C185" s="15" t="s">
        <v>296</v>
      </c>
      <c r="D185" s="15"/>
      <c r="E185" s="17">
        <v>8</v>
      </c>
      <c r="F185" s="51">
        <v>300</v>
      </c>
      <c r="G185" s="51">
        <v>300</v>
      </c>
      <c r="H185" s="51">
        <v>420</v>
      </c>
      <c r="I185" s="52">
        <f>2964-5</f>
        <v>2959</v>
      </c>
      <c r="J185" s="25">
        <f t="shared" si="7"/>
        <v>3979</v>
      </c>
      <c r="K185" s="25"/>
      <c r="L185" s="23"/>
      <c r="M185" s="23"/>
      <c r="N185" s="24"/>
      <c r="O185" s="26"/>
      <c r="P185" s="25"/>
      <c r="Q185" s="23"/>
      <c r="R185" s="23"/>
      <c r="S185" s="24"/>
      <c r="T185" s="26"/>
      <c r="U185" s="15"/>
      <c r="V185" s="15"/>
      <c r="W185" s="15"/>
      <c r="X185" s="15"/>
      <c r="Y185" s="15"/>
      <c r="Z185" s="58"/>
      <c r="AA185" s="2"/>
    </row>
    <row r="186" spans="1:27" ht="12.75">
      <c r="A186" s="15" t="s">
        <v>195</v>
      </c>
      <c r="B186" s="16" t="s">
        <v>196</v>
      </c>
      <c r="C186" s="15" t="s">
        <v>297</v>
      </c>
      <c r="D186" s="15">
        <v>140942</v>
      </c>
      <c r="E186" s="17">
        <v>8</v>
      </c>
      <c r="F186" s="51">
        <f>21100-2835</f>
        <v>18265</v>
      </c>
      <c r="G186" s="51">
        <f>21643-2285</f>
        <v>19358</v>
      </c>
      <c r="H186" s="51">
        <f>13838-1215</f>
        <v>12623</v>
      </c>
      <c r="I186" s="52">
        <f>19558-2920</f>
        <v>16638</v>
      </c>
      <c r="J186" s="25">
        <f t="shared" si="7"/>
        <v>66884</v>
      </c>
      <c r="K186" s="25"/>
      <c r="L186" s="23"/>
      <c r="M186" s="23"/>
      <c r="N186" s="24"/>
      <c r="O186" s="26"/>
      <c r="P186" s="25"/>
      <c r="Q186" s="23"/>
      <c r="R186" s="23"/>
      <c r="S186" s="24"/>
      <c r="T186" s="26"/>
      <c r="U186" s="15"/>
      <c r="V186" s="15"/>
      <c r="W186" s="15"/>
      <c r="X186" s="15"/>
      <c r="Y186" s="15"/>
      <c r="Z186" s="58"/>
      <c r="AA186" s="2"/>
    </row>
    <row r="187" spans="1:27" ht="12.75">
      <c r="A187" s="15" t="s">
        <v>195</v>
      </c>
      <c r="B187" s="16" t="s">
        <v>196</v>
      </c>
      <c r="C187" s="15" t="s">
        <v>298</v>
      </c>
      <c r="D187" s="15">
        <v>141006</v>
      </c>
      <c r="E187" s="17">
        <v>8</v>
      </c>
      <c r="F187" s="51">
        <f>9637-1185</f>
        <v>8452</v>
      </c>
      <c r="G187" s="51">
        <f>9019.4-925</f>
        <v>8094.4</v>
      </c>
      <c r="H187" s="51">
        <f>7994-715</f>
        <v>7279</v>
      </c>
      <c r="I187" s="52">
        <f>12042-1530</f>
        <v>10512</v>
      </c>
      <c r="J187" s="25">
        <f t="shared" si="7"/>
        <v>34337.4</v>
      </c>
      <c r="K187" s="25"/>
      <c r="L187" s="23"/>
      <c r="M187" s="23"/>
      <c r="N187" s="24"/>
      <c r="O187" s="26"/>
      <c r="P187" s="25"/>
      <c r="Q187" s="23"/>
      <c r="R187" s="23"/>
      <c r="S187" s="24"/>
      <c r="T187" s="26"/>
      <c r="U187" s="15"/>
      <c r="V187" s="15"/>
      <c r="W187" s="15"/>
      <c r="X187" s="15"/>
      <c r="Y187" s="15"/>
      <c r="Z187" s="58"/>
      <c r="AA187" s="2"/>
    </row>
    <row r="188" spans="1:27" ht="9" customHeight="1">
      <c r="A188" s="15" t="s">
        <v>195</v>
      </c>
      <c r="B188" s="16" t="s">
        <v>196</v>
      </c>
      <c r="C188" s="15" t="s">
        <v>299</v>
      </c>
      <c r="D188" s="15">
        <v>368911</v>
      </c>
      <c r="E188" s="17">
        <v>8</v>
      </c>
      <c r="F188" s="51">
        <f>7382-1008</f>
        <v>6374</v>
      </c>
      <c r="G188" s="51">
        <f>7318-811</f>
        <v>6507</v>
      </c>
      <c r="H188" s="51">
        <f>6049-869</f>
        <v>5180</v>
      </c>
      <c r="I188" s="52">
        <f>9298-1327</f>
        <v>7971</v>
      </c>
      <c r="J188" s="25">
        <f t="shared" si="7"/>
        <v>26032</v>
      </c>
      <c r="K188" s="25"/>
      <c r="L188" s="23"/>
      <c r="M188" s="23"/>
      <c r="N188" s="24"/>
      <c r="O188" s="26"/>
      <c r="P188" s="25"/>
      <c r="Q188" s="23"/>
      <c r="R188" s="23"/>
      <c r="S188" s="24"/>
      <c r="T188" s="26"/>
      <c r="U188" s="15"/>
      <c r="V188" s="15"/>
      <c r="W188" s="15"/>
      <c r="X188" s="15"/>
      <c r="Y188" s="15"/>
      <c r="Z188" s="58"/>
      <c r="AA188" s="2"/>
    </row>
    <row r="189" spans="1:27" ht="9" customHeight="1">
      <c r="A189" s="15" t="s">
        <v>195</v>
      </c>
      <c r="B189" s="16" t="s">
        <v>196</v>
      </c>
      <c r="C189" s="15" t="s">
        <v>300</v>
      </c>
      <c r="D189" s="15">
        <v>141121</v>
      </c>
      <c r="E189" s="17">
        <v>8</v>
      </c>
      <c r="F189" s="51">
        <f>8450-510</f>
        <v>7940</v>
      </c>
      <c r="G189" s="51">
        <f>8907-605</f>
        <v>8302</v>
      </c>
      <c r="H189" s="51">
        <f>6729-435</f>
        <v>6294</v>
      </c>
      <c r="I189" s="52">
        <f>9373-775</f>
        <v>8598</v>
      </c>
      <c r="J189" s="25">
        <f t="shared" si="7"/>
        <v>31134</v>
      </c>
      <c r="K189" s="25"/>
      <c r="L189" s="23"/>
      <c r="M189" s="23"/>
      <c r="N189" s="24"/>
      <c r="O189" s="26"/>
      <c r="P189" s="25"/>
      <c r="Q189" s="23"/>
      <c r="R189" s="23"/>
      <c r="S189" s="24"/>
      <c r="T189" s="26"/>
      <c r="U189" s="15"/>
      <c r="V189" s="15"/>
      <c r="W189" s="15"/>
      <c r="X189" s="15"/>
      <c r="Y189" s="15"/>
      <c r="Z189" s="58"/>
      <c r="AA189" s="2"/>
    </row>
    <row r="190" spans="1:27" ht="9" customHeight="1">
      <c r="A190" s="15" t="s">
        <v>195</v>
      </c>
      <c r="B190" s="16" t="s">
        <v>196</v>
      </c>
      <c r="C190" s="15" t="s">
        <v>301</v>
      </c>
      <c r="D190" s="15">
        <v>141158</v>
      </c>
      <c r="E190" s="17">
        <v>8</v>
      </c>
      <c r="F190" s="51">
        <f>10897-1050</f>
        <v>9847</v>
      </c>
      <c r="G190" s="51">
        <f>9473.1-835</f>
        <v>8638.1</v>
      </c>
      <c r="H190" s="51">
        <f>9423.5-945</f>
        <v>8478.5</v>
      </c>
      <c r="I190" s="52">
        <f>11500.5-1560</f>
        <v>9940.5</v>
      </c>
      <c r="J190" s="25">
        <f t="shared" si="7"/>
        <v>36904.1</v>
      </c>
      <c r="K190" s="25"/>
      <c r="L190" s="23"/>
      <c r="M190" s="23"/>
      <c r="N190" s="24"/>
      <c r="O190" s="26"/>
      <c r="P190" s="25"/>
      <c r="Q190" s="23"/>
      <c r="R190" s="23"/>
      <c r="S190" s="24"/>
      <c r="T190" s="26"/>
      <c r="U190" s="15"/>
      <c r="V190" s="15"/>
      <c r="W190" s="15"/>
      <c r="X190" s="15"/>
      <c r="Y190" s="15"/>
      <c r="Z190" s="58"/>
      <c r="AA190" s="2"/>
    </row>
    <row r="191" spans="1:27" ht="9" customHeight="1">
      <c r="A191" s="15" t="s">
        <v>195</v>
      </c>
      <c r="B191" s="16" t="s">
        <v>196</v>
      </c>
      <c r="C191" s="15" t="s">
        <v>302</v>
      </c>
      <c r="D191" s="15">
        <v>141255</v>
      </c>
      <c r="E191" s="17">
        <v>8</v>
      </c>
      <c r="F191" s="51">
        <f>13710-935</f>
        <v>12775</v>
      </c>
      <c r="G191" s="51">
        <f>13383.6-910</f>
        <v>12473.6</v>
      </c>
      <c r="H191" s="51">
        <f>10895-575</f>
        <v>10320</v>
      </c>
      <c r="I191" s="52">
        <f>14819-820</f>
        <v>13999</v>
      </c>
      <c r="J191" s="25">
        <f>SUM(F191:I191)</f>
        <v>49567.6</v>
      </c>
      <c r="K191" s="25"/>
      <c r="L191" s="23"/>
      <c r="M191" s="23"/>
      <c r="N191" s="24"/>
      <c r="O191" s="26"/>
      <c r="P191" s="25"/>
      <c r="Q191" s="23"/>
      <c r="R191" s="23"/>
      <c r="S191" s="24"/>
      <c r="T191" s="26"/>
      <c r="U191" s="15"/>
      <c r="V191" s="15"/>
      <c r="W191" s="15"/>
      <c r="X191" s="15"/>
      <c r="Y191" s="15"/>
      <c r="Z191" s="58"/>
      <c r="AA191" s="2"/>
    </row>
    <row r="192" spans="1:27" ht="9" customHeight="1">
      <c r="A192" s="15" t="s">
        <v>195</v>
      </c>
      <c r="B192" s="16" t="s">
        <v>196</v>
      </c>
      <c r="C192" s="15" t="s">
        <v>303</v>
      </c>
      <c r="D192" s="15">
        <v>141273</v>
      </c>
      <c r="E192" s="17">
        <v>8</v>
      </c>
      <c r="F192" s="51">
        <v>11105</v>
      </c>
      <c r="G192" s="51">
        <f>10047.8-325</f>
        <v>9722.8</v>
      </c>
      <c r="H192" s="51">
        <f>7874-225</f>
        <v>7649</v>
      </c>
      <c r="I192" s="52">
        <v>11023.6</v>
      </c>
      <c r="J192" s="25">
        <f>SUM(F192:I192)</f>
        <v>39500.4</v>
      </c>
      <c r="K192" s="25"/>
      <c r="L192" s="23"/>
      <c r="M192" s="23"/>
      <c r="N192" s="24"/>
      <c r="O192" s="26"/>
      <c r="P192" s="25"/>
      <c r="Q192" s="23"/>
      <c r="R192" s="23"/>
      <c r="S192" s="24"/>
      <c r="T192" s="26"/>
      <c r="U192" s="23"/>
      <c r="V192" s="23"/>
      <c r="W192" s="23"/>
      <c r="X192" s="23"/>
      <c r="Y192" s="23"/>
      <c r="Z192" s="58"/>
      <c r="AA192" s="2"/>
    </row>
    <row r="193" spans="1:26" ht="9" customHeight="1">
      <c r="A193" s="15" t="s">
        <v>195</v>
      </c>
      <c r="B193" s="16" t="s">
        <v>196</v>
      </c>
      <c r="C193" s="15" t="s">
        <v>304</v>
      </c>
      <c r="D193" s="15">
        <v>141228</v>
      </c>
      <c r="E193" s="17">
        <v>8</v>
      </c>
      <c r="F193" s="51">
        <f>8495-935</f>
        <v>7560</v>
      </c>
      <c r="G193" s="51">
        <f>7760.6-595</f>
        <v>7165.6</v>
      </c>
      <c r="H193" s="51">
        <f>6008-540</f>
        <v>5468</v>
      </c>
      <c r="I193" s="52">
        <f>9479-1180</f>
        <v>8299</v>
      </c>
      <c r="J193" s="25">
        <f>SUM(F193:I193)</f>
        <v>28492.6</v>
      </c>
      <c r="K193" s="25"/>
      <c r="L193" s="23"/>
      <c r="M193" s="23"/>
      <c r="N193" s="24"/>
      <c r="O193" s="26"/>
      <c r="P193" s="25"/>
      <c r="Q193" s="23"/>
      <c r="R193" s="23"/>
      <c r="S193" s="24"/>
      <c r="T193" s="26"/>
      <c r="U193" s="23"/>
      <c r="V193" s="23"/>
      <c r="W193" s="23"/>
      <c r="X193" s="23"/>
      <c r="Y193" s="23"/>
      <c r="Z193" s="58"/>
    </row>
    <row r="194" spans="1:26" ht="9" customHeight="1">
      <c r="A194" s="15" t="s">
        <v>305</v>
      </c>
      <c r="B194" s="16" t="s">
        <v>62</v>
      </c>
      <c r="C194" s="59" t="s">
        <v>306</v>
      </c>
      <c r="D194" s="59">
        <v>157085</v>
      </c>
      <c r="E194" s="60">
        <v>1</v>
      </c>
      <c r="F194" s="61"/>
      <c r="G194" s="61">
        <v>206658</v>
      </c>
      <c r="H194" s="61">
        <v>26355</v>
      </c>
      <c r="I194" s="62">
        <v>225325</v>
      </c>
      <c r="J194" s="62">
        <f aca="true" t="shared" si="8" ref="J194:J202">G194+H194+I194</f>
        <v>458338</v>
      </c>
      <c r="K194" s="63"/>
      <c r="L194" s="61"/>
      <c r="M194" s="61"/>
      <c r="N194" s="62"/>
      <c r="O194" s="64"/>
      <c r="P194" s="63"/>
      <c r="Q194" s="61">
        <v>33508</v>
      </c>
      <c r="R194" s="61">
        <v>7754</v>
      </c>
      <c r="S194" s="62">
        <v>35606</v>
      </c>
      <c r="T194" s="64">
        <f aca="true" t="shared" si="9" ref="T194:T201">Q194+R194+S194</f>
        <v>76868</v>
      </c>
      <c r="U194" s="15"/>
      <c r="V194" s="15"/>
      <c r="W194" s="15"/>
      <c r="X194" s="15"/>
      <c r="Y194" s="15"/>
      <c r="Z194" s="58"/>
    </row>
    <row r="195" spans="1:26" ht="9" customHeight="1">
      <c r="A195" s="15" t="s">
        <v>305</v>
      </c>
      <c r="B195" s="16" t="s">
        <v>62</v>
      </c>
      <c r="C195" s="59" t="s">
        <v>307</v>
      </c>
      <c r="D195" s="59">
        <v>157289</v>
      </c>
      <c r="E195" s="60">
        <v>2</v>
      </c>
      <c r="F195" s="61"/>
      <c r="G195" s="61">
        <v>145606</v>
      </c>
      <c r="H195" s="61">
        <v>35218</v>
      </c>
      <c r="I195" s="62">
        <v>155330</v>
      </c>
      <c r="J195" s="62">
        <f t="shared" si="8"/>
        <v>336154</v>
      </c>
      <c r="K195" s="63"/>
      <c r="L195" s="61"/>
      <c r="M195" s="61"/>
      <c r="N195" s="62"/>
      <c r="O195" s="64"/>
      <c r="P195" s="63"/>
      <c r="Q195" s="61">
        <v>28859</v>
      </c>
      <c r="R195" s="61">
        <v>12686</v>
      </c>
      <c r="S195" s="62">
        <v>31056</v>
      </c>
      <c r="T195" s="64">
        <f t="shared" si="9"/>
        <v>72601</v>
      </c>
      <c r="U195" s="15"/>
      <c r="V195" s="15"/>
      <c r="W195" s="15"/>
      <c r="X195" s="15"/>
      <c r="Y195" s="15"/>
      <c r="Z195" s="58"/>
    </row>
    <row r="196" spans="1:26" ht="9" customHeight="1">
      <c r="A196" s="15" t="s">
        <v>305</v>
      </c>
      <c r="B196" s="16" t="s">
        <v>62</v>
      </c>
      <c r="C196" s="59" t="s">
        <v>308</v>
      </c>
      <c r="D196" s="59">
        <v>156620</v>
      </c>
      <c r="E196" s="60">
        <v>3</v>
      </c>
      <c r="F196" s="61"/>
      <c r="G196" s="61">
        <v>160105</v>
      </c>
      <c r="H196" s="61">
        <v>19126</v>
      </c>
      <c r="I196" s="62">
        <v>171145</v>
      </c>
      <c r="J196" s="62">
        <f t="shared" si="8"/>
        <v>350376</v>
      </c>
      <c r="K196" s="63"/>
      <c r="L196" s="61"/>
      <c r="M196" s="61"/>
      <c r="N196" s="62"/>
      <c r="O196" s="64"/>
      <c r="P196" s="63"/>
      <c r="Q196" s="61">
        <v>11327</v>
      </c>
      <c r="R196" s="61">
        <v>7537</v>
      </c>
      <c r="S196" s="62">
        <v>11233</v>
      </c>
      <c r="T196" s="64">
        <f t="shared" si="9"/>
        <v>30097</v>
      </c>
      <c r="U196" s="15"/>
      <c r="V196" s="15"/>
      <c r="W196" s="15"/>
      <c r="X196" s="15"/>
      <c r="Y196" s="15"/>
      <c r="Z196" s="58"/>
    </row>
    <row r="197" spans="1:26" ht="9" customHeight="1">
      <c r="A197" s="15" t="s">
        <v>305</v>
      </c>
      <c r="B197" s="16" t="s">
        <v>62</v>
      </c>
      <c r="C197" s="59" t="s">
        <v>309</v>
      </c>
      <c r="D197" s="59">
        <v>157401</v>
      </c>
      <c r="E197" s="60">
        <v>3</v>
      </c>
      <c r="F197" s="61"/>
      <c r="G197" s="61">
        <v>87996</v>
      </c>
      <c r="H197" s="61">
        <v>12228</v>
      </c>
      <c r="I197" s="62">
        <v>98669</v>
      </c>
      <c r="J197" s="62">
        <f t="shared" si="8"/>
        <v>198893</v>
      </c>
      <c r="K197" s="63"/>
      <c r="L197" s="61"/>
      <c r="M197" s="61"/>
      <c r="N197" s="62"/>
      <c r="O197" s="64"/>
      <c r="P197" s="63"/>
      <c r="Q197" s="61">
        <v>9041</v>
      </c>
      <c r="R197" s="61">
        <v>3895</v>
      </c>
      <c r="S197" s="62">
        <v>9384</v>
      </c>
      <c r="T197" s="64">
        <f t="shared" si="9"/>
        <v>22320</v>
      </c>
      <c r="U197" s="15"/>
      <c r="V197" s="15"/>
      <c r="W197" s="15"/>
      <c r="X197" s="15"/>
      <c r="Y197" s="15"/>
      <c r="Z197" s="58"/>
    </row>
    <row r="198" spans="1:26" ht="9" customHeight="1">
      <c r="A198" s="15" t="s">
        <v>305</v>
      </c>
      <c r="B198" s="16" t="s">
        <v>62</v>
      </c>
      <c r="C198" s="59" t="s">
        <v>310</v>
      </c>
      <c r="D198" s="59">
        <v>157951</v>
      </c>
      <c r="E198" s="60">
        <v>3</v>
      </c>
      <c r="F198" s="61"/>
      <c r="G198" s="61">
        <v>149418</v>
      </c>
      <c r="H198" s="61">
        <v>19903</v>
      </c>
      <c r="I198" s="62">
        <v>160197</v>
      </c>
      <c r="J198" s="62">
        <f t="shared" si="8"/>
        <v>329518</v>
      </c>
      <c r="K198" s="63"/>
      <c r="L198" s="61"/>
      <c r="M198" s="61"/>
      <c r="N198" s="62"/>
      <c r="O198" s="64"/>
      <c r="P198" s="63"/>
      <c r="Q198" s="61">
        <v>11240</v>
      </c>
      <c r="R198" s="61">
        <v>10235</v>
      </c>
      <c r="S198" s="62">
        <v>11753</v>
      </c>
      <c r="T198" s="64">
        <f t="shared" si="9"/>
        <v>33228</v>
      </c>
      <c r="U198" s="15"/>
      <c r="V198" s="15"/>
      <c r="W198" s="15"/>
      <c r="X198" s="15"/>
      <c r="Y198" s="15"/>
      <c r="Z198" s="58"/>
    </row>
    <row r="199" spans="1:26" ht="9" customHeight="1">
      <c r="A199" s="15" t="s">
        <v>305</v>
      </c>
      <c r="B199" s="16" t="s">
        <v>62</v>
      </c>
      <c r="C199" s="59" t="s">
        <v>311</v>
      </c>
      <c r="D199" s="59">
        <v>157386</v>
      </c>
      <c r="E199" s="60">
        <v>4</v>
      </c>
      <c r="F199" s="61"/>
      <c r="G199" s="61">
        <v>83673</v>
      </c>
      <c r="H199" s="61">
        <v>13398</v>
      </c>
      <c r="I199" s="62">
        <v>92673</v>
      </c>
      <c r="J199" s="62">
        <f t="shared" si="8"/>
        <v>189744</v>
      </c>
      <c r="K199" s="63"/>
      <c r="L199" s="61"/>
      <c r="M199" s="61"/>
      <c r="N199" s="62"/>
      <c r="O199" s="64"/>
      <c r="P199" s="63"/>
      <c r="Q199" s="61">
        <v>7904</v>
      </c>
      <c r="R199" s="61">
        <v>6513</v>
      </c>
      <c r="S199" s="62">
        <v>7867</v>
      </c>
      <c r="T199" s="64">
        <f t="shared" si="9"/>
        <v>22284</v>
      </c>
      <c r="U199" s="15"/>
      <c r="V199" s="15"/>
      <c r="W199" s="15"/>
      <c r="X199" s="15"/>
      <c r="Y199" s="15"/>
      <c r="Z199" s="58"/>
    </row>
    <row r="200" spans="1:26" ht="9" customHeight="1">
      <c r="A200" s="15" t="s">
        <v>305</v>
      </c>
      <c r="B200" s="16" t="s">
        <v>62</v>
      </c>
      <c r="C200" s="59" t="s">
        <v>312</v>
      </c>
      <c r="D200" s="59">
        <v>157447</v>
      </c>
      <c r="E200" s="60">
        <v>5</v>
      </c>
      <c r="F200" s="61"/>
      <c r="G200" s="61">
        <v>108069</v>
      </c>
      <c r="H200" s="61">
        <v>14293</v>
      </c>
      <c r="I200" s="62">
        <v>118317</v>
      </c>
      <c r="J200" s="62">
        <f t="shared" si="8"/>
        <v>240679</v>
      </c>
      <c r="K200" s="63"/>
      <c r="L200" s="61"/>
      <c r="M200" s="61"/>
      <c r="N200" s="62"/>
      <c r="O200" s="64"/>
      <c r="P200" s="63"/>
      <c r="Q200" s="61">
        <v>7795</v>
      </c>
      <c r="R200" s="61">
        <v>3900</v>
      </c>
      <c r="S200" s="62">
        <v>8137</v>
      </c>
      <c r="T200" s="64">
        <f t="shared" si="9"/>
        <v>19832</v>
      </c>
      <c r="U200" s="15"/>
      <c r="V200" s="15"/>
      <c r="W200" s="15"/>
      <c r="X200" s="15"/>
      <c r="Y200" s="15"/>
      <c r="Z200" s="58"/>
    </row>
    <row r="201" spans="1:26" ht="9" customHeight="1">
      <c r="A201" s="15" t="s">
        <v>305</v>
      </c>
      <c r="B201" s="16" t="s">
        <v>62</v>
      </c>
      <c r="C201" s="59" t="s">
        <v>313</v>
      </c>
      <c r="D201" s="59">
        <v>157058</v>
      </c>
      <c r="E201" s="60">
        <v>6</v>
      </c>
      <c r="F201" s="61"/>
      <c r="G201" s="61">
        <v>28566</v>
      </c>
      <c r="H201" s="61">
        <v>4448</v>
      </c>
      <c r="I201" s="62">
        <v>28944</v>
      </c>
      <c r="J201" s="62">
        <f t="shared" si="8"/>
        <v>61958</v>
      </c>
      <c r="K201" s="63"/>
      <c r="L201" s="61"/>
      <c r="M201" s="61"/>
      <c r="N201" s="62"/>
      <c r="O201" s="64"/>
      <c r="P201" s="63"/>
      <c r="Q201" s="61">
        <v>516</v>
      </c>
      <c r="R201" s="61">
        <v>213</v>
      </c>
      <c r="S201" s="62">
        <v>510</v>
      </c>
      <c r="T201" s="64">
        <f t="shared" si="9"/>
        <v>1239</v>
      </c>
      <c r="U201" s="15"/>
      <c r="V201" s="15"/>
      <c r="W201" s="15"/>
      <c r="X201" s="15"/>
      <c r="Y201" s="15"/>
      <c r="Z201" s="58"/>
    </row>
    <row r="202" spans="1:26" ht="9" customHeight="1">
      <c r="A202" s="15" t="s">
        <v>305</v>
      </c>
      <c r="B202" s="16" t="s">
        <v>62</v>
      </c>
      <c r="C202" s="59" t="s">
        <v>314</v>
      </c>
      <c r="D202" s="59">
        <v>156231</v>
      </c>
      <c r="E202" s="60">
        <v>7</v>
      </c>
      <c r="F202" s="61"/>
      <c r="G202" s="61">
        <v>371433</v>
      </c>
      <c r="H202" s="61">
        <v>59930</v>
      </c>
      <c r="I202" s="62">
        <v>403228</v>
      </c>
      <c r="J202" s="62">
        <f t="shared" si="8"/>
        <v>834591</v>
      </c>
      <c r="K202" s="63"/>
      <c r="L202" s="61"/>
      <c r="M202" s="61"/>
      <c r="N202" s="62"/>
      <c r="O202" s="64"/>
      <c r="P202" s="63"/>
      <c r="Q202" s="61"/>
      <c r="R202" s="61"/>
      <c r="S202" s="62"/>
      <c r="T202" s="64"/>
      <c r="U202" s="15"/>
      <c r="V202" s="15"/>
      <c r="W202" s="15"/>
      <c r="X202" s="15"/>
      <c r="Y202" s="15"/>
      <c r="Z202" s="58"/>
    </row>
    <row r="203" spans="1:26" ht="9" customHeight="1">
      <c r="A203" s="15" t="s">
        <v>315</v>
      </c>
      <c r="B203" s="16" t="s">
        <v>62</v>
      </c>
      <c r="C203" s="15" t="s">
        <v>316</v>
      </c>
      <c r="D203" s="21" t="s">
        <v>317</v>
      </c>
      <c r="E203" s="22">
        <v>1</v>
      </c>
      <c r="F203" s="15"/>
      <c r="G203" s="15">
        <f>(83383+680+84520+41011+52685)</f>
        <v>262279</v>
      </c>
      <c r="H203" s="15">
        <f>(10789+116+28457+4063+10325)</f>
        <v>53750</v>
      </c>
      <c r="I203" s="17">
        <v>285833</v>
      </c>
      <c r="J203" s="17">
        <f>SUM(G203:I203)</f>
        <v>601862</v>
      </c>
      <c r="K203" s="18"/>
      <c r="L203" s="15"/>
      <c r="M203" s="15"/>
      <c r="N203" s="17"/>
      <c r="O203" s="19"/>
      <c r="P203" s="18"/>
      <c r="Q203" s="15">
        <f>16314+196+8118+7645+8909</f>
        <v>41182</v>
      </c>
      <c r="R203" s="15">
        <f>6507+251+2883+2706+3363</f>
        <v>15710</v>
      </c>
      <c r="S203" s="17">
        <f>17542+170+8369+9378+7882</f>
        <v>43341</v>
      </c>
      <c r="T203" s="19">
        <f aca="true" t="shared" si="10" ref="T203:T215">SUM(P203:S203)</f>
        <v>100233</v>
      </c>
      <c r="U203" s="15"/>
      <c r="V203" s="15"/>
      <c r="W203" s="15"/>
      <c r="X203" s="15"/>
      <c r="Y203" s="15"/>
      <c r="Z203" s="58"/>
    </row>
    <row r="204" spans="1:26" ht="9" customHeight="1">
      <c r="A204" s="15" t="s">
        <v>315</v>
      </c>
      <c r="B204" s="16" t="s">
        <v>62</v>
      </c>
      <c r="C204" s="15" t="s">
        <v>318</v>
      </c>
      <c r="D204" s="21" t="s">
        <v>319</v>
      </c>
      <c r="E204" s="22">
        <v>2</v>
      </c>
      <c r="F204" s="23"/>
      <c r="G204" s="23">
        <f>64163+8376+52353+4210+574+25188+24798</f>
        <v>179662</v>
      </c>
      <c r="H204" s="23">
        <f>8962+1565+14828+6028+2810</f>
        <v>34193</v>
      </c>
      <c r="I204" s="24">
        <f>69894+14638+50848+27879+25600+690+3822</f>
        <v>193371</v>
      </c>
      <c r="J204" s="17">
        <f>SUM(G204:I204)</f>
        <v>407226</v>
      </c>
      <c r="K204" s="25"/>
      <c r="L204" s="23"/>
      <c r="M204" s="23"/>
      <c r="N204" s="24"/>
      <c r="O204" s="26"/>
      <c r="P204" s="25"/>
      <c r="Q204" s="23">
        <f>337+3600+1156+1206+52+5494</f>
        <v>11845</v>
      </c>
      <c r="R204" s="23">
        <v>4996</v>
      </c>
      <c r="S204" s="24">
        <v>11840</v>
      </c>
      <c r="T204" s="19">
        <f t="shared" si="10"/>
        <v>28681</v>
      </c>
      <c r="U204" s="15"/>
      <c r="V204" s="15"/>
      <c r="W204" s="15"/>
      <c r="X204" s="15"/>
      <c r="Y204" s="15"/>
      <c r="Z204" s="58"/>
    </row>
    <row r="205" spans="1:26" ht="9" customHeight="1">
      <c r="A205" s="15" t="s">
        <v>315</v>
      </c>
      <c r="B205" s="16" t="s">
        <v>62</v>
      </c>
      <c r="C205" s="15" t="s">
        <v>320</v>
      </c>
      <c r="D205" s="21" t="s">
        <v>321</v>
      </c>
      <c r="E205" s="22">
        <v>2</v>
      </c>
      <c r="F205" s="23"/>
      <c r="G205" s="23">
        <f>41749+4535+43489+18072+15609</f>
        <v>123454</v>
      </c>
      <c r="H205" s="23">
        <f>5895+1056+12234+2051+4413</f>
        <v>25649</v>
      </c>
      <c r="I205" s="24">
        <f>48057+6768+43421+16886+18680</f>
        <v>133812</v>
      </c>
      <c r="J205" s="17">
        <f>SUM(G205:I205)</f>
        <v>282915</v>
      </c>
      <c r="K205" s="25"/>
      <c r="L205" s="23"/>
      <c r="M205" s="23"/>
      <c r="N205" s="24"/>
      <c r="O205" s="26"/>
      <c r="P205" s="25"/>
      <c r="Q205" s="23">
        <f>16703+4313+498+2019</f>
        <v>23533</v>
      </c>
      <c r="R205" s="23">
        <f>7998+714+207+1226</f>
        <v>10145</v>
      </c>
      <c r="S205" s="24">
        <f>16537+2102+465+4657</f>
        <v>23761</v>
      </c>
      <c r="T205" s="19">
        <f t="shared" si="10"/>
        <v>57439</v>
      </c>
      <c r="U205" s="15"/>
      <c r="V205" s="15"/>
      <c r="W205" s="15"/>
      <c r="X205" s="15"/>
      <c r="Y205" s="15"/>
      <c r="Z205" s="58"/>
    </row>
    <row r="206" spans="1:26" ht="9" customHeight="1">
      <c r="A206" s="15" t="s">
        <v>315</v>
      </c>
      <c r="B206" s="16" t="s">
        <v>62</v>
      </c>
      <c r="C206" s="15" t="s">
        <v>322</v>
      </c>
      <c r="D206" s="21" t="s">
        <v>323</v>
      </c>
      <c r="E206" s="22">
        <v>3</v>
      </c>
      <c r="F206" s="23"/>
      <c r="G206" s="23">
        <f>676+7217+2580+66+23122+19426+49262+5645+34227</f>
        <v>142221</v>
      </c>
      <c r="H206" s="23">
        <f>41+2319+180+3+6028+2407+5781+911+12604</f>
        <v>30274</v>
      </c>
      <c r="I206" s="24">
        <f>854+7333+2495+75+18323+20659+46329+9285+34019</f>
        <v>139372</v>
      </c>
      <c r="J206" s="17">
        <f>SUM(G206:I206)</f>
        <v>311867</v>
      </c>
      <c r="K206" s="25"/>
      <c r="L206" s="23"/>
      <c r="M206" s="23"/>
      <c r="N206" s="24"/>
      <c r="O206" s="26"/>
      <c r="P206" s="25"/>
      <c r="Q206" s="23">
        <f>125+403+3328+35+6100+227+91</f>
        <v>10309</v>
      </c>
      <c r="R206" s="23">
        <f>6+107+310+938+18+5084+236+73</f>
        <v>6772</v>
      </c>
      <c r="S206" s="24">
        <f>217+355+1789+51+138+174+5804</f>
        <v>8528</v>
      </c>
      <c r="T206" s="19">
        <f t="shared" si="10"/>
        <v>25609</v>
      </c>
      <c r="U206" s="15"/>
      <c r="V206" s="15"/>
      <c r="W206" s="15"/>
      <c r="X206" s="15"/>
      <c r="Y206" s="15"/>
      <c r="Z206" s="58"/>
    </row>
    <row r="207" spans="1:26" ht="9" customHeight="1">
      <c r="A207" s="15" t="s">
        <v>315</v>
      </c>
      <c r="B207" s="16" t="s">
        <v>62</v>
      </c>
      <c r="C207" s="15" t="s">
        <v>324</v>
      </c>
      <c r="D207" s="21" t="s">
        <v>325</v>
      </c>
      <c r="E207" s="22">
        <v>3</v>
      </c>
      <c r="F207" s="23"/>
      <c r="G207" s="23">
        <f>43577+2469+35444+3112+772+16034+17278</f>
        <v>118686</v>
      </c>
      <c r="H207" s="23">
        <f>5700+249+9552+510+48+2845+1920</f>
        <v>20824</v>
      </c>
      <c r="I207" s="24">
        <f>3125+934+15857+20279+46838+6480+35625</f>
        <v>129138</v>
      </c>
      <c r="J207" s="17">
        <f>SUM(G207:I207)</f>
        <v>268648</v>
      </c>
      <c r="K207" s="25"/>
      <c r="L207" s="23"/>
      <c r="M207" s="23"/>
      <c r="N207" s="24"/>
      <c r="O207" s="26"/>
      <c r="P207" s="25"/>
      <c r="Q207" s="23">
        <f>285+1083+5942+150</f>
        <v>7460</v>
      </c>
      <c r="R207" s="23">
        <f>96+246+3951+18</f>
        <v>4311</v>
      </c>
      <c r="S207" s="24">
        <f>243+1108+165+6469</f>
        <v>7985</v>
      </c>
      <c r="T207" s="19">
        <f t="shared" si="10"/>
        <v>19756</v>
      </c>
      <c r="U207" s="15"/>
      <c r="V207" s="15"/>
      <c r="W207" s="15"/>
      <c r="X207" s="15"/>
      <c r="Y207" s="15"/>
      <c r="Z207" s="58"/>
    </row>
    <row r="208" spans="1:26" ht="9" customHeight="1">
      <c r="A208" s="15" t="s">
        <v>315</v>
      </c>
      <c r="B208" s="16" t="s">
        <v>62</v>
      </c>
      <c r="C208" s="15" t="s">
        <v>326</v>
      </c>
      <c r="D208" s="21" t="s">
        <v>327</v>
      </c>
      <c r="E208" s="22">
        <v>3</v>
      </c>
      <c r="F208" s="23">
        <f>21000+1700+21100+850+14300+10100</f>
        <v>69050</v>
      </c>
      <c r="G208" s="23">
        <f>19000+1200+22100+1050+15000+9400</f>
        <v>67750</v>
      </c>
      <c r="H208" s="23">
        <f>465+5432+1715+5647+312+11999</f>
        <v>25570</v>
      </c>
      <c r="I208" s="24">
        <f>22060+3877+20975+926+13615+10682</f>
        <v>72135</v>
      </c>
      <c r="J208" s="24">
        <f>SUM(F208:I208)</f>
        <v>234505</v>
      </c>
      <c r="K208" s="25"/>
      <c r="L208" s="23"/>
      <c r="M208" s="23"/>
      <c r="N208" s="24"/>
      <c r="O208" s="26"/>
      <c r="P208" s="25">
        <f>4200+100+600+1700+470</f>
        <v>7070</v>
      </c>
      <c r="Q208" s="23">
        <f>4400+100+550+450+1700</f>
        <v>7200</v>
      </c>
      <c r="R208" s="23">
        <f>3245+36+405+165+884</f>
        <v>4735</v>
      </c>
      <c r="S208" s="24">
        <f>5079+27+549+617+2497</f>
        <v>8769</v>
      </c>
      <c r="T208" s="26">
        <f t="shared" si="10"/>
        <v>27774</v>
      </c>
      <c r="U208" s="15"/>
      <c r="V208" s="15"/>
      <c r="W208" s="15"/>
      <c r="X208" s="15"/>
      <c r="Y208" s="15"/>
      <c r="Z208" s="58"/>
    </row>
    <row r="209" spans="1:26" ht="9" customHeight="1">
      <c r="A209" s="15" t="s">
        <v>315</v>
      </c>
      <c r="B209" s="16" t="s">
        <v>62</v>
      </c>
      <c r="C209" s="15" t="s">
        <v>328</v>
      </c>
      <c r="D209" s="21" t="s">
        <v>329</v>
      </c>
      <c r="E209" s="22">
        <v>3</v>
      </c>
      <c r="F209" s="23"/>
      <c r="G209" s="23">
        <f>29008+3143+28651+2301+244+13305+12482</f>
        <v>89134</v>
      </c>
      <c r="H209" s="23">
        <f>3221+510+5045+1714+995</f>
        <v>11485</v>
      </c>
      <c r="I209" s="24">
        <f>34574+5663+27844+2663+209+12240+14582</f>
        <v>97775</v>
      </c>
      <c r="J209" s="17">
        <f aca="true" t="shared" si="11" ref="J209:J215">SUM(G209:I209)</f>
        <v>198394</v>
      </c>
      <c r="K209" s="25"/>
      <c r="L209" s="23"/>
      <c r="M209" s="23"/>
      <c r="N209" s="24"/>
      <c r="O209" s="26"/>
      <c r="P209" s="25"/>
      <c r="Q209" s="23">
        <f>353+836+4617+9</f>
        <v>5815</v>
      </c>
      <c r="R209" s="23">
        <f>6+210+3165+24</f>
        <v>3405</v>
      </c>
      <c r="S209" s="24">
        <f>289+895+4410+9</f>
        <v>5603</v>
      </c>
      <c r="T209" s="19">
        <f t="shared" si="10"/>
        <v>14823</v>
      </c>
      <c r="U209" s="15"/>
      <c r="V209" s="15"/>
      <c r="W209" s="15"/>
      <c r="X209" s="15"/>
      <c r="Y209" s="15"/>
      <c r="Z209" s="58"/>
    </row>
    <row r="210" spans="1:26" ht="9" customHeight="1">
      <c r="A210" s="15" t="s">
        <v>315</v>
      </c>
      <c r="B210" s="16" t="s">
        <v>62</v>
      </c>
      <c r="C210" s="15" t="s">
        <v>330</v>
      </c>
      <c r="D210" s="21" t="s">
        <v>331</v>
      </c>
      <c r="E210" s="22">
        <v>4</v>
      </c>
      <c r="F210" s="23"/>
      <c r="G210" s="23">
        <f>33824+3555+32770+11584+10034+683+2746</f>
        <v>95196</v>
      </c>
      <c r="H210" s="23">
        <f>3914+300+7701+78+136+1952+1037</f>
        <v>15118</v>
      </c>
      <c r="I210" s="24">
        <f>32448+4758+30947+10627+9076+910+2772</f>
        <v>91538</v>
      </c>
      <c r="J210" s="17">
        <f t="shared" si="11"/>
        <v>201852</v>
      </c>
      <c r="K210" s="25"/>
      <c r="L210" s="23"/>
      <c r="M210" s="23"/>
      <c r="N210" s="24"/>
      <c r="O210" s="26"/>
      <c r="P210" s="25"/>
      <c r="Q210" s="23">
        <f>5157+717+6+207</f>
        <v>6087</v>
      </c>
      <c r="R210" s="23">
        <f>1819+472+7+66</f>
        <v>2364</v>
      </c>
      <c r="S210" s="24">
        <f>3367+728+14+186</f>
        <v>4295</v>
      </c>
      <c r="T210" s="19">
        <f t="shared" si="10"/>
        <v>12746</v>
      </c>
      <c r="U210" s="15"/>
      <c r="V210" s="15"/>
      <c r="W210" s="15"/>
      <c r="X210" s="15"/>
      <c r="Y210" s="15"/>
      <c r="Z210" s="58"/>
    </row>
    <row r="211" spans="1:26" ht="9" customHeight="1">
      <c r="A211" s="15" t="s">
        <v>315</v>
      </c>
      <c r="B211" s="16" t="s">
        <v>62</v>
      </c>
      <c r="C211" s="15" t="s">
        <v>332</v>
      </c>
      <c r="D211" s="21" t="s">
        <v>333</v>
      </c>
      <c r="E211" s="22">
        <v>4</v>
      </c>
      <c r="F211" s="23"/>
      <c r="G211" s="23">
        <f>37442+5407+23737+15400+10350+488+5896</f>
        <v>98720</v>
      </c>
      <c r="H211" s="23">
        <f>5717+479+8380+3468+92+3486+2414</f>
        <v>24036</v>
      </c>
      <c r="I211" s="24">
        <f>41717+10026+26195+5207+230+12048+16975</f>
        <v>112398</v>
      </c>
      <c r="J211" s="17">
        <f t="shared" si="11"/>
        <v>235154</v>
      </c>
      <c r="K211" s="25"/>
      <c r="L211" s="23"/>
      <c r="M211" s="23"/>
      <c r="N211" s="24"/>
      <c r="O211" s="26"/>
      <c r="P211" s="25"/>
      <c r="Q211" s="23">
        <f>609+373+3+3679+139+15</f>
        <v>4818</v>
      </c>
      <c r="R211" s="23">
        <f>5157+207+123+363+436</f>
        <v>6286</v>
      </c>
      <c r="S211" s="24">
        <f>701+315+4+3899+122+99</f>
        <v>5140</v>
      </c>
      <c r="T211" s="19">
        <f t="shared" si="10"/>
        <v>16244</v>
      </c>
      <c r="U211" s="15"/>
      <c r="V211" s="15"/>
      <c r="W211" s="15"/>
      <c r="X211" s="15"/>
      <c r="Y211" s="15"/>
      <c r="Z211" s="58"/>
    </row>
    <row r="212" spans="1:26" ht="9" customHeight="1">
      <c r="A212" s="15" t="s">
        <v>315</v>
      </c>
      <c r="B212" s="16" t="s">
        <v>62</v>
      </c>
      <c r="C212" s="15" t="s">
        <v>334</v>
      </c>
      <c r="D212" s="21" t="s">
        <v>335</v>
      </c>
      <c r="E212" s="22">
        <v>4</v>
      </c>
      <c r="F212" s="23"/>
      <c r="G212" s="23">
        <f>57436+9771+48795+3944+86+18966+26825</f>
        <v>165823</v>
      </c>
      <c r="H212" s="23">
        <f>6106+1309+10294+799+9+3710+2376</f>
        <v>24603</v>
      </c>
      <c r="I212" s="24">
        <f>63226+13193+47973+4239+9+18311+27895</f>
        <v>174846</v>
      </c>
      <c r="J212" s="17">
        <f t="shared" si="11"/>
        <v>365272</v>
      </c>
      <c r="K212" s="25"/>
      <c r="L212" s="23"/>
      <c r="M212" s="23"/>
      <c r="N212" s="24"/>
      <c r="O212" s="26"/>
      <c r="P212" s="25"/>
      <c r="Q212" s="23">
        <f>250+886+6865+18</f>
        <v>8019</v>
      </c>
      <c r="R212" s="23">
        <f>76+411+4701+13</f>
        <v>5201</v>
      </c>
      <c r="S212" s="24">
        <f>145+850+6985+16</f>
        <v>7996</v>
      </c>
      <c r="T212" s="19">
        <f t="shared" si="10"/>
        <v>21216</v>
      </c>
      <c r="U212" s="15"/>
      <c r="V212" s="15"/>
      <c r="W212" s="15"/>
      <c r="X212" s="15"/>
      <c r="Y212" s="15"/>
      <c r="Z212" s="58"/>
    </row>
    <row r="213" spans="1:26" ht="9" customHeight="1">
      <c r="A213" s="15" t="s">
        <v>315</v>
      </c>
      <c r="B213" s="16" t="s">
        <v>62</v>
      </c>
      <c r="C213" s="15" t="s">
        <v>336</v>
      </c>
      <c r="D213" s="21" t="s">
        <v>337</v>
      </c>
      <c r="E213" s="65">
        <v>5</v>
      </c>
      <c r="F213" s="23"/>
      <c r="G213" s="23">
        <f>10061+583+12493+4585+4640</f>
        <v>32362</v>
      </c>
      <c r="H213" s="23">
        <f>1367+36+5224+1923+674</f>
        <v>9224</v>
      </c>
      <c r="I213" s="24">
        <f>11179+648+13881+5094+5155</f>
        <v>35957</v>
      </c>
      <c r="J213" s="17">
        <f t="shared" si="11"/>
        <v>77543</v>
      </c>
      <c r="K213" s="25"/>
      <c r="L213" s="23"/>
      <c r="M213" s="23"/>
      <c r="N213" s="24"/>
      <c r="O213" s="26"/>
      <c r="P213" s="25"/>
      <c r="Q213" s="23">
        <f>1932+316+397</f>
        <v>2645</v>
      </c>
      <c r="R213" s="23">
        <f>1670+125+178</f>
        <v>1973</v>
      </c>
      <c r="S213" s="24">
        <f>2147+351+441</f>
        <v>2939</v>
      </c>
      <c r="T213" s="19">
        <f t="shared" si="10"/>
        <v>7557</v>
      </c>
      <c r="U213" s="15"/>
      <c r="V213" s="15"/>
      <c r="W213" s="15"/>
      <c r="X213" s="15"/>
      <c r="Y213" s="15"/>
      <c r="Z213" s="58"/>
    </row>
    <row r="214" spans="1:26" ht="9" customHeight="1">
      <c r="A214" s="15" t="s">
        <v>315</v>
      </c>
      <c r="B214" s="16" t="s">
        <v>62</v>
      </c>
      <c r="C214" s="15" t="s">
        <v>338</v>
      </c>
      <c r="D214" s="21" t="s">
        <v>339</v>
      </c>
      <c r="E214" s="65">
        <v>5</v>
      </c>
      <c r="F214" s="23"/>
      <c r="G214" s="23">
        <f>27000+8500+22650+3700+200+8300+10400</f>
        <v>80750</v>
      </c>
      <c r="H214" s="23">
        <f>4306+692+5367+240+18+1830+1764</f>
        <v>14217</v>
      </c>
      <c r="I214" s="24">
        <f>30338+13106+20239+2396+93+7904+10736</f>
        <v>84812</v>
      </c>
      <c r="J214" s="17">
        <f t="shared" si="11"/>
        <v>179779</v>
      </c>
      <c r="K214" s="25"/>
      <c r="L214" s="23"/>
      <c r="M214" s="23"/>
      <c r="N214" s="24"/>
      <c r="O214" s="26"/>
      <c r="P214" s="25"/>
      <c r="Q214" s="23">
        <f>3800+300+800</f>
        <v>4900</v>
      </c>
      <c r="R214" s="23">
        <f>3413+72+273</f>
        <v>3758</v>
      </c>
      <c r="S214" s="24">
        <v>4212</v>
      </c>
      <c r="T214" s="19">
        <f t="shared" si="10"/>
        <v>12870</v>
      </c>
      <c r="U214" s="15"/>
      <c r="V214" s="15"/>
      <c r="W214" s="15"/>
      <c r="X214" s="15"/>
      <c r="Y214" s="15"/>
      <c r="Z214" s="58"/>
    </row>
    <row r="215" spans="1:26" ht="9" customHeight="1">
      <c r="A215" s="15" t="s">
        <v>315</v>
      </c>
      <c r="B215" s="16" t="s">
        <v>62</v>
      </c>
      <c r="C215" s="15" t="s">
        <v>340</v>
      </c>
      <c r="D215" s="21" t="s">
        <v>341</v>
      </c>
      <c r="E215" s="22">
        <v>5</v>
      </c>
      <c r="F215" s="23"/>
      <c r="G215" s="23">
        <f>15510+3661+20420+5120+5010</f>
        <v>49721</v>
      </c>
      <c r="H215" s="23">
        <f>2842+365+6194+2500+1734</f>
        <v>13635</v>
      </c>
      <c r="I215" s="24">
        <f>13120+4660+19450+5615+5550</f>
        <v>48395</v>
      </c>
      <c r="J215" s="17">
        <f t="shared" si="11"/>
        <v>111751</v>
      </c>
      <c r="K215" s="25"/>
      <c r="L215" s="23"/>
      <c r="M215" s="23"/>
      <c r="N215" s="24"/>
      <c r="O215" s="26"/>
      <c r="P215" s="25"/>
      <c r="Q215" s="23">
        <v>3579</v>
      </c>
      <c r="R215" s="23">
        <v>589</v>
      </c>
      <c r="S215" s="24">
        <v>3500</v>
      </c>
      <c r="T215" s="19">
        <f t="shared" si="10"/>
        <v>7668</v>
      </c>
      <c r="U215" s="15"/>
      <c r="V215" s="15"/>
      <c r="W215" s="15"/>
      <c r="X215" s="15"/>
      <c r="Y215" s="15"/>
      <c r="Z215" s="58"/>
    </row>
    <row r="216" spans="1:26" ht="9" customHeight="1">
      <c r="A216" s="15" t="s">
        <v>315</v>
      </c>
      <c r="B216" s="16" t="s">
        <v>62</v>
      </c>
      <c r="C216" s="15" t="s">
        <v>342</v>
      </c>
      <c r="D216" s="21" t="s">
        <v>343</v>
      </c>
      <c r="E216" s="22">
        <v>7</v>
      </c>
      <c r="F216" s="23"/>
      <c r="G216" s="23"/>
      <c r="H216" s="23"/>
      <c r="I216" s="24"/>
      <c r="J216" s="24"/>
      <c r="K216" s="25"/>
      <c r="L216" s="23"/>
      <c r="M216" s="23"/>
      <c r="N216" s="24"/>
      <c r="O216" s="26"/>
      <c r="P216" s="25"/>
      <c r="Q216" s="23"/>
      <c r="R216" s="23"/>
      <c r="S216" s="24"/>
      <c r="T216" s="26"/>
      <c r="U216" s="15"/>
      <c r="V216" s="15"/>
      <c r="W216" s="15"/>
      <c r="X216" s="15"/>
      <c r="Y216" s="15"/>
      <c r="Z216" s="58"/>
    </row>
    <row r="217" spans="1:26" ht="9" customHeight="1">
      <c r="A217" s="15" t="s">
        <v>315</v>
      </c>
      <c r="B217" s="16" t="s">
        <v>62</v>
      </c>
      <c r="C217" s="15" t="s">
        <v>344</v>
      </c>
      <c r="D217" s="21" t="s">
        <v>345</v>
      </c>
      <c r="E217" s="22">
        <v>7</v>
      </c>
      <c r="F217" s="23"/>
      <c r="G217" s="23">
        <f>82300+49900</f>
        <v>132200</v>
      </c>
      <c r="H217" s="23">
        <f>16166+9781</f>
        <v>25947</v>
      </c>
      <c r="I217" s="24">
        <f>82033+49927</f>
        <v>131960</v>
      </c>
      <c r="J217" s="17">
        <f>SUM(G217:I217)</f>
        <v>290107</v>
      </c>
      <c r="K217" s="25"/>
      <c r="L217" s="23"/>
      <c r="M217" s="23"/>
      <c r="N217" s="24"/>
      <c r="O217" s="26"/>
      <c r="P217" s="25"/>
      <c r="Q217" s="23"/>
      <c r="R217" s="23"/>
      <c r="S217" s="24"/>
      <c r="T217" s="26"/>
      <c r="U217" s="15"/>
      <c r="V217" s="15"/>
      <c r="W217" s="15"/>
      <c r="X217" s="15"/>
      <c r="Y217" s="15"/>
      <c r="Z217" s="58"/>
    </row>
    <row r="218" spans="1:26" ht="9" customHeight="1">
      <c r="A218" s="15" t="s">
        <v>315</v>
      </c>
      <c r="B218" s="16" t="s">
        <v>62</v>
      </c>
      <c r="C218" s="15" t="s">
        <v>346</v>
      </c>
      <c r="D218" s="21" t="s">
        <v>347</v>
      </c>
      <c r="E218" s="22">
        <v>7</v>
      </c>
      <c r="F218" s="23"/>
      <c r="G218" s="23">
        <f>12892+7542</f>
        <v>20434</v>
      </c>
      <c r="H218" s="23">
        <f>2987+1376</f>
        <v>4363</v>
      </c>
      <c r="I218" s="24">
        <f>14935+7756</f>
        <v>22691</v>
      </c>
      <c r="J218" s="17">
        <f>SUM(G218:I218)</f>
        <v>47488</v>
      </c>
      <c r="K218" s="25"/>
      <c r="L218" s="23"/>
      <c r="M218" s="23"/>
      <c r="N218" s="24"/>
      <c r="O218" s="26"/>
      <c r="P218" s="25"/>
      <c r="Q218" s="23"/>
      <c r="R218" s="23"/>
      <c r="S218" s="24"/>
      <c r="T218" s="26"/>
      <c r="U218" s="15"/>
      <c r="V218" s="15"/>
      <c r="W218" s="15"/>
      <c r="X218" s="15"/>
      <c r="Y218" s="15"/>
      <c r="Z218" s="58"/>
    </row>
    <row r="219" spans="1:26" ht="9" customHeight="1">
      <c r="A219" s="15" t="s">
        <v>315</v>
      </c>
      <c r="B219" s="16" t="s">
        <v>62</v>
      </c>
      <c r="C219" s="15" t="s">
        <v>348</v>
      </c>
      <c r="D219" s="21" t="s">
        <v>349</v>
      </c>
      <c r="E219" s="22">
        <v>7</v>
      </c>
      <c r="F219" s="23"/>
      <c r="G219" s="23">
        <f>16097+7760</f>
        <v>23857</v>
      </c>
      <c r="H219" s="23">
        <f>3860+1654</f>
        <v>5514</v>
      </c>
      <c r="I219" s="24">
        <f>17284+8363</f>
        <v>25647</v>
      </c>
      <c r="J219" s="17">
        <f>SUM(G219:I219)</f>
        <v>55018</v>
      </c>
      <c r="K219" s="25"/>
      <c r="L219" s="23"/>
      <c r="M219" s="23"/>
      <c r="N219" s="24"/>
      <c r="O219" s="26"/>
      <c r="P219" s="25"/>
      <c r="Q219" s="23"/>
      <c r="R219" s="23"/>
      <c r="S219" s="24"/>
      <c r="T219" s="26"/>
      <c r="U219" s="15"/>
      <c r="V219" s="15"/>
      <c r="W219" s="15"/>
      <c r="X219" s="15"/>
      <c r="Y219" s="15"/>
      <c r="Z219" s="58"/>
    </row>
    <row r="220" spans="1:26" ht="9" customHeight="1">
      <c r="A220" s="15" t="s">
        <v>315</v>
      </c>
      <c r="B220" s="16" t="s">
        <v>62</v>
      </c>
      <c r="C220" s="15" t="s">
        <v>350</v>
      </c>
      <c r="D220" s="21" t="s">
        <v>351</v>
      </c>
      <c r="E220" s="22">
        <v>7</v>
      </c>
      <c r="F220" s="23"/>
      <c r="G220" s="23">
        <f>10834+8189</f>
        <v>19023</v>
      </c>
      <c r="H220" s="23">
        <f>2370+1939</f>
        <v>4309</v>
      </c>
      <c r="I220" s="24">
        <f>10318+7799</f>
        <v>18117</v>
      </c>
      <c r="J220" s="17">
        <f>SUM(G220:I220)</f>
        <v>41449</v>
      </c>
      <c r="K220" s="25"/>
      <c r="L220" s="23"/>
      <c r="M220" s="23"/>
      <c r="N220" s="24"/>
      <c r="O220" s="26"/>
      <c r="P220" s="25"/>
      <c r="Q220" s="23"/>
      <c r="R220" s="23"/>
      <c r="S220" s="24"/>
      <c r="T220" s="26"/>
      <c r="U220" s="15"/>
      <c r="V220" s="15"/>
      <c r="W220" s="15"/>
      <c r="X220" s="15"/>
      <c r="Y220" s="15"/>
      <c r="Z220" s="58"/>
    </row>
    <row r="221" spans="1:26" ht="9" customHeight="1">
      <c r="A221" s="15" t="s">
        <v>315</v>
      </c>
      <c r="B221" s="16" t="s">
        <v>62</v>
      </c>
      <c r="C221" s="15" t="s">
        <v>352</v>
      </c>
      <c r="D221" s="21" t="s">
        <v>353</v>
      </c>
      <c r="E221" s="22">
        <v>7</v>
      </c>
      <c r="F221" s="23"/>
      <c r="G221" s="23">
        <v>15257</v>
      </c>
      <c r="H221" s="23">
        <v>3340</v>
      </c>
      <c r="I221" s="24">
        <v>13977</v>
      </c>
      <c r="J221" s="17">
        <f>SUM(G221:I221)</f>
        <v>32574</v>
      </c>
      <c r="K221" s="25"/>
      <c r="L221" s="23"/>
      <c r="M221" s="23"/>
      <c r="N221" s="24"/>
      <c r="O221" s="26"/>
      <c r="P221" s="25"/>
      <c r="Q221" s="23"/>
      <c r="R221" s="23"/>
      <c r="S221" s="24"/>
      <c r="T221" s="26"/>
      <c r="U221" s="15"/>
      <c r="V221" s="15"/>
      <c r="W221" s="15"/>
      <c r="X221" s="15"/>
      <c r="Y221" s="15"/>
      <c r="Z221" s="58"/>
    </row>
    <row r="222" spans="1:26" ht="9" customHeight="1">
      <c r="A222" s="15" t="s">
        <v>315</v>
      </c>
      <c r="B222" s="16" t="s">
        <v>62</v>
      </c>
      <c r="C222" s="15" t="s">
        <v>354</v>
      </c>
      <c r="D222" s="21" t="s">
        <v>317</v>
      </c>
      <c r="E222" s="22">
        <v>9</v>
      </c>
      <c r="F222" s="23"/>
      <c r="G222" s="23"/>
      <c r="H222" s="23"/>
      <c r="I222" s="24"/>
      <c r="J222" s="24"/>
      <c r="K222" s="25"/>
      <c r="L222" s="23"/>
      <c r="M222" s="23"/>
      <c r="N222" s="24"/>
      <c r="O222" s="26"/>
      <c r="P222" s="25"/>
      <c r="Q222" s="23">
        <v>8262</v>
      </c>
      <c r="R222" s="23">
        <v>1792</v>
      </c>
      <c r="S222" s="24">
        <v>9771</v>
      </c>
      <c r="T222" s="19">
        <f>SUM(P222:S222)</f>
        <v>19825</v>
      </c>
      <c r="U222" s="15"/>
      <c r="V222" s="15"/>
      <c r="W222" s="15"/>
      <c r="X222" s="15"/>
      <c r="Y222" s="15"/>
      <c r="Z222" s="58"/>
    </row>
    <row r="223" spans="1:26" ht="9" customHeight="1">
      <c r="A223" s="15" t="s">
        <v>315</v>
      </c>
      <c r="B223" s="16" t="s">
        <v>62</v>
      </c>
      <c r="C223" s="15" t="s">
        <v>355</v>
      </c>
      <c r="D223" s="21" t="s">
        <v>356</v>
      </c>
      <c r="E223" s="22">
        <v>9</v>
      </c>
      <c r="F223" s="23"/>
      <c r="G223" s="23"/>
      <c r="H223" s="23"/>
      <c r="I223" s="24"/>
      <c r="J223" s="24"/>
      <c r="K223" s="25"/>
      <c r="L223" s="23"/>
      <c r="M223" s="23"/>
      <c r="N223" s="24"/>
      <c r="O223" s="26"/>
      <c r="P223" s="25"/>
      <c r="Q223" s="23"/>
      <c r="R223" s="23"/>
      <c r="S223" s="24"/>
      <c r="T223" s="26"/>
      <c r="U223" s="15"/>
      <c r="V223" s="15"/>
      <c r="W223" s="15"/>
      <c r="X223" s="15"/>
      <c r="Y223" s="15"/>
      <c r="Z223" s="58"/>
    </row>
    <row r="224" spans="1:26" ht="9" customHeight="1">
      <c r="A224" s="15" t="s">
        <v>315</v>
      </c>
      <c r="B224" s="16" t="s">
        <v>62</v>
      </c>
      <c r="C224" s="15" t="s">
        <v>357</v>
      </c>
      <c r="D224" s="15">
        <v>160560</v>
      </c>
      <c r="E224" s="22">
        <v>8</v>
      </c>
      <c r="F224" s="23"/>
      <c r="G224" s="23"/>
      <c r="H224" s="23"/>
      <c r="I224" s="24"/>
      <c r="J224" s="24"/>
      <c r="K224" s="25">
        <v>60901</v>
      </c>
      <c r="L224" s="23">
        <v>61814.5</v>
      </c>
      <c r="M224" s="23">
        <v>62741.5</v>
      </c>
      <c r="N224" s="24">
        <v>60001</v>
      </c>
      <c r="O224" s="26">
        <f aca="true" t="shared" si="12" ref="O224:O268">SUM(K224+L224+M224+N224)</f>
        <v>245458</v>
      </c>
      <c r="P224" s="25"/>
      <c r="Q224" s="23"/>
      <c r="R224" s="23"/>
      <c r="S224" s="24"/>
      <c r="T224" s="26"/>
      <c r="U224" s="15"/>
      <c r="V224" s="15"/>
      <c r="W224" s="15"/>
      <c r="X224" s="15"/>
      <c r="Y224" s="15"/>
      <c r="Z224" s="58"/>
    </row>
    <row r="225" spans="1:32" ht="9" customHeight="1">
      <c r="A225" s="15" t="s">
        <v>315</v>
      </c>
      <c r="B225" s="16" t="s">
        <v>62</v>
      </c>
      <c r="C225" s="15" t="s">
        <v>358</v>
      </c>
      <c r="D225" s="15">
        <v>158088</v>
      </c>
      <c r="E225" s="22">
        <v>8</v>
      </c>
      <c r="F225" s="23"/>
      <c r="G225" s="23"/>
      <c r="H225" s="23"/>
      <c r="I225" s="24"/>
      <c r="J225" s="24"/>
      <c r="K225" s="25">
        <v>108673</v>
      </c>
      <c r="L225" s="23">
        <v>120774</v>
      </c>
      <c r="M225" s="23">
        <v>105752</v>
      </c>
      <c r="N225" s="24">
        <v>110945</v>
      </c>
      <c r="O225" s="26">
        <f t="shared" si="12"/>
        <v>446144</v>
      </c>
      <c r="P225" s="25"/>
      <c r="Q225" s="23"/>
      <c r="R225" s="23"/>
      <c r="S225" s="24"/>
      <c r="T225" s="26"/>
      <c r="U225" s="15"/>
      <c r="V225" s="15"/>
      <c r="W225" s="15"/>
      <c r="X225" s="15"/>
      <c r="Y225" s="15"/>
      <c r="Z225" s="58"/>
      <c r="AA225" s="2"/>
      <c r="AB225" s="2"/>
      <c r="AC225" s="2"/>
      <c r="AD225" s="2"/>
      <c r="AE225" s="2"/>
      <c r="AF225" s="2"/>
    </row>
    <row r="226" spans="1:32" ht="9" customHeight="1">
      <c r="A226" s="15" t="s">
        <v>315</v>
      </c>
      <c r="B226" s="16" t="s">
        <v>62</v>
      </c>
      <c r="C226" s="15" t="s">
        <v>359</v>
      </c>
      <c r="D226" s="15">
        <v>158219</v>
      </c>
      <c r="E226" s="22">
        <v>8</v>
      </c>
      <c r="F226" s="23"/>
      <c r="G226" s="23"/>
      <c r="H226" s="23"/>
      <c r="I226" s="24"/>
      <c r="J226" s="24"/>
      <c r="K226" s="25">
        <v>41142</v>
      </c>
      <c r="L226" s="23">
        <v>41142</v>
      </c>
      <c r="M226" s="23">
        <v>35264</v>
      </c>
      <c r="N226" s="24">
        <v>41142</v>
      </c>
      <c r="O226" s="26">
        <f t="shared" si="12"/>
        <v>158690</v>
      </c>
      <c r="P226" s="25"/>
      <c r="Q226" s="23"/>
      <c r="R226" s="23"/>
      <c r="S226" s="24"/>
      <c r="T226" s="26"/>
      <c r="U226" s="15"/>
      <c r="V226" s="15"/>
      <c r="W226" s="15"/>
      <c r="X226" s="15"/>
      <c r="Y226" s="15"/>
      <c r="Z226" s="58"/>
      <c r="AA226" s="2"/>
      <c r="AB226" s="2"/>
      <c r="AC226" s="2"/>
      <c r="AD226" s="2"/>
      <c r="AE226" s="2"/>
      <c r="AF226" s="2"/>
    </row>
    <row r="227" spans="1:32" ht="9" customHeight="1">
      <c r="A227" s="15" t="s">
        <v>315</v>
      </c>
      <c r="B227" s="16" t="s">
        <v>62</v>
      </c>
      <c r="C227" s="15" t="s">
        <v>360</v>
      </c>
      <c r="D227" s="15">
        <v>158237</v>
      </c>
      <c r="E227" s="22">
        <v>8</v>
      </c>
      <c r="F227" s="23"/>
      <c r="G227" s="23"/>
      <c r="H227" s="23"/>
      <c r="I227" s="24"/>
      <c r="J227" s="24"/>
      <c r="K227" s="25">
        <v>90000</v>
      </c>
      <c r="L227" s="23">
        <v>90000</v>
      </c>
      <c r="M227" s="23">
        <v>90000</v>
      </c>
      <c r="N227" s="24">
        <v>89460</v>
      </c>
      <c r="O227" s="26">
        <f t="shared" si="12"/>
        <v>359460</v>
      </c>
      <c r="P227" s="25"/>
      <c r="Q227" s="23"/>
      <c r="R227" s="23"/>
      <c r="S227" s="24"/>
      <c r="T227" s="26"/>
      <c r="U227" s="15"/>
      <c r="V227" s="15"/>
      <c r="W227" s="15"/>
      <c r="X227" s="15"/>
      <c r="Y227" s="15"/>
      <c r="Z227" s="58"/>
      <c r="AA227" s="2"/>
      <c r="AB227" s="2"/>
      <c r="AC227" s="2"/>
      <c r="AD227" s="2"/>
      <c r="AE227" s="2"/>
      <c r="AF227" s="2"/>
    </row>
    <row r="228" spans="1:32" ht="9" customHeight="1">
      <c r="A228" s="15" t="s">
        <v>315</v>
      </c>
      <c r="B228" s="16" t="s">
        <v>62</v>
      </c>
      <c r="C228" s="15" t="s">
        <v>361</v>
      </c>
      <c r="D228" s="15">
        <v>158307</v>
      </c>
      <c r="E228" s="22">
        <v>8</v>
      </c>
      <c r="F228" s="23"/>
      <c r="G228" s="23"/>
      <c r="H228" s="23"/>
      <c r="I228" s="24"/>
      <c r="J228" s="24"/>
      <c r="K228" s="25">
        <v>30317</v>
      </c>
      <c r="L228" s="23">
        <v>30896</v>
      </c>
      <c r="M228" s="23">
        <v>25217</v>
      </c>
      <c r="N228" s="24">
        <v>31018</v>
      </c>
      <c r="O228" s="26">
        <f t="shared" si="12"/>
        <v>117448</v>
      </c>
      <c r="P228" s="25"/>
      <c r="Q228" s="23"/>
      <c r="R228" s="23"/>
      <c r="S228" s="24"/>
      <c r="T228" s="26"/>
      <c r="U228" s="15"/>
      <c r="V228" s="15"/>
      <c r="W228" s="15"/>
      <c r="X228" s="15"/>
      <c r="Y228" s="15"/>
      <c r="Z228" s="58"/>
      <c r="AA228" s="2"/>
      <c r="AB228" s="2"/>
      <c r="AC228" s="2"/>
      <c r="AD228" s="2"/>
      <c r="AE228" s="2"/>
      <c r="AF228" s="2"/>
    </row>
    <row r="229" spans="1:32" ht="9" customHeight="1">
      <c r="A229" s="15" t="s">
        <v>315</v>
      </c>
      <c r="B229" s="16" t="s">
        <v>62</v>
      </c>
      <c r="C229" s="15" t="s">
        <v>362</v>
      </c>
      <c r="D229" s="15">
        <v>158352</v>
      </c>
      <c r="E229" s="22">
        <v>8</v>
      </c>
      <c r="F229" s="23"/>
      <c r="G229" s="23"/>
      <c r="H229" s="23"/>
      <c r="I229" s="24"/>
      <c r="J229" s="24"/>
      <c r="K229" s="25">
        <v>122798</v>
      </c>
      <c r="L229" s="23">
        <v>135075</v>
      </c>
      <c r="M229" s="23">
        <v>141832</v>
      </c>
      <c r="N229" s="24">
        <v>111635</v>
      </c>
      <c r="O229" s="26">
        <f t="shared" si="12"/>
        <v>511340</v>
      </c>
      <c r="P229" s="25"/>
      <c r="Q229" s="23"/>
      <c r="R229" s="23"/>
      <c r="S229" s="24"/>
      <c r="T229" s="26"/>
      <c r="U229" s="15"/>
      <c r="V229" s="15"/>
      <c r="W229" s="15"/>
      <c r="X229" s="15"/>
      <c r="Y229" s="15"/>
      <c r="Z229" s="58"/>
      <c r="AA229" s="2"/>
      <c r="AB229" s="2"/>
      <c r="AC229" s="2"/>
      <c r="AD229" s="2"/>
      <c r="AE229" s="2"/>
      <c r="AF229" s="2"/>
    </row>
    <row r="230" spans="1:32" ht="9" customHeight="1">
      <c r="A230" s="15" t="s">
        <v>315</v>
      </c>
      <c r="B230" s="16" t="s">
        <v>62</v>
      </c>
      <c r="C230" s="15" t="s">
        <v>363</v>
      </c>
      <c r="D230" s="15">
        <v>158529</v>
      </c>
      <c r="E230" s="22">
        <v>8</v>
      </c>
      <c r="F230" s="23"/>
      <c r="G230" s="23"/>
      <c r="H230" s="23"/>
      <c r="I230" s="24"/>
      <c r="J230" s="24"/>
      <c r="K230" s="25">
        <v>39827</v>
      </c>
      <c r="L230" s="23">
        <v>39700</v>
      </c>
      <c r="M230" s="23">
        <v>40300</v>
      </c>
      <c r="N230" s="24">
        <v>40400</v>
      </c>
      <c r="O230" s="26">
        <f t="shared" si="12"/>
        <v>160227</v>
      </c>
      <c r="P230" s="25"/>
      <c r="Q230" s="23"/>
      <c r="R230" s="23"/>
      <c r="S230" s="24"/>
      <c r="T230" s="26"/>
      <c r="U230" s="15"/>
      <c r="V230" s="15"/>
      <c r="W230" s="15"/>
      <c r="X230" s="15"/>
      <c r="Y230" s="15"/>
      <c r="Z230" s="58"/>
      <c r="AA230" s="2"/>
      <c r="AB230" s="2"/>
      <c r="AC230" s="2"/>
      <c r="AD230" s="2"/>
      <c r="AE230" s="2"/>
      <c r="AF230" s="2"/>
    </row>
    <row r="231" spans="1:32" ht="9" customHeight="1">
      <c r="A231" s="15" t="s">
        <v>315</v>
      </c>
      <c r="B231" s="16" t="s">
        <v>62</v>
      </c>
      <c r="C231" s="15" t="s">
        <v>364</v>
      </c>
      <c r="D231" s="15">
        <v>158583</v>
      </c>
      <c r="E231" s="22">
        <v>8</v>
      </c>
      <c r="F231" s="23"/>
      <c r="G231" s="23"/>
      <c r="H231" s="23"/>
      <c r="I231" s="24"/>
      <c r="J231" s="24"/>
      <c r="K231" s="25">
        <v>31000</v>
      </c>
      <c r="L231" s="23">
        <v>30000</v>
      </c>
      <c r="M231" s="23">
        <v>21000</v>
      </c>
      <c r="N231" s="24">
        <v>33000</v>
      </c>
      <c r="O231" s="26">
        <f t="shared" si="12"/>
        <v>115000</v>
      </c>
      <c r="P231" s="25"/>
      <c r="Q231" s="23"/>
      <c r="R231" s="23"/>
      <c r="S231" s="24"/>
      <c r="T231" s="26"/>
      <c r="U231" s="15"/>
      <c r="V231" s="15"/>
      <c r="W231" s="15"/>
      <c r="X231" s="15"/>
      <c r="Y231" s="15"/>
      <c r="Z231" s="58"/>
      <c r="AA231" s="2"/>
      <c r="AB231" s="2"/>
      <c r="AC231" s="2"/>
      <c r="AD231" s="2"/>
      <c r="AE231" s="2"/>
      <c r="AF231" s="2"/>
    </row>
    <row r="232" spans="1:32" ht="9" customHeight="1">
      <c r="A232" s="15" t="s">
        <v>315</v>
      </c>
      <c r="B232" s="16" t="s">
        <v>62</v>
      </c>
      <c r="C232" s="15" t="s">
        <v>365</v>
      </c>
      <c r="D232" s="15">
        <v>160816</v>
      </c>
      <c r="E232" s="22">
        <v>8</v>
      </c>
      <c r="F232" s="23"/>
      <c r="G232" s="23"/>
      <c r="H232" s="23"/>
      <c r="I232" s="24"/>
      <c r="J232" s="24"/>
      <c r="K232" s="25">
        <v>28500</v>
      </c>
      <c r="L232" s="23">
        <v>28000</v>
      </c>
      <c r="M232" s="23">
        <v>21500</v>
      </c>
      <c r="N232" s="24">
        <v>27500</v>
      </c>
      <c r="O232" s="26">
        <f t="shared" si="12"/>
        <v>105500</v>
      </c>
      <c r="P232" s="25"/>
      <c r="Q232" s="23"/>
      <c r="R232" s="23"/>
      <c r="S232" s="24"/>
      <c r="T232" s="26"/>
      <c r="U232" s="15"/>
      <c r="V232" s="15"/>
      <c r="W232" s="15"/>
      <c r="X232" s="15"/>
      <c r="Y232" s="15"/>
      <c r="Z232" s="58"/>
      <c r="AA232" s="2"/>
      <c r="AB232" s="2"/>
      <c r="AC232" s="2"/>
      <c r="AD232" s="2"/>
      <c r="AE232" s="2"/>
      <c r="AF232" s="2"/>
    </row>
    <row r="233" spans="1:32" ht="9" customHeight="1">
      <c r="A233" s="15" t="s">
        <v>315</v>
      </c>
      <c r="B233" s="16" t="s">
        <v>62</v>
      </c>
      <c r="C233" s="15" t="s">
        <v>366</v>
      </c>
      <c r="D233" s="15">
        <v>158769</v>
      </c>
      <c r="E233" s="22">
        <v>8</v>
      </c>
      <c r="F233" s="23"/>
      <c r="G233" s="23"/>
      <c r="H233" s="23"/>
      <c r="I233" s="24"/>
      <c r="J233" s="24"/>
      <c r="K233" s="25">
        <v>106000</v>
      </c>
      <c r="L233" s="23">
        <v>116600</v>
      </c>
      <c r="M233" s="23">
        <v>128260</v>
      </c>
      <c r="N233" s="24">
        <v>96956</v>
      </c>
      <c r="O233" s="26">
        <f t="shared" si="12"/>
        <v>447816</v>
      </c>
      <c r="P233" s="25"/>
      <c r="Q233" s="23"/>
      <c r="R233" s="23"/>
      <c r="S233" s="24"/>
      <c r="T233" s="26"/>
      <c r="U233" s="15"/>
      <c r="V233" s="15"/>
      <c r="W233" s="15"/>
      <c r="X233" s="15"/>
      <c r="Y233" s="15"/>
      <c r="Z233" s="58"/>
      <c r="AA233" s="58"/>
      <c r="AB233" s="58"/>
      <c r="AC233" s="58"/>
      <c r="AD233" s="58"/>
      <c r="AE233" s="58"/>
      <c r="AF233" s="58"/>
    </row>
    <row r="234" spans="1:32" ht="9" customHeight="1">
      <c r="A234" s="15" t="s">
        <v>315</v>
      </c>
      <c r="B234" s="16" t="s">
        <v>62</v>
      </c>
      <c r="C234" s="15" t="s">
        <v>367</v>
      </c>
      <c r="D234" s="15">
        <v>158893</v>
      </c>
      <c r="E234" s="22">
        <v>8</v>
      </c>
      <c r="F234" s="23"/>
      <c r="G234" s="23"/>
      <c r="H234" s="23"/>
      <c r="I234" s="24"/>
      <c r="J234" s="24"/>
      <c r="K234" s="25">
        <v>55000</v>
      </c>
      <c r="L234" s="23">
        <v>50000</v>
      </c>
      <c r="M234" s="23">
        <v>45000</v>
      </c>
      <c r="N234" s="24">
        <v>60000</v>
      </c>
      <c r="O234" s="26">
        <f t="shared" si="12"/>
        <v>210000</v>
      </c>
      <c r="P234" s="25"/>
      <c r="Q234" s="23"/>
      <c r="R234" s="23"/>
      <c r="S234" s="24"/>
      <c r="T234" s="26"/>
      <c r="U234" s="15"/>
      <c r="V234" s="15"/>
      <c r="W234" s="15"/>
      <c r="X234" s="15"/>
      <c r="Y234" s="15"/>
      <c r="Z234" s="58"/>
      <c r="AA234" s="58"/>
      <c r="AB234" s="58"/>
      <c r="AC234" s="58"/>
      <c r="AD234" s="58"/>
      <c r="AE234" s="58"/>
      <c r="AF234" s="58"/>
    </row>
    <row r="235" spans="1:32" ht="9" customHeight="1">
      <c r="A235" s="15" t="s">
        <v>315</v>
      </c>
      <c r="B235" s="16" t="s">
        <v>62</v>
      </c>
      <c r="C235" s="15" t="s">
        <v>368</v>
      </c>
      <c r="D235" s="15">
        <v>158936</v>
      </c>
      <c r="E235" s="22">
        <v>8</v>
      </c>
      <c r="F235" s="23"/>
      <c r="G235" s="23"/>
      <c r="H235" s="23"/>
      <c r="I235" s="24"/>
      <c r="J235" s="24"/>
      <c r="K235" s="25">
        <v>19440</v>
      </c>
      <c r="L235" s="23">
        <v>26000</v>
      </c>
      <c r="M235" s="23">
        <v>24500</v>
      </c>
      <c r="N235" s="24">
        <v>31000</v>
      </c>
      <c r="O235" s="26">
        <f t="shared" si="12"/>
        <v>100940</v>
      </c>
      <c r="P235" s="25"/>
      <c r="Q235" s="23"/>
      <c r="R235" s="23"/>
      <c r="S235" s="24"/>
      <c r="T235" s="26"/>
      <c r="U235" s="15"/>
      <c r="V235" s="15"/>
      <c r="W235" s="15"/>
      <c r="X235" s="15"/>
      <c r="Y235" s="15"/>
      <c r="Z235" s="58"/>
      <c r="AA235" s="58"/>
      <c r="AB235" s="58"/>
      <c r="AC235" s="58"/>
      <c r="AD235" s="58"/>
      <c r="AE235" s="58"/>
      <c r="AF235" s="58"/>
    </row>
    <row r="236" spans="1:32" ht="9" customHeight="1">
      <c r="A236" s="15" t="s">
        <v>315</v>
      </c>
      <c r="B236" s="16" t="s">
        <v>62</v>
      </c>
      <c r="C236" s="15" t="s">
        <v>369</v>
      </c>
      <c r="D236" s="15">
        <v>158945</v>
      </c>
      <c r="E236" s="22">
        <v>8</v>
      </c>
      <c r="F236" s="23"/>
      <c r="G236" s="23"/>
      <c r="H236" s="23"/>
      <c r="I236" s="24"/>
      <c r="J236" s="24"/>
      <c r="K236" s="25">
        <v>219463</v>
      </c>
      <c r="L236" s="23">
        <v>218099</v>
      </c>
      <c r="M236" s="23">
        <v>215084</v>
      </c>
      <c r="N236" s="24">
        <v>225514</v>
      </c>
      <c r="O236" s="26">
        <f t="shared" si="12"/>
        <v>878160</v>
      </c>
      <c r="P236" s="25"/>
      <c r="Q236" s="23"/>
      <c r="R236" s="23"/>
      <c r="S236" s="24"/>
      <c r="T236" s="26"/>
      <c r="U236" s="15"/>
      <c r="V236" s="15"/>
      <c r="W236" s="15"/>
      <c r="X236" s="15"/>
      <c r="Y236" s="15"/>
      <c r="Z236" s="58"/>
      <c r="AA236" s="58"/>
      <c r="AB236" s="58"/>
      <c r="AC236" s="58"/>
      <c r="AD236" s="58"/>
      <c r="AE236" s="58"/>
      <c r="AF236" s="58"/>
    </row>
    <row r="237" spans="1:32" ht="9" customHeight="1">
      <c r="A237" s="15" t="s">
        <v>315</v>
      </c>
      <c r="B237" s="16" t="s">
        <v>62</v>
      </c>
      <c r="C237" s="15" t="s">
        <v>370</v>
      </c>
      <c r="D237" s="15">
        <v>159018</v>
      </c>
      <c r="E237" s="22">
        <v>8</v>
      </c>
      <c r="F237" s="23"/>
      <c r="G237" s="23"/>
      <c r="H237" s="23"/>
      <c r="I237" s="24"/>
      <c r="J237" s="24"/>
      <c r="K237" s="25">
        <v>81735</v>
      </c>
      <c r="L237" s="23">
        <v>72316</v>
      </c>
      <c r="M237" s="23">
        <v>43604</v>
      </c>
      <c r="N237" s="24">
        <v>75170</v>
      </c>
      <c r="O237" s="26">
        <f t="shared" si="12"/>
        <v>272825</v>
      </c>
      <c r="P237" s="25"/>
      <c r="Q237" s="23"/>
      <c r="R237" s="23"/>
      <c r="S237" s="24"/>
      <c r="T237" s="26"/>
      <c r="U237" s="15"/>
      <c r="V237" s="15"/>
      <c r="W237" s="15"/>
      <c r="X237" s="15"/>
      <c r="Y237" s="15"/>
      <c r="Z237" s="58"/>
      <c r="AA237" s="58"/>
      <c r="AB237" s="58"/>
      <c r="AC237" s="58"/>
      <c r="AD237" s="58"/>
      <c r="AE237" s="58"/>
      <c r="AF237" s="58"/>
    </row>
    <row r="238" spans="1:32" ht="9" customHeight="1">
      <c r="A238" s="15" t="s">
        <v>315</v>
      </c>
      <c r="B238" s="16" t="s">
        <v>62</v>
      </c>
      <c r="C238" s="15" t="s">
        <v>371</v>
      </c>
      <c r="D238" s="15">
        <v>159090</v>
      </c>
      <c r="E238" s="22">
        <v>8</v>
      </c>
      <c r="F238" s="23"/>
      <c r="G238" s="23"/>
      <c r="H238" s="23"/>
      <c r="I238" s="24"/>
      <c r="J238" s="24"/>
      <c r="K238" s="25">
        <v>63746</v>
      </c>
      <c r="L238" s="23">
        <v>65463</v>
      </c>
      <c r="M238" s="23">
        <v>50386</v>
      </c>
      <c r="N238" s="24">
        <v>61918</v>
      </c>
      <c r="O238" s="26">
        <f t="shared" si="12"/>
        <v>241513</v>
      </c>
      <c r="P238" s="25"/>
      <c r="Q238" s="23"/>
      <c r="R238" s="23"/>
      <c r="S238" s="24"/>
      <c r="T238" s="26"/>
      <c r="U238" s="15"/>
      <c r="V238" s="15"/>
      <c r="W238" s="15"/>
      <c r="X238" s="15"/>
      <c r="Y238" s="15"/>
      <c r="Z238" s="58"/>
      <c r="AA238" s="58"/>
      <c r="AB238" s="58"/>
      <c r="AC238" s="58"/>
      <c r="AD238" s="58"/>
      <c r="AE238" s="58"/>
      <c r="AF238" s="58"/>
    </row>
    <row r="239" spans="1:32" ht="9" customHeight="1">
      <c r="A239" s="15" t="s">
        <v>315</v>
      </c>
      <c r="B239" s="16" t="s">
        <v>62</v>
      </c>
      <c r="C239" s="15" t="s">
        <v>372</v>
      </c>
      <c r="D239" s="15">
        <v>159258</v>
      </c>
      <c r="E239" s="22">
        <v>8</v>
      </c>
      <c r="F239" s="23"/>
      <c r="G239" s="23"/>
      <c r="H239" s="23"/>
      <c r="I239" s="24"/>
      <c r="J239" s="24"/>
      <c r="K239" s="25">
        <v>64628</v>
      </c>
      <c r="L239" s="23">
        <v>64667</v>
      </c>
      <c r="M239" s="23">
        <v>22085</v>
      </c>
      <c r="N239" s="24">
        <v>66704</v>
      </c>
      <c r="O239" s="26">
        <f t="shared" si="12"/>
        <v>218084</v>
      </c>
      <c r="P239" s="25"/>
      <c r="Q239" s="23"/>
      <c r="R239" s="23"/>
      <c r="S239" s="24"/>
      <c r="T239" s="26"/>
      <c r="U239" s="15"/>
      <c r="V239" s="15"/>
      <c r="W239" s="15"/>
      <c r="X239" s="15"/>
      <c r="Y239" s="15"/>
      <c r="Z239" s="58"/>
      <c r="AA239" s="58"/>
      <c r="AB239" s="58"/>
      <c r="AC239" s="58"/>
      <c r="AD239" s="58"/>
      <c r="AE239" s="58"/>
      <c r="AF239" s="58"/>
    </row>
    <row r="240" spans="1:32" ht="9" customHeight="1">
      <c r="A240" s="15" t="s">
        <v>315</v>
      </c>
      <c r="B240" s="16" t="s">
        <v>62</v>
      </c>
      <c r="C240" s="15" t="s">
        <v>373</v>
      </c>
      <c r="D240" s="15">
        <v>160214</v>
      </c>
      <c r="E240" s="22">
        <v>8</v>
      </c>
      <c r="F240" s="23"/>
      <c r="G240" s="23"/>
      <c r="H240" s="23"/>
      <c r="I240" s="24"/>
      <c r="J240" s="24"/>
      <c r="K240" s="25">
        <v>128311</v>
      </c>
      <c r="L240" s="23">
        <v>141142</v>
      </c>
      <c r="M240" s="23">
        <v>115480</v>
      </c>
      <c r="N240" s="24">
        <v>118311</v>
      </c>
      <c r="O240" s="26">
        <f t="shared" si="12"/>
        <v>503244</v>
      </c>
      <c r="P240" s="25"/>
      <c r="Q240" s="23"/>
      <c r="R240" s="23"/>
      <c r="S240" s="24"/>
      <c r="T240" s="26"/>
      <c r="U240" s="15"/>
      <c r="V240" s="15"/>
      <c r="W240" s="15"/>
      <c r="X240" s="15"/>
      <c r="Y240" s="15"/>
      <c r="Z240" s="58"/>
      <c r="AA240" s="58"/>
      <c r="AB240" s="58"/>
      <c r="AC240" s="58"/>
      <c r="AD240" s="58"/>
      <c r="AE240" s="58"/>
      <c r="AF240" s="58"/>
    </row>
    <row r="241" spans="1:84" ht="9" customHeight="1">
      <c r="A241" s="15" t="s">
        <v>315</v>
      </c>
      <c r="B241" s="16" t="s">
        <v>62</v>
      </c>
      <c r="C241" s="15" t="s">
        <v>374</v>
      </c>
      <c r="D241" s="15">
        <v>159443</v>
      </c>
      <c r="E241" s="22">
        <v>8</v>
      </c>
      <c r="F241" s="23"/>
      <c r="G241" s="23"/>
      <c r="H241" s="23"/>
      <c r="I241" s="24"/>
      <c r="J241" s="24"/>
      <c r="K241" s="25">
        <v>139776</v>
      </c>
      <c r="L241" s="23">
        <v>154752</v>
      </c>
      <c r="M241" s="23">
        <v>172380</v>
      </c>
      <c r="N241" s="24">
        <v>196992</v>
      </c>
      <c r="O241" s="26">
        <f t="shared" si="12"/>
        <v>663900</v>
      </c>
      <c r="P241" s="25"/>
      <c r="Q241" s="23"/>
      <c r="R241" s="23"/>
      <c r="S241" s="24"/>
      <c r="T241" s="26"/>
      <c r="U241" s="15"/>
      <c r="V241" s="15"/>
      <c r="W241" s="15"/>
      <c r="X241" s="15"/>
      <c r="Y241" s="15"/>
      <c r="Z241" s="58"/>
      <c r="AA241" s="58"/>
      <c r="AB241" s="58"/>
      <c r="AC241" s="58"/>
      <c r="AD241" s="58"/>
      <c r="AE241" s="58"/>
      <c r="AF241" s="58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9" customHeight="1">
      <c r="A242" s="15" t="s">
        <v>315</v>
      </c>
      <c r="B242" s="16" t="s">
        <v>62</v>
      </c>
      <c r="C242" s="15" t="s">
        <v>375</v>
      </c>
      <c r="D242" s="15">
        <v>160843</v>
      </c>
      <c r="E242" s="22">
        <v>8</v>
      </c>
      <c r="F242" s="23"/>
      <c r="G242" s="23"/>
      <c r="H242" s="23"/>
      <c r="I242" s="24"/>
      <c r="J242" s="24"/>
      <c r="K242" s="25">
        <v>31874</v>
      </c>
      <c r="L242" s="23">
        <v>30339</v>
      </c>
      <c r="M242" s="23">
        <v>30338</v>
      </c>
      <c r="N242" s="24">
        <v>40068</v>
      </c>
      <c r="O242" s="26">
        <f t="shared" si="12"/>
        <v>132619</v>
      </c>
      <c r="P242" s="25"/>
      <c r="Q242" s="23"/>
      <c r="R242" s="23"/>
      <c r="S242" s="24"/>
      <c r="T242" s="26"/>
      <c r="U242" s="15"/>
      <c r="V242" s="15"/>
      <c r="W242" s="15"/>
      <c r="X242" s="15"/>
      <c r="Y242" s="15"/>
      <c r="Z242" s="58"/>
      <c r="AA242" s="58"/>
      <c r="AB242" s="58"/>
      <c r="AC242" s="58"/>
      <c r="AD242" s="58"/>
      <c r="AE242" s="58"/>
      <c r="AF242" s="58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9" customHeight="1">
      <c r="A243" s="15" t="s">
        <v>315</v>
      </c>
      <c r="B243" s="16" t="s">
        <v>62</v>
      </c>
      <c r="C243" s="15" t="s">
        <v>376</v>
      </c>
      <c r="D243" s="15">
        <v>159692</v>
      </c>
      <c r="E243" s="22">
        <v>8</v>
      </c>
      <c r="F243" s="23"/>
      <c r="G243" s="23"/>
      <c r="H243" s="23"/>
      <c r="I243" s="24"/>
      <c r="J243" s="24"/>
      <c r="K243" s="25">
        <v>48360</v>
      </c>
      <c r="L243" s="23">
        <v>54464</v>
      </c>
      <c r="M243" s="23">
        <v>57972</v>
      </c>
      <c r="N243" s="24">
        <v>55986</v>
      </c>
      <c r="O243" s="26">
        <f t="shared" si="12"/>
        <v>216782</v>
      </c>
      <c r="P243" s="25"/>
      <c r="Q243" s="23"/>
      <c r="R243" s="23"/>
      <c r="S243" s="24"/>
      <c r="T243" s="26"/>
      <c r="U243" s="15"/>
      <c r="V243" s="15"/>
      <c r="W243" s="15"/>
      <c r="X243" s="15"/>
      <c r="Y243" s="15"/>
      <c r="Z243" s="58"/>
      <c r="AA243" s="58"/>
      <c r="AB243" s="58"/>
      <c r="AC243" s="58"/>
      <c r="AD243" s="58"/>
      <c r="AE243" s="58"/>
      <c r="AF243" s="58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9" customHeight="1">
      <c r="A244" s="15" t="s">
        <v>315</v>
      </c>
      <c r="B244" s="16" t="s">
        <v>62</v>
      </c>
      <c r="C244" s="15" t="s">
        <v>377</v>
      </c>
      <c r="D244" s="15">
        <v>159823</v>
      </c>
      <c r="E244" s="22">
        <v>8</v>
      </c>
      <c r="F244" s="23"/>
      <c r="G244" s="23"/>
      <c r="H244" s="23"/>
      <c r="I244" s="24"/>
      <c r="J244" s="24"/>
      <c r="K244" s="25">
        <v>75360</v>
      </c>
      <c r="L244" s="23">
        <v>70164</v>
      </c>
      <c r="M244" s="23">
        <v>55211</v>
      </c>
      <c r="N244" s="24">
        <v>80234</v>
      </c>
      <c r="O244" s="26">
        <f t="shared" si="12"/>
        <v>280969</v>
      </c>
      <c r="P244" s="25"/>
      <c r="Q244" s="23"/>
      <c r="R244" s="23"/>
      <c r="S244" s="24"/>
      <c r="T244" s="26"/>
      <c r="U244" s="15"/>
      <c r="V244" s="15"/>
      <c r="W244" s="15"/>
      <c r="X244" s="15"/>
      <c r="Y244" s="15"/>
      <c r="Z244" s="58"/>
      <c r="AA244" s="58"/>
      <c r="AB244" s="58"/>
      <c r="AC244" s="58"/>
      <c r="AD244" s="58"/>
      <c r="AE244" s="58"/>
      <c r="AF244" s="58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9" customHeight="1">
      <c r="A245" s="15" t="s">
        <v>315</v>
      </c>
      <c r="B245" s="16" t="s">
        <v>62</v>
      </c>
      <c r="C245" s="15" t="s">
        <v>378</v>
      </c>
      <c r="D245" s="15">
        <v>159911</v>
      </c>
      <c r="E245" s="22">
        <v>8</v>
      </c>
      <c r="F245" s="23"/>
      <c r="G245" s="23"/>
      <c r="H245" s="23"/>
      <c r="I245" s="24"/>
      <c r="J245" s="24"/>
      <c r="K245" s="25">
        <v>47000</v>
      </c>
      <c r="L245" s="23">
        <v>47000</v>
      </c>
      <c r="M245" s="23">
        <v>44000</v>
      </c>
      <c r="N245" s="24">
        <v>47500</v>
      </c>
      <c r="O245" s="26">
        <f t="shared" si="12"/>
        <v>185500</v>
      </c>
      <c r="P245" s="25"/>
      <c r="Q245" s="23"/>
      <c r="R245" s="23"/>
      <c r="S245" s="24"/>
      <c r="T245" s="26"/>
      <c r="U245" s="15"/>
      <c r="V245" s="15"/>
      <c r="W245" s="15"/>
      <c r="X245" s="15"/>
      <c r="Y245" s="15"/>
      <c r="Z245" s="58"/>
      <c r="AA245" s="58"/>
      <c r="AB245" s="58"/>
      <c r="AC245" s="58"/>
      <c r="AD245" s="58"/>
      <c r="AE245" s="58"/>
      <c r="AF245" s="58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12.75">
      <c r="A246" s="15" t="s">
        <v>315</v>
      </c>
      <c r="B246" s="16" t="s">
        <v>62</v>
      </c>
      <c r="C246" s="15" t="s">
        <v>379</v>
      </c>
      <c r="D246" s="15">
        <v>159984</v>
      </c>
      <c r="E246" s="22">
        <v>8</v>
      </c>
      <c r="F246" s="23"/>
      <c r="G246" s="23"/>
      <c r="H246" s="23"/>
      <c r="I246" s="24"/>
      <c r="J246" s="24"/>
      <c r="K246" s="25">
        <v>20592</v>
      </c>
      <c r="L246" s="23">
        <v>21840</v>
      </c>
      <c r="M246" s="23">
        <v>17160</v>
      </c>
      <c r="N246" s="24">
        <v>21210</v>
      </c>
      <c r="O246" s="26">
        <f t="shared" si="12"/>
        <v>80802</v>
      </c>
      <c r="P246" s="25"/>
      <c r="Q246" s="23"/>
      <c r="R246" s="23"/>
      <c r="S246" s="24"/>
      <c r="T246" s="26"/>
      <c r="U246" s="15"/>
      <c r="V246" s="15"/>
      <c r="W246" s="15"/>
      <c r="X246" s="15"/>
      <c r="Y246" s="15"/>
      <c r="Z246" s="58"/>
      <c r="AA246" s="58"/>
      <c r="AB246" s="58"/>
      <c r="AC246" s="58"/>
      <c r="AD246" s="58"/>
      <c r="AE246" s="58"/>
      <c r="AF246" s="58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75">
      <c r="A247" s="15" t="s">
        <v>315</v>
      </c>
      <c r="B247" s="16" t="s">
        <v>62</v>
      </c>
      <c r="C247" s="15" t="s">
        <v>380</v>
      </c>
      <c r="D247" s="15">
        <v>160001</v>
      </c>
      <c r="E247" s="22">
        <v>8</v>
      </c>
      <c r="F247" s="23"/>
      <c r="G247" s="23"/>
      <c r="H247" s="23"/>
      <c r="I247" s="24"/>
      <c r="J247" s="24"/>
      <c r="K247" s="25">
        <v>19680</v>
      </c>
      <c r="L247" s="23">
        <v>20100</v>
      </c>
      <c r="M247" s="23">
        <v>18980</v>
      </c>
      <c r="N247" s="24">
        <v>20118</v>
      </c>
      <c r="O247" s="26">
        <f t="shared" si="12"/>
        <v>78878</v>
      </c>
      <c r="P247" s="25"/>
      <c r="Q247" s="23"/>
      <c r="R247" s="23"/>
      <c r="S247" s="24"/>
      <c r="T247" s="26"/>
      <c r="U247" s="15"/>
      <c r="V247" s="15"/>
      <c r="W247" s="15"/>
      <c r="X247" s="15"/>
      <c r="Y247" s="15"/>
      <c r="Z247" s="58"/>
      <c r="AA247" s="58"/>
      <c r="AB247" s="58"/>
      <c r="AC247" s="58"/>
      <c r="AD247" s="58"/>
      <c r="AE247" s="58"/>
      <c r="AF247" s="58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2.75">
      <c r="A248" s="15" t="s">
        <v>315</v>
      </c>
      <c r="B248" s="16" t="s">
        <v>62</v>
      </c>
      <c r="C248" s="15" t="s">
        <v>381</v>
      </c>
      <c r="D248" s="15">
        <v>160010</v>
      </c>
      <c r="E248" s="22">
        <v>8</v>
      </c>
      <c r="F248" s="23"/>
      <c r="G248" s="23"/>
      <c r="H248" s="23"/>
      <c r="I248" s="24"/>
      <c r="J248" s="24"/>
      <c r="K248" s="25">
        <v>66000</v>
      </c>
      <c r="L248" s="23">
        <v>63000</v>
      </c>
      <c r="M248" s="23">
        <v>61000</v>
      </c>
      <c r="N248" s="24">
        <v>67000</v>
      </c>
      <c r="O248" s="26">
        <f t="shared" si="12"/>
        <v>257000</v>
      </c>
      <c r="P248" s="25"/>
      <c r="Q248" s="23"/>
      <c r="R248" s="23"/>
      <c r="S248" s="24"/>
      <c r="T248" s="26"/>
      <c r="U248" s="15"/>
      <c r="V248" s="15"/>
      <c r="W248" s="15"/>
      <c r="X248" s="15"/>
      <c r="Y248" s="15"/>
      <c r="Z248" s="58"/>
      <c r="AA248" s="58"/>
      <c r="AB248" s="58"/>
      <c r="AC248" s="58"/>
      <c r="AD248" s="58"/>
      <c r="AE248" s="58"/>
      <c r="AF248" s="58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75">
      <c r="A249" s="15" t="s">
        <v>315</v>
      </c>
      <c r="B249" s="16" t="s">
        <v>62</v>
      </c>
      <c r="C249" s="15" t="s">
        <v>382</v>
      </c>
      <c r="D249" s="15">
        <v>160047</v>
      </c>
      <c r="E249" s="22">
        <v>8</v>
      </c>
      <c r="F249" s="23"/>
      <c r="G249" s="23"/>
      <c r="H249" s="23"/>
      <c r="I249" s="24"/>
      <c r="J249" s="24"/>
      <c r="K249" s="25">
        <v>40000</v>
      </c>
      <c r="L249" s="23">
        <v>42000</v>
      </c>
      <c r="M249" s="23">
        <v>42000</v>
      </c>
      <c r="N249" s="24">
        <v>44000</v>
      </c>
      <c r="O249" s="26">
        <f t="shared" si="12"/>
        <v>168000</v>
      </c>
      <c r="P249" s="25"/>
      <c r="Q249" s="23"/>
      <c r="R249" s="23"/>
      <c r="S249" s="24"/>
      <c r="T249" s="26"/>
      <c r="U249" s="15"/>
      <c r="V249" s="15"/>
      <c r="W249" s="15"/>
      <c r="X249" s="15"/>
      <c r="Y249" s="15"/>
      <c r="Z249" s="58"/>
      <c r="AA249" s="58"/>
      <c r="AB249" s="58"/>
      <c r="AC249" s="58"/>
      <c r="AD249" s="58"/>
      <c r="AE249" s="58"/>
      <c r="AF249" s="58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75">
      <c r="A250" s="15" t="s">
        <v>315</v>
      </c>
      <c r="B250" s="16" t="s">
        <v>62</v>
      </c>
      <c r="C250" s="15" t="s">
        <v>383</v>
      </c>
      <c r="D250" s="15">
        <v>160205</v>
      </c>
      <c r="E250" s="22">
        <v>8</v>
      </c>
      <c r="F250" s="23"/>
      <c r="G250" s="23"/>
      <c r="H250" s="23"/>
      <c r="I250" s="24"/>
      <c r="J250" s="24"/>
      <c r="K250" s="25">
        <v>0</v>
      </c>
      <c r="L250" s="23">
        <v>0</v>
      </c>
      <c r="M250" s="23">
        <v>0</v>
      </c>
      <c r="N250" s="24">
        <v>0</v>
      </c>
      <c r="O250" s="26">
        <f t="shared" si="12"/>
        <v>0</v>
      </c>
      <c r="P250" s="25"/>
      <c r="Q250" s="23"/>
      <c r="R250" s="23"/>
      <c r="S250" s="24"/>
      <c r="T250" s="26"/>
      <c r="U250" s="15"/>
      <c r="V250" s="15"/>
      <c r="W250" s="15"/>
      <c r="X250" s="15"/>
      <c r="Y250" s="15"/>
      <c r="Z250" s="58"/>
      <c r="AA250" s="58"/>
      <c r="AB250" s="58"/>
      <c r="AC250" s="58"/>
      <c r="AD250" s="58"/>
      <c r="AE250" s="58"/>
      <c r="AF250" s="58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75">
      <c r="A251" s="15" t="s">
        <v>315</v>
      </c>
      <c r="B251" s="16" t="s">
        <v>62</v>
      </c>
      <c r="C251" s="15" t="s">
        <v>384</v>
      </c>
      <c r="D251" s="15">
        <v>160311</v>
      </c>
      <c r="E251" s="22">
        <v>8</v>
      </c>
      <c r="F251" s="23"/>
      <c r="G251" s="23"/>
      <c r="H251" s="23"/>
      <c r="I251" s="24"/>
      <c r="J251" s="24"/>
      <c r="K251" s="25">
        <v>63342</v>
      </c>
      <c r="L251" s="23">
        <v>69676</v>
      </c>
      <c r="M251" s="23">
        <v>76644</v>
      </c>
      <c r="N251" s="24">
        <v>84308</v>
      </c>
      <c r="O251" s="26">
        <f t="shared" si="12"/>
        <v>293970</v>
      </c>
      <c r="P251" s="25"/>
      <c r="Q251" s="23"/>
      <c r="R251" s="23"/>
      <c r="S251" s="24"/>
      <c r="T251" s="26"/>
      <c r="U251" s="15"/>
      <c r="V251" s="15"/>
      <c r="W251" s="15"/>
      <c r="X251" s="15"/>
      <c r="Y251" s="15"/>
      <c r="Z251" s="58"/>
      <c r="AA251" s="58"/>
      <c r="AB251" s="58"/>
      <c r="AC251" s="58"/>
      <c r="AD251" s="58"/>
      <c r="AE251" s="58"/>
      <c r="AF251" s="58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75">
      <c r="A252" s="15" t="s">
        <v>315</v>
      </c>
      <c r="B252" s="16" t="s">
        <v>62</v>
      </c>
      <c r="C252" s="15" t="s">
        <v>385</v>
      </c>
      <c r="D252" s="15">
        <v>160366</v>
      </c>
      <c r="E252" s="22">
        <v>8</v>
      </c>
      <c r="F252" s="23"/>
      <c r="G252" s="23"/>
      <c r="H252" s="23"/>
      <c r="I252" s="24"/>
      <c r="J252" s="24"/>
      <c r="K252" s="25">
        <v>40800</v>
      </c>
      <c r="L252" s="23">
        <v>38400</v>
      </c>
      <c r="M252" s="23">
        <v>31082</v>
      </c>
      <c r="N252" s="24">
        <v>55141</v>
      </c>
      <c r="O252" s="26">
        <f t="shared" si="12"/>
        <v>165423</v>
      </c>
      <c r="P252" s="25"/>
      <c r="Q252" s="23"/>
      <c r="R252" s="23"/>
      <c r="S252" s="24"/>
      <c r="T252" s="26"/>
      <c r="U252" s="15"/>
      <c r="V252" s="15"/>
      <c r="W252" s="15"/>
      <c r="X252" s="15"/>
      <c r="Y252" s="15"/>
      <c r="Z252" s="58"/>
      <c r="AA252" s="58"/>
      <c r="AB252" s="58"/>
      <c r="AC252" s="58"/>
      <c r="AD252" s="58"/>
      <c r="AE252" s="58"/>
      <c r="AF252" s="58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75">
      <c r="A253" s="15" t="s">
        <v>315</v>
      </c>
      <c r="B253" s="16" t="s">
        <v>62</v>
      </c>
      <c r="C253" s="15" t="s">
        <v>386</v>
      </c>
      <c r="D253" s="15">
        <v>160384</v>
      </c>
      <c r="E253" s="22">
        <v>8</v>
      </c>
      <c r="F253" s="23"/>
      <c r="G253" s="23"/>
      <c r="H253" s="23"/>
      <c r="I253" s="24"/>
      <c r="J253" s="24"/>
      <c r="K253" s="25">
        <v>23000</v>
      </c>
      <c r="L253" s="23">
        <v>23000</v>
      </c>
      <c r="M253" s="23">
        <v>23000</v>
      </c>
      <c r="N253" s="24">
        <v>23000</v>
      </c>
      <c r="O253" s="26">
        <f t="shared" si="12"/>
        <v>92000</v>
      </c>
      <c r="P253" s="25"/>
      <c r="Q253" s="23"/>
      <c r="R253" s="23"/>
      <c r="S253" s="24"/>
      <c r="T253" s="26"/>
      <c r="U253" s="15"/>
      <c r="V253" s="15"/>
      <c r="W253" s="15"/>
      <c r="X253" s="15"/>
      <c r="Y253" s="15"/>
      <c r="Z253" s="58"/>
      <c r="AA253" s="58"/>
      <c r="AB253" s="58"/>
      <c r="AC253" s="58"/>
      <c r="AD253" s="58"/>
      <c r="AE253" s="58"/>
      <c r="AF253" s="58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75">
      <c r="A254" s="15" t="s">
        <v>315</v>
      </c>
      <c r="B254" s="16" t="s">
        <v>62</v>
      </c>
      <c r="C254" s="15" t="s">
        <v>387</v>
      </c>
      <c r="D254" s="15">
        <v>160427</v>
      </c>
      <c r="E254" s="22">
        <v>8</v>
      </c>
      <c r="F254" s="23"/>
      <c r="G254" s="23"/>
      <c r="H254" s="23"/>
      <c r="I254" s="24"/>
      <c r="J254" s="24"/>
      <c r="K254" s="25">
        <v>140000</v>
      </c>
      <c r="L254" s="23">
        <v>140000</v>
      </c>
      <c r="M254" s="23">
        <v>125000</v>
      </c>
      <c r="N254" s="24">
        <v>130885</v>
      </c>
      <c r="O254" s="26">
        <f t="shared" si="12"/>
        <v>535885</v>
      </c>
      <c r="P254" s="25"/>
      <c r="Q254" s="23"/>
      <c r="R254" s="23"/>
      <c r="S254" s="24"/>
      <c r="T254" s="26"/>
      <c r="U254" s="15"/>
      <c r="V254" s="15"/>
      <c r="W254" s="15"/>
      <c r="X254" s="15"/>
      <c r="Y254" s="15"/>
      <c r="Z254" s="58"/>
      <c r="AA254" s="58"/>
      <c r="AB254" s="58"/>
      <c r="AC254" s="58"/>
      <c r="AD254" s="58"/>
      <c r="AE254" s="58"/>
      <c r="AF254" s="58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75">
      <c r="A255" s="15" t="s">
        <v>315</v>
      </c>
      <c r="B255" s="16" t="s">
        <v>62</v>
      </c>
      <c r="C255" s="15" t="s">
        <v>388</v>
      </c>
      <c r="D255" s="15">
        <v>160436</v>
      </c>
      <c r="E255" s="22">
        <v>8</v>
      </c>
      <c r="F255" s="23"/>
      <c r="G255" s="23"/>
      <c r="H255" s="23"/>
      <c r="I255" s="24"/>
      <c r="J255" s="24"/>
      <c r="K255" s="25">
        <v>306</v>
      </c>
      <c r="L255" s="23">
        <v>312</v>
      </c>
      <c r="M255" s="23">
        <v>306</v>
      </c>
      <c r="N255" s="24">
        <v>324</v>
      </c>
      <c r="O255" s="26">
        <f t="shared" si="12"/>
        <v>1248</v>
      </c>
      <c r="P255" s="25"/>
      <c r="Q255" s="23"/>
      <c r="R255" s="23"/>
      <c r="S255" s="24"/>
      <c r="T255" s="26"/>
      <c r="U255" s="15"/>
      <c r="V255" s="15"/>
      <c r="W255" s="15"/>
      <c r="X255" s="15"/>
      <c r="Y255" s="15"/>
      <c r="Z255" s="58"/>
      <c r="AA255" s="58"/>
      <c r="AB255" s="58"/>
      <c r="AC255" s="58"/>
      <c r="AD255" s="58"/>
      <c r="AE255" s="58"/>
      <c r="AF255" s="58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75">
      <c r="A256" s="15" t="s">
        <v>315</v>
      </c>
      <c r="B256" s="16" t="s">
        <v>62</v>
      </c>
      <c r="C256" s="15" t="s">
        <v>389</v>
      </c>
      <c r="D256" s="15">
        <v>160454</v>
      </c>
      <c r="E256" s="22">
        <v>8</v>
      </c>
      <c r="F256" s="23"/>
      <c r="G256" s="23"/>
      <c r="H256" s="23"/>
      <c r="I256" s="24"/>
      <c r="J256" s="24"/>
      <c r="K256" s="25">
        <v>48494</v>
      </c>
      <c r="L256" s="23">
        <v>48500</v>
      </c>
      <c r="M256" s="23">
        <v>44000</v>
      </c>
      <c r="N256" s="24">
        <v>46022</v>
      </c>
      <c r="O256" s="26">
        <f t="shared" si="12"/>
        <v>187016</v>
      </c>
      <c r="P256" s="25"/>
      <c r="Q256" s="23"/>
      <c r="R256" s="23"/>
      <c r="S256" s="24"/>
      <c r="T256" s="26"/>
      <c r="U256" s="15"/>
      <c r="V256" s="15"/>
      <c r="W256" s="15"/>
      <c r="X256" s="15"/>
      <c r="Y256" s="15"/>
      <c r="Z256" s="58"/>
      <c r="AA256" s="58"/>
      <c r="AB256" s="58"/>
      <c r="AC256" s="58"/>
      <c r="AD256" s="58"/>
      <c r="AE256" s="58"/>
      <c r="AF256" s="58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75">
      <c r="A257" s="15" t="s">
        <v>315</v>
      </c>
      <c r="B257" s="16" t="s">
        <v>62</v>
      </c>
      <c r="C257" s="15" t="s">
        <v>390</v>
      </c>
      <c r="D257" s="15">
        <v>160481</v>
      </c>
      <c r="E257" s="22">
        <v>8</v>
      </c>
      <c r="F257" s="23"/>
      <c r="G257" s="23"/>
      <c r="H257" s="23"/>
      <c r="I257" s="24"/>
      <c r="J257" s="24"/>
      <c r="K257" s="25">
        <v>59002</v>
      </c>
      <c r="L257" s="23">
        <v>67852</v>
      </c>
      <c r="M257" s="23">
        <v>71244</v>
      </c>
      <c r="N257" s="24">
        <v>73025</v>
      </c>
      <c r="O257" s="26">
        <f t="shared" si="12"/>
        <v>271123</v>
      </c>
      <c r="P257" s="25"/>
      <c r="Q257" s="23"/>
      <c r="R257" s="23"/>
      <c r="S257" s="24"/>
      <c r="T257" s="26"/>
      <c r="U257" s="15"/>
      <c r="V257" s="15"/>
      <c r="W257" s="15"/>
      <c r="X257" s="15"/>
      <c r="Y257" s="15"/>
      <c r="Z257" s="58"/>
      <c r="AA257" s="58"/>
      <c r="AB257" s="58"/>
      <c r="AC257" s="58"/>
      <c r="AD257" s="58"/>
      <c r="AE257" s="58"/>
      <c r="AF257" s="58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75">
      <c r="A258" s="15" t="s">
        <v>315</v>
      </c>
      <c r="B258" s="16" t="s">
        <v>62</v>
      </c>
      <c r="C258" s="15" t="s">
        <v>391</v>
      </c>
      <c r="D258" s="15">
        <v>160579</v>
      </c>
      <c r="E258" s="22">
        <v>8</v>
      </c>
      <c r="F258" s="23"/>
      <c r="G258" s="23"/>
      <c r="H258" s="23"/>
      <c r="I258" s="24"/>
      <c r="J258" s="24"/>
      <c r="K258" s="25">
        <v>92677</v>
      </c>
      <c r="L258" s="23">
        <v>100739</v>
      </c>
      <c r="M258" s="23">
        <v>100530</v>
      </c>
      <c r="N258" s="24">
        <v>101064</v>
      </c>
      <c r="O258" s="26">
        <f t="shared" si="12"/>
        <v>395010</v>
      </c>
      <c r="P258" s="25"/>
      <c r="Q258" s="23"/>
      <c r="R258" s="23"/>
      <c r="S258" s="24"/>
      <c r="T258" s="26"/>
      <c r="U258" s="15"/>
      <c r="V258" s="15"/>
      <c r="W258" s="15"/>
      <c r="X258" s="15"/>
      <c r="Y258" s="15"/>
      <c r="Z258" s="58"/>
      <c r="AA258" s="58"/>
      <c r="AB258" s="58"/>
      <c r="AC258" s="58"/>
      <c r="AD258" s="58"/>
      <c r="AE258" s="58"/>
      <c r="AF258" s="58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75">
      <c r="A259" s="15" t="s">
        <v>315</v>
      </c>
      <c r="B259" s="16" t="s">
        <v>62</v>
      </c>
      <c r="C259" s="15" t="s">
        <v>392</v>
      </c>
      <c r="D259" s="15">
        <v>160667</v>
      </c>
      <c r="E259" s="22">
        <v>8</v>
      </c>
      <c r="F259" s="23"/>
      <c r="G259" s="23"/>
      <c r="H259" s="23"/>
      <c r="I259" s="24"/>
      <c r="J259" s="24"/>
      <c r="K259" s="25">
        <v>59582</v>
      </c>
      <c r="L259" s="23">
        <v>59550</v>
      </c>
      <c r="M259" s="23">
        <v>59480</v>
      </c>
      <c r="N259" s="24">
        <v>80920</v>
      </c>
      <c r="O259" s="26">
        <f t="shared" si="12"/>
        <v>259532</v>
      </c>
      <c r="P259" s="25"/>
      <c r="Q259" s="23"/>
      <c r="R259" s="23"/>
      <c r="S259" s="24"/>
      <c r="T259" s="26"/>
      <c r="U259" s="15"/>
      <c r="V259" s="15"/>
      <c r="W259" s="15"/>
      <c r="X259" s="15"/>
      <c r="Y259" s="15"/>
      <c r="Z259" s="58"/>
      <c r="AA259" s="58"/>
      <c r="AB259" s="58"/>
      <c r="AC259" s="58"/>
      <c r="AD259" s="58"/>
      <c r="AE259" s="58"/>
      <c r="AF259" s="58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2.75">
      <c r="A260" s="15" t="s">
        <v>315</v>
      </c>
      <c r="B260" s="16" t="s">
        <v>62</v>
      </c>
      <c r="C260" s="15" t="s">
        <v>393</v>
      </c>
      <c r="D260" s="15">
        <v>160685</v>
      </c>
      <c r="E260" s="22">
        <v>8</v>
      </c>
      <c r="F260" s="23"/>
      <c r="G260" s="23"/>
      <c r="H260" s="23"/>
      <c r="I260" s="24"/>
      <c r="J260" s="24"/>
      <c r="K260" s="25">
        <v>53000</v>
      </c>
      <c r="L260" s="23">
        <v>52000</v>
      </c>
      <c r="M260" s="23">
        <v>49000</v>
      </c>
      <c r="N260" s="24">
        <v>56000</v>
      </c>
      <c r="O260" s="26">
        <f t="shared" si="12"/>
        <v>210000</v>
      </c>
      <c r="P260" s="25"/>
      <c r="Q260" s="23"/>
      <c r="R260" s="23"/>
      <c r="S260" s="24"/>
      <c r="T260" s="26"/>
      <c r="U260" s="15"/>
      <c r="V260" s="15"/>
      <c r="W260" s="15"/>
      <c r="X260" s="15"/>
      <c r="Y260" s="15"/>
      <c r="Z260" s="58"/>
      <c r="AA260" s="58"/>
      <c r="AB260" s="58"/>
      <c r="AC260" s="58"/>
      <c r="AD260" s="58"/>
      <c r="AE260" s="58"/>
      <c r="AF260" s="58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75">
      <c r="A261" s="15" t="s">
        <v>315</v>
      </c>
      <c r="B261" s="16" t="s">
        <v>62</v>
      </c>
      <c r="C261" s="15" t="s">
        <v>394</v>
      </c>
      <c r="D261" s="15">
        <v>160694</v>
      </c>
      <c r="E261" s="22">
        <v>8</v>
      </c>
      <c r="F261" s="23"/>
      <c r="G261" s="23"/>
      <c r="H261" s="23"/>
      <c r="I261" s="24"/>
      <c r="J261" s="24"/>
      <c r="K261" s="25">
        <v>74376</v>
      </c>
      <c r="L261" s="23">
        <v>91873</v>
      </c>
      <c r="M261" s="23">
        <v>75574</v>
      </c>
      <c r="N261" s="24">
        <v>93778</v>
      </c>
      <c r="O261" s="26">
        <f t="shared" si="12"/>
        <v>335601</v>
      </c>
      <c r="P261" s="25"/>
      <c r="Q261" s="23"/>
      <c r="R261" s="23"/>
      <c r="S261" s="24"/>
      <c r="T261" s="26"/>
      <c r="U261" s="15"/>
      <c r="V261" s="15"/>
      <c r="W261" s="15"/>
      <c r="X261" s="15"/>
      <c r="Y261" s="15"/>
      <c r="Z261" s="58"/>
      <c r="AA261" s="58"/>
      <c r="AB261" s="58"/>
      <c r="AC261" s="58"/>
      <c r="AD261" s="58"/>
      <c r="AE261" s="58"/>
      <c r="AF261" s="58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75">
      <c r="A262" s="15" t="s">
        <v>315</v>
      </c>
      <c r="B262" s="16" t="s">
        <v>62</v>
      </c>
      <c r="C262" s="15" t="s">
        <v>395</v>
      </c>
      <c r="D262" s="15">
        <v>160719</v>
      </c>
      <c r="E262" s="22">
        <v>8</v>
      </c>
      <c r="F262" s="23"/>
      <c r="G262" s="23"/>
      <c r="H262" s="23"/>
      <c r="I262" s="24"/>
      <c r="J262" s="24"/>
      <c r="K262" s="25">
        <v>22575</v>
      </c>
      <c r="L262" s="23">
        <v>27268</v>
      </c>
      <c r="M262" s="23">
        <v>22941</v>
      </c>
      <c r="N262" s="24">
        <v>34638</v>
      </c>
      <c r="O262" s="26">
        <f t="shared" si="12"/>
        <v>107422</v>
      </c>
      <c r="P262" s="25"/>
      <c r="Q262" s="23"/>
      <c r="R262" s="23"/>
      <c r="S262" s="24"/>
      <c r="T262" s="26"/>
      <c r="U262" s="15"/>
      <c r="V262" s="15"/>
      <c r="W262" s="15"/>
      <c r="X262" s="15"/>
      <c r="Y262" s="15"/>
      <c r="Z262" s="58"/>
      <c r="AA262" s="58"/>
      <c r="AB262" s="58"/>
      <c r="AC262" s="58"/>
      <c r="AD262" s="58"/>
      <c r="AE262" s="58"/>
      <c r="AF262" s="58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75">
      <c r="A263" s="15" t="s">
        <v>315</v>
      </c>
      <c r="B263" s="16" t="s">
        <v>62</v>
      </c>
      <c r="C263" s="15" t="s">
        <v>396</v>
      </c>
      <c r="D263" s="15">
        <v>160676</v>
      </c>
      <c r="E263" s="22">
        <v>8</v>
      </c>
      <c r="F263" s="23"/>
      <c r="G263" s="23"/>
      <c r="H263" s="23"/>
      <c r="I263" s="24"/>
      <c r="J263" s="24"/>
      <c r="K263" s="25">
        <v>118288</v>
      </c>
      <c r="L263" s="23">
        <v>121836</v>
      </c>
      <c r="M263" s="23">
        <v>115840</v>
      </c>
      <c r="N263" s="24">
        <v>125491</v>
      </c>
      <c r="O263" s="26">
        <f t="shared" si="12"/>
        <v>481455</v>
      </c>
      <c r="P263" s="25"/>
      <c r="Q263" s="23"/>
      <c r="R263" s="23"/>
      <c r="S263" s="24"/>
      <c r="T263" s="26"/>
      <c r="U263" s="15"/>
      <c r="V263" s="15"/>
      <c r="W263" s="15"/>
      <c r="X263" s="15"/>
      <c r="Y263" s="15"/>
      <c r="Z263" s="58"/>
      <c r="AA263" s="58"/>
      <c r="AB263" s="58"/>
      <c r="AC263" s="58"/>
      <c r="AD263" s="58"/>
      <c r="AE263" s="58"/>
      <c r="AF263" s="58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75">
      <c r="A264" s="15" t="s">
        <v>315</v>
      </c>
      <c r="B264" s="16" t="s">
        <v>62</v>
      </c>
      <c r="C264" s="15" t="s">
        <v>397</v>
      </c>
      <c r="D264" s="15">
        <v>159267</v>
      </c>
      <c r="E264" s="22">
        <v>8</v>
      </c>
      <c r="F264" s="23"/>
      <c r="G264" s="23"/>
      <c r="H264" s="23"/>
      <c r="I264" s="24"/>
      <c r="J264" s="24"/>
      <c r="K264" s="25">
        <v>63001</v>
      </c>
      <c r="L264" s="23">
        <v>65000</v>
      </c>
      <c r="M264" s="23">
        <v>67000</v>
      </c>
      <c r="N264" s="24">
        <v>69000</v>
      </c>
      <c r="O264" s="26">
        <f t="shared" si="12"/>
        <v>264001</v>
      </c>
      <c r="P264" s="25"/>
      <c r="Q264" s="23"/>
      <c r="R264" s="23"/>
      <c r="S264" s="24"/>
      <c r="T264" s="26"/>
      <c r="U264" s="15"/>
      <c r="V264" s="15"/>
      <c r="W264" s="15"/>
      <c r="X264" s="15"/>
      <c r="Y264" s="15"/>
      <c r="Z264" s="58"/>
      <c r="AA264" s="58"/>
      <c r="AB264" s="58"/>
      <c r="AC264" s="58"/>
      <c r="AD264" s="58"/>
      <c r="AE264" s="58"/>
      <c r="AF264" s="58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2.75">
      <c r="A265" s="15" t="s">
        <v>315</v>
      </c>
      <c r="B265" s="16" t="s">
        <v>62</v>
      </c>
      <c r="C265" s="15" t="s">
        <v>398</v>
      </c>
      <c r="D265" s="15">
        <v>160870</v>
      </c>
      <c r="E265" s="22">
        <v>8</v>
      </c>
      <c r="F265" s="23"/>
      <c r="G265" s="23"/>
      <c r="H265" s="23"/>
      <c r="I265" s="24"/>
      <c r="J265" s="24"/>
      <c r="K265" s="25">
        <v>131547</v>
      </c>
      <c r="L265" s="23">
        <v>150267</v>
      </c>
      <c r="M265" s="23">
        <v>148796</v>
      </c>
      <c r="N265" s="24">
        <v>151412</v>
      </c>
      <c r="O265" s="26">
        <f t="shared" si="12"/>
        <v>582022</v>
      </c>
      <c r="P265" s="25"/>
      <c r="Q265" s="23"/>
      <c r="R265" s="23"/>
      <c r="S265" s="24"/>
      <c r="T265" s="26"/>
      <c r="U265" s="15"/>
      <c r="V265" s="15"/>
      <c r="W265" s="15"/>
      <c r="X265" s="15"/>
      <c r="Y265" s="15"/>
      <c r="Z265" s="58"/>
      <c r="AA265" s="58"/>
      <c r="AB265" s="58"/>
      <c r="AC265" s="58"/>
      <c r="AD265" s="58"/>
      <c r="AE265" s="58"/>
      <c r="AF265" s="58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75">
      <c r="A266" s="15" t="s">
        <v>315</v>
      </c>
      <c r="B266" s="16" t="s">
        <v>62</v>
      </c>
      <c r="C266" s="15" t="s">
        <v>399</v>
      </c>
      <c r="D266" s="15">
        <v>160913</v>
      </c>
      <c r="E266" s="22">
        <v>8</v>
      </c>
      <c r="F266" s="23"/>
      <c r="G266" s="23"/>
      <c r="H266" s="23"/>
      <c r="I266" s="24"/>
      <c r="J266" s="24"/>
      <c r="K266" s="25">
        <v>54070</v>
      </c>
      <c r="L266" s="23">
        <v>46863</v>
      </c>
      <c r="M266" s="23">
        <v>55000</v>
      </c>
      <c r="N266" s="24">
        <v>44500</v>
      </c>
      <c r="O266" s="26">
        <f t="shared" si="12"/>
        <v>200433</v>
      </c>
      <c r="P266" s="25"/>
      <c r="Q266" s="23"/>
      <c r="R266" s="23"/>
      <c r="S266" s="24"/>
      <c r="T266" s="26"/>
      <c r="U266" s="15"/>
      <c r="V266" s="15"/>
      <c r="W266" s="15"/>
      <c r="X266" s="15"/>
      <c r="Y266" s="15"/>
      <c r="Z266" s="58"/>
      <c r="AA266" s="58"/>
      <c r="AB266" s="58"/>
      <c r="AC266" s="58"/>
      <c r="AD266" s="58"/>
      <c r="AE266" s="58"/>
      <c r="AF266" s="58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75">
      <c r="A267" s="15" t="s">
        <v>315</v>
      </c>
      <c r="B267" s="16" t="s">
        <v>62</v>
      </c>
      <c r="C267" s="15" t="s">
        <v>400</v>
      </c>
      <c r="D267" s="15">
        <v>159045</v>
      </c>
      <c r="E267" s="22">
        <v>8</v>
      </c>
      <c r="F267" s="23"/>
      <c r="G267" s="23"/>
      <c r="H267" s="23"/>
      <c r="I267" s="24"/>
      <c r="J267" s="24"/>
      <c r="K267" s="25">
        <v>548880</v>
      </c>
      <c r="L267" s="23">
        <v>60376</v>
      </c>
      <c r="M267" s="23">
        <v>66413</v>
      </c>
      <c r="N267" s="24">
        <v>49896</v>
      </c>
      <c r="O267" s="26">
        <f t="shared" si="12"/>
        <v>725565</v>
      </c>
      <c r="P267" s="25"/>
      <c r="Q267" s="23"/>
      <c r="R267" s="23"/>
      <c r="S267" s="24"/>
      <c r="T267" s="26"/>
      <c r="U267" s="15"/>
      <c r="V267" s="15"/>
      <c r="W267" s="15"/>
      <c r="X267" s="15"/>
      <c r="Y267" s="15"/>
      <c r="Z267" s="58"/>
      <c r="AA267" s="58"/>
      <c r="AB267" s="58"/>
      <c r="AC267" s="58"/>
      <c r="AD267" s="58"/>
      <c r="AE267" s="58"/>
      <c r="AF267" s="58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75">
      <c r="A268" s="15" t="s">
        <v>315</v>
      </c>
      <c r="B268" s="16" t="s">
        <v>62</v>
      </c>
      <c r="C268" s="15" t="s">
        <v>401</v>
      </c>
      <c r="D268" s="15">
        <v>159249</v>
      </c>
      <c r="E268" s="22">
        <v>8</v>
      </c>
      <c r="F268" s="23"/>
      <c r="G268" s="23"/>
      <c r="H268" s="23"/>
      <c r="I268" s="24"/>
      <c r="J268" s="24"/>
      <c r="K268" s="25">
        <v>16211</v>
      </c>
      <c r="L268" s="23">
        <v>16454</v>
      </c>
      <c r="M268" s="23">
        <v>16700</v>
      </c>
      <c r="N268" s="24">
        <v>16951</v>
      </c>
      <c r="O268" s="26">
        <f t="shared" si="12"/>
        <v>66316</v>
      </c>
      <c r="P268" s="25"/>
      <c r="Q268" s="23"/>
      <c r="R268" s="23"/>
      <c r="S268" s="24"/>
      <c r="T268" s="26"/>
      <c r="U268" s="15"/>
      <c r="V268" s="15"/>
      <c r="W268" s="15"/>
      <c r="X268" s="15"/>
      <c r="Y268" s="15"/>
      <c r="Z268" s="58"/>
      <c r="AA268" s="58"/>
      <c r="AB268" s="58"/>
      <c r="AC268" s="58"/>
      <c r="AD268" s="58"/>
      <c r="AE268" s="58"/>
      <c r="AF268" s="58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75">
      <c r="A269" s="15" t="s">
        <v>402</v>
      </c>
      <c r="B269" s="16" t="s">
        <v>62</v>
      </c>
      <c r="C269" s="66" t="s">
        <v>403</v>
      </c>
      <c r="D269" s="66">
        <v>163286</v>
      </c>
      <c r="E269" s="67">
        <v>1</v>
      </c>
      <c r="F269" s="66">
        <v>0</v>
      </c>
      <c r="G269" s="66">
        <v>305845</v>
      </c>
      <c r="H269" s="66">
        <v>49939</v>
      </c>
      <c r="I269" s="68">
        <v>331296</v>
      </c>
      <c r="J269" s="69">
        <v>687080</v>
      </c>
      <c r="K269" s="70"/>
      <c r="L269" s="66"/>
      <c r="M269" s="66"/>
      <c r="N269" s="68"/>
      <c r="O269" s="69"/>
      <c r="P269" s="70">
        <v>0</v>
      </c>
      <c r="Q269" s="71">
        <v>41229</v>
      </c>
      <c r="R269" s="71">
        <v>7958</v>
      </c>
      <c r="S269" s="72">
        <v>44978</v>
      </c>
      <c r="T269" s="73">
        <v>94165</v>
      </c>
      <c r="U269" s="15"/>
      <c r="V269" s="15"/>
      <c r="W269" s="15"/>
      <c r="X269" s="15"/>
      <c r="Y269" s="15"/>
      <c r="Z269" s="58"/>
      <c r="AA269" s="58"/>
      <c r="AB269" s="58"/>
      <c r="AC269" s="58"/>
      <c r="AD269" s="58"/>
      <c r="AE269" s="58"/>
      <c r="AF269" s="58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75">
      <c r="A270" s="15" t="s">
        <v>402</v>
      </c>
      <c r="B270" s="16" t="s">
        <v>62</v>
      </c>
      <c r="C270" s="66" t="s">
        <v>404</v>
      </c>
      <c r="D270" s="66">
        <v>163268</v>
      </c>
      <c r="E270" s="67">
        <v>2</v>
      </c>
      <c r="F270" s="71">
        <v>4060</v>
      </c>
      <c r="G270" s="71">
        <v>100809</v>
      </c>
      <c r="H270" s="71">
        <v>14161</v>
      </c>
      <c r="I270" s="74">
        <v>104506</v>
      </c>
      <c r="J270" s="68">
        <v>223536</v>
      </c>
      <c r="K270" s="75"/>
      <c r="L270" s="71"/>
      <c r="M270" s="71"/>
      <c r="N270" s="72"/>
      <c r="O270" s="76"/>
      <c r="P270" s="75">
        <v>108</v>
      </c>
      <c r="Q270" s="71">
        <v>7494</v>
      </c>
      <c r="R270" s="71">
        <v>1552</v>
      </c>
      <c r="S270" s="72">
        <v>7407</v>
      </c>
      <c r="T270" s="77">
        <v>16561</v>
      </c>
      <c r="U270" s="15"/>
      <c r="V270" s="15"/>
      <c r="W270" s="15"/>
      <c r="X270" s="15"/>
      <c r="Y270" s="15"/>
      <c r="Z270" s="58"/>
      <c r="AA270" s="58"/>
      <c r="AB270" s="58"/>
      <c r="AC270" s="58"/>
      <c r="AD270" s="58"/>
      <c r="AE270" s="58"/>
      <c r="AF270" s="58"/>
      <c r="AG270" s="2"/>
      <c r="AH270" s="20"/>
      <c r="AI270" s="20"/>
      <c r="AJ270" s="20"/>
      <c r="AK270" s="20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75">
      <c r="A271" s="15" t="s">
        <v>402</v>
      </c>
      <c r="B271" s="16" t="s">
        <v>62</v>
      </c>
      <c r="C271" s="66" t="s">
        <v>405</v>
      </c>
      <c r="D271" s="66">
        <v>162007</v>
      </c>
      <c r="E271" s="67">
        <v>4</v>
      </c>
      <c r="F271" s="71">
        <v>534</v>
      </c>
      <c r="G271" s="71">
        <v>37336</v>
      </c>
      <c r="H271" s="71">
        <v>3628</v>
      </c>
      <c r="I271" s="74">
        <v>37295</v>
      </c>
      <c r="J271" s="68">
        <v>78793</v>
      </c>
      <c r="K271" s="75"/>
      <c r="L271" s="71"/>
      <c r="M271" s="71"/>
      <c r="N271" s="72"/>
      <c r="O271" s="76"/>
      <c r="P271" s="75">
        <v>465</v>
      </c>
      <c r="Q271" s="71">
        <v>9630</v>
      </c>
      <c r="R271" s="71">
        <v>4105</v>
      </c>
      <c r="S271" s="72">
        <v>10479</v>
      </c>
      <c r="T271" s="77">
        <v>24679</v>
      </c>
      <c r="U271" s="15"/>
      <c r="V271" s="15"/>
      <c r="W271" s="15"/>
      <c r="X271" s="15"/>
      <c r="Y271" s="15"/>
      <c r="Z271" s="58"/>
      <c r="AA271" s="58"/>
      <c r="AB271" s="58"/>
      <c r="AC271" s="58"/>
      <c r="AD271" s="58"/>
      <c r="AE271" s="58"/>
      <c r="AF271" s="58"/>
      <c r="AG271" s="2"/>
      <c r="AH271" s="20"/>
      <c r="AI271" s="20"/>
      <c r="AJ271" s="20"/>
      <c r="AK271" s="20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75">
      <c r="A272" s="15" t="s">
        <v>402</v>
      </c>
      <c r="B272" s="16" t="s">
        <v>62</v>
      </c>
      <c r="C272" s="66" t="s">
        <v>406</v>
      </c>
      <c r="D272" s="66">
        <v>162584</v>
      </c>
      <c r="E272" s="67">
        <v>4</v>
      </c>
      <c r="F272" s="71">
        <v>1723</v>
      </c>
      <c r="G272" s="71">
        <v>55953</v>
      </c>
      <c r="H272" s="71">
        <v>4730</v>
      </c>
      <c r="I272" s="74">
        <v>61879</v>
      </c>
      <c r="J272" s="68">
        <v>124285</v>
      </c>
      <c r="K272" s="75"/>
      <c r="L272" s="71"/>
      <c r="M272" s="71"/>
      <c r="N272" s="72"/>
      <c r="O272" s="76"/>
      <c r="P272" s="75">
        <v>59</v>
      </c>
      <c r="Q272" s="71">
        <v>4232</v>
      </c>
      <c r="R272" s="71">
        <v>2969</v>
      </c>
      <c r="S272" s="72">
        <v>4218</v>
      </c>
      <c r="T272" s="77">
        <v>11478</v>
      </c>
      <c r="U272" s="15"/>
      <c r="V272" s="15"/>
      <c r="W272" s="15"/>
      <c r="X272" s="15"/>
      <c r="Y272" s="15"/>
      <c r="Z272" s="58"/>
      <c r="AA272" s="58"/>
      <c r="AB272" s="58"/>
      <c r="AC272" s="58"/>
      <c r="AD272" s="58"/>
      <c r="AE272" s="58"/>
      <c r="AF272" s="58"/>
      <c r="AG272" s="2"/>
      <c r="AH272" s="20"/>
      <c r="AI272" s="20"/>
      <c r="AJ272" s="20"/>
      <c r="AK272" s="20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8" ht="12.75">
      <c r="A273" s="15" t="s">
        <v>402</v>
      </c>
      <c r="B273" s="16" t="s">
        <v>62</v>
      </c>
      <c r="C273" s="66" t="s">
        <v>407</v>
      </c>
      <c r="D273" s="66">
        <v>163453</v>
      </c>
      <c r="E273" s="67">
        <v>4</v>
      </c>
      <c r="F273" s="71">
        <v>0</v>
      </c>
      <c r="G273" s="71">
        <v>72788</v>
      </c>
      <c r="H273" s="71">
        <v>4548</v>
      </c>
      <c r="I273" s="74">
        <v>77971</v>
      </c>
      <c r="J273" s="68">
        <v>155307</v>
      </c>
      <c r="K273" s="75"/>
      <c r="L273" s="71"/>
      <c r="M273" s="71"/>
      <c r="N273" s="72"/>
      <c r="O273" s="76"/>
      <c r="P273" s="75">
        <v>0</v>
      </c>
      <c r="Q273" s="71">
        <v>2715</v>
      </c>
      <c r="R273" s="71">
        <v>134</v>
      </c>
      <c r="S273" s="72">
        <v>2352</v>
      </c>
      <c r="T273" s="77">
        <v>5201</v>
      </c>
      <c r="U273" s="15"/>
      <c r="V273" s="15"/>
      <c r="W273" s="15"/>
      <c r="X273" s="15"/>
      <c r="Y273" s="15"/>
      <c r="Z273" s="58"/>
      <c r="AA273" s="58"/>
      <c r="AB273" s="58"/>
      <c r="AC273" s="58"/>
      <c r="AD273" s="58"/>
      <c r="AE273" s="58"/>
      <c r="AF273" s="58"/>
      <c r="AG273" s="2"/>
      <c r="AH273" s="20"/>
      <c r="AI273" s="20"/>
      <c r="AJ273" s="20"/>
      <c r="AK273" s="20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</row>
    <row r="274" spans="1:88" ht="12.75">
      <c r="A274" s="15" t="s">
        <v>402</v>
      </c>
      <c r="B274" s="16" t="s">
        <v>62</v>
      </c>
      <c r="C274" s="66" t="s">
        <v>408</v>
      </c>
      <c r="D274" s="66">
        <v>163851</v>
      </c>
      <c r="E274" s="67">
        <v>4</v>
      </c>
      <c r="F274" s="71">
        <v>4129</v>
      </c>
      <c r="G274" s="71">
        <v>68302</v>
      </c>
      <c r="H274" s="71">
        <v>3272</v>
      </c>
      <c r="I274" s="74">
        <v>71072</v>
      </c>
      <c r="J274" s="68">
        <v>146775</v>
      </c>
      <c r="K274" s="75"/>
      <c r="L274" s="71"/>
      <c r="M274" s="71"/>
      <c r="N274" s="72"/>
      <c r="O274" s="76"/>
      <c r="P274" s="75">
        <v>158</v>
      </c>
      <c r="Q274" s="71">
        <v>2811</v>
      </c>
      <c r="R274" s="71">
        <v>1212</v>
      </c>
      <c r="S274" s="72">
        <v>2855</v>
      </c>
      <c r="T274" s="77">
        <v>7036</v>
      </c>
      <c r="U274" s="15"/>
      <c r="V274" s="15"/>
      <c r="W274" s="15"/>
      <c r="X274" s="15"/>
      <c r="Y274" s="15"/>
      <c r="Z274" s="58"/>
      <c r="AA274" s="58"/>
      <c r="AB274" s="58"/>
      <c r="AC274" s="58"/>
      <c r="AD274" s="58"/>
      <c r="AE274" s="58"/>
      <c r="AF274" s="58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0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</row>
    <row r="275" spans="1:88" ht="12.75">
      <c r="A275" s="15" t="s">
        <v>402</v>
      </c>
      <c r="B275" s="16" t="s">
        <v>62</v>
      </c>
      <c r="C275" s="66" t="s">
        <v>409</v>
      </c>
      <c r="D275" s="66">
        <v>164076</v>
      </c>
      <c r="E275" s="67">
        <v>4</v>
      </c>
      <c r="F275" s="71">
        <v>3239</v>
      </c>
      <c r="G275" s="71">
        <v>145985</v>
      </c>
      <c r="H275" s="71">
        <v>13443</v>
      </c>
      <c r="I275" s="74">
        <v>163075</v>
      </c>
      <c r="J275" s="68">
        <v>325742</v>
      </c>
      <c r="K275" s="75"/>
      <c r="L275" s="71"/>
      <c r="M275" s="71"/>
      <c r="N275" s="72"/>
      <c r="O275" s="76"/>
      <c r="P275" s="75">
        <v>198</v>
      </c>
      <c r="Q275" s="71">
        <v>8371</v>
      </c>
      <c r="R275" s="71">
        <v>2556</v>
      </c>
      <c r="S275" s="72">
        <v>9911</v>
      </c>
      <c r="T275" s="77">
        <v>21036</v>
      </c>
      <c r="U275" s="15"/>
      <c r="V275" s="15"/>
      <c r="W275" s="15"/>
      <c r="X275" s="15"/>
      <c r="Y275" s="15"/>
      <c r="Z275" s="58"/>
      <c r="AA275" s="58"/>
      <c r="AB275" s="58"/>
      <c r="AC275" s="58"/>
      <c r="AD275" s="58"/>
      <c r="AE275" s="58"/>
      <c r="AF275" s="58"/>
      <c r="AG275" s="2"/>
      <c r="AH275" s="20"/>
      <c r="AI275" s="20"/>
      <c r="AJ275" s="20"/>
      <c r="AK275" s="20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</row>
    <row r="276" spans="1:88" ht="12.75">
      <c r="A276" s="15" t="s">
        <v>402</v>
      </c>
      <c r="B276" s="16" t="s">
        <v>62</v>
      </c>
      <c r="C276" s="66" t="s">
        <v>410</v>
      </c>
      <c r="D276" s="66">
        <v>161873</v>
      </c>
      <c r="E276" s="67">
        <v>4</v>
      </c>
      <c r="F276" s="71">
        <v>0</v>
      </c>
      <c r="G276" s="71">
        <v>17740</v>
      </c>
      <c r="H276" s="71">
        <v>3347</v>
      </c>
      <c r="I276" s="74">
        <v>17226</v>
      </c>
      <c r="J276" s="68">
        <v>38313</v>
      </c>
      <c r="K276" s="75"/>
      <c r="L276" s="71"/>
      <c r="M276" s="71"/>
      <c r="N276" s="72"/>
      <c r="O276" s="76"/>
      <c r="P276" s="75">
        <v>0</v>
      </c>
      <c r="Q276" s="71">
        <v>21258</v>
      </c>
      <c r="R276" s="71">
        <v>3765</v>
      </c>
      <c r="S276" s="72">
        <v>22763</v>
      </c>
      <c r="T276" s="77">
        <v>47786</v>
      </c>
      <c r="U276" s="15"/>
      <c r="V276" s="15"/>
      <c r="W276" s="15"/>
      <c r="X276" s="15"/>
      <c r="Y276" s="15"/>
      <c r="Z276" s="58"/>
      <c r="AA276" s="58"/>
      <c r="AB276" s="58"/>
      <c r="AC276" s="58"/>
      <c r="AD276" s="58"/>
      <c r="AE276" s="58"/>
      <c r="AF276" s="58"/>
      <c r="AG276" s="2"/>
      <c r="AH276" s="20"/>
      <c r="AI276" s="20"/>
      <c r="AJ276" s="20"/>
      <c r="AK276" s="20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</row>
    <row r="277" spans="1:88" ht="12.75">
      <c r="A277" s="15" t="s">
        <v>402</v>
      </c>
      <c r="B277" s="16" t="s">
        <v>62</v>
      </c>
      <c r="C277" s="66" t="s">
        <v>411</v>
      </c>
      <c r="D277" s="66">
        <v>162283</v>
      </c>
      <c r="E277" s="67">
        <v>5</v>
      </c>
      <c r="F277" s="71">
        <v>0</v>
      </c>
      <c r="G277" s="71">
        <v>33788</v>
      </c>
      <c r="H277" s="71">
        <v>3079</v>
      </c>
      <c r="I277" s="74">
        <v>38275</v>
      </c>
      <c r="J277" s="68">
        <v>75142</v>
      </c>
      <c r="K277" s="75"/>
      <c r="L277" s="71"/>
      <c r="M277" s="71"/>
      <c r="N277" s="72"/>
      <c r="O277" s="76"/>
      <c r="P277" s="75">
        <v>0</v>
      </c>
      <c r="Q277" s="71">
        <v>3066</v>
      </c>
      <c r="R277" s="71">
        <v>2011</v>
      </c>
      <c r="S277" s="72">
        <v>2990</v>
      </c>
      <c r="T277" s="77">
        <v>8067</v>
      </c>
      <c r="U277" s="15"/>
      <c r="V277" s="15"/>
      <c r="W277" s="15"/>
      <c r="X277" s="15"/>
      <c r="Y277" s="15"/>
      <c r="Z277" s="58"/>
      <c r="AA277" s="58"/>
      <c r="AB277" s="58"/>
      <c r="AC277" s="58"/>
      <c r="AD277" s="58"/>
      <c r="AE277" s="58"/>
      <c r="AF277" s="58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</row>
    <row r="278" spans="1:88" ht="12.75">
      <c r="A278" s="15" t="s">
        <v>402</v>
      </c>
      <c r="B278" s="16" t="s">
        <v>62</v>
      </c>
      <c r="C278" s="66" t="s">
        <v>412</v>
      </c>
      <c r="D278" s="66">
        <v>163338</v>
      </c>
      <c r="E278" s="67">
        <v>5</v>
      </c>
      <c r="F278" s="71">
        <v>704</v>
      </c>
      <c r="G278" s="71">
        <v>36660</v>
      </c>
      <c r="H278" s="71">
        <v>1395</v>
      </c>
      <c r="I278" s="74">
        <v>40180</v>
      </c>
      <c r="J278" s="68">
        <v>78939</v>
      </c>
      <c r="K278" s="75"/>
      <c r="L278" s="71"/>
      <c r="M278" s="71"/>
      <c r="N278" s="72"/>
      <c r="O278" s="76"/>
      <c r="P278" s="75">
        <v>6</v>
      </c>
      <c r="Q278" s="71">
        <v>2320</v>
      </c>
      <c r="R278" s="71">
        <v>638</v>
      </c>
      <c r="S278" s="72">
        <v>2467</v>
      </c>
      <c r="T278" s="77">
        <v>5431</v>
      </c>
      <c r="U278" s="15"/>
      <c r="V278" s="15"/>
      <c r="W278" s="15"/>
      <c r="X278" s="15"/>
      <c r="Y278" s="15"/>
      <c r="Z278" s="58"/>
      <c r="AA278" s="58"/>
      <c r="AB278" s="58"/>
      <c r="AC278" s="58"/>
      <c r="AD278" s="58"/>
      <c r="AE278" s="58"/>
      <c r="AF278" s="58"/>
      <c r="AG278" s="2"/>
      <c r="AH278" s="20"/>
      <c r="AI278" s="20"/>
      <c r="AJ278" s="20"/>
      <c r="AK278" s="20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</row>
    <row r="279" spans="1:88" ht="12.75">
      <c r="A279" s="15" t="s">
        <v>402</v>
      </c>
      <c r="B279" s="16" t="s">
        <v>62</v>
      </c>
      <c r="C279" s="66" t="s">
        <v>413</v>
      </c>
      <c r="D279" s="66">
        <v>163912</v>
      </c>
      <c r="E279" s="67">
        <v>6</v>
      </c>
      <c r="F279" s="71">
        <v>0</v>
      </c>
      <c r="G279" s="71">
        <v>22915</v>
      </c>
      <c r="H279" s="71">
        <v>1088</v>
      </c>
      <c r="I279" s="74">
        <v>24770</v>
      </c>
      <c r="J279" s="68">
        <v>48773</v>
      </c>
      <c r="K279" s="75"/>
      <c r="L279" s="71"/>
      <c r="M279" s="71"/>
      <c r="N279" s="72"/>
      <c r="O279" s="76"/>
      <c r="P279" s="75">
        <v>0</v>
      </c>
      <c r="Q279" s="71">
        <v>0</v>
      </c>
      <c r="R279" s="71">
        <v>0</v>
      </c>
      <c r="S279" s="72">
        <v>0</v>
      </c>
      <c r="T279" s="77">
        <v>0</v>
      </c>
      <c r="U279" s="15"/>
      <c r="V279" s="15"/>
      <c r="W279" s="15"/>
      <c r="X279" s="15"/>
      <c r="Y279" s="15"/>
      <c r="Z279" s="58"/>
      <c r="AA279" s="58"/>
      <c r="AB279" s="58"/>
      <c r="AC279" s="58"/>
      <c r="AD279" s="58"/>
      <c r="AE279" s="58"/>
      <c r="AF279" s="58"/>
      <c r="AG279" s="2"/>
      <c r="AH279" s="20"/>
      <c r="AI279" s="20"/>
      <c r="AJ279" s="20"/>
      <c r="AK279" s="20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</row>
    <row r="280" spans="1:88" ht="12.75">
      <c r="A280" s="15" t="s">
        <v>402</v>
      </c>
      <c r="B280" s="16" t="s">
        <v>62</v>
      </c>
      <c r="C280" s="66" t="s">
        <v>414</v>
      </c>
      <c r="D280" s="66">
        <v>161688</v>
      </c>
      <c r="E280" s="78">
        <v>7</v>
      </c>
      <c r="F280" s="71">
        <v>0</v>
      </c>
      <c r="G280" s="71">
        <v>16635.9</v>
      </c>
      <c r="H280" s="71">
        <v>2010</v>
      </c>
      <c r="I280" s="74">
        <v>20639.1</v>
      </c>
      <c r="J280" s="68">
        <v>39285</v>
      </c>
      <c r="K280" s="75"/>
      <c r="L280" s="71"/>
      <c r="M280" s="71"/>
      <c r="N280" s="72"/>
      <c r="O280" s="76"/>
      <c r="P280" s="75"/>
      <c r="Q280" s="71"/>
      <c r="R280" s="71"/>
      <c r="S280" s="72"/>
      <c r="T280" s="77">
        <v>0</v>
      </c>
      <c r="U280" s="15"/>
      <c r="V280" s="15"/>
      <c r="W280" s="15"/>
      <c r="X280" s="15"/>
      <c r="Y280" s="15"/>
      <c r="Z280" s="58"/>
      <c r="AA280" s="58"/>
      <c r="AB280" s="58"/>
      <c r="AC280" s="58"/>
      <c r="AD280" s="58"/>
      <c r="AE280" s="58"/>
      <c r="AF280" s="58"/>
      <c r="AG280" s="2"/>
      <c r="AH280" s="20"/>
      <c r="AI280" s="20"/>
      <c r="AJ280" s="20"/>
      <c r="AK280" s="20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</row>
    <row r="281" spans="1:88" ht="12.75">
      <c r="A281" s="15" t="s">
        <v>402</v>
      </c>
      <c r="B281" s="16" t="s">
        <v>62</v>
      </c>
      <c r="C281" s="15" t="s">
        <v>415</v>
      </c>
      <c r="D281" s="15">
        <v>161767</v>
      </c>
      <c r="E281" s="22">
        <v>7</v>
      </c>
      <c r="F281" s="31">
        <v>0</v>
      </c>
      <c r="G281" s="31">
        <v>76353</v>
      </c>
      <c r="H281" s="31">
        <v>1318.2</v>
      </c>
      <c r="I281" s="79">
        <v>128700</v>
      </c>
      <c r="J281" s="80">
        <v>206371.2</v>
      </c>
      <c r="K281" s="81"/>
      <c r="L281" s="31"/>
      <c r="M281" s="31"/>
      <c r="N281" s="82"/>
      <c r="O281" s="83"/>
      <c r="P281" s="81"/>
      <c r="Q281" s="31"/>
      <c r="R281" s="31"/>
      <c r="S281" s="82"/>
      <c r="T281" s="19">
        <v>0</v>
      </c>
      <c r="U281" s="15"/>
      <c r="V281" s="15"/>
      <c r="W281" s="15"/>
      <c r="X281" s="15"/>
      <c r="Y281" s="15"/>
      <c r="Z281" s="58"/>
      <c r="AA281" s="58"/>
      <c r="AB281" s="58"/>
      <c r="AC281" s="58"/>
      <c r="AD281" s="58"/>
      <c r="AE281" s="58"/>
      <c r="AF281" s="58"/>
      <c r="AG281" s="2"/>
      <c r="AH281" s="20"/>
      <c r="AI281" s="20"/>
      <c r="AJ281" s="20"/>
      <c r="AK281" s="20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0"/>
      <c r="BX281" s="20"/>
      <c r="BY281" s="20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</row>
    <row r="282" spans="1:88" ht="12.75">
      <c r="A282" s="15" t="s">
        <v>402</v>
      </c>
      <c r="B282" s="16" t="s">
        <v>62</v>
      </c>
      <c r="C282" s="66" t="s">
        <v>416</v>
      </c>
      <c r="D282" s="66">
        <v>161864</v>
      </c>
      <c r="E282" s="67">
        <v>7</v>
      </c>
      <c r="F282" s="71">
        <v>0</v>
      </c>
      <c r="G282" s="71">
        <v>50340</v>
      </c>
      <c r="H282" s="71">
        <v>10751</v>
      </c>
      <c r="I282" s="74">
        <v>53049</v>
      </c>
      <c r="J282" s="68">
        <v>114140</v>
      </c>
      <c r="K282" s="75"/>
      <c r="L282" s="71"/>
      <c r="M282" s="71"/>
      <c r="N282" s="72"/>
      <c r="O282" s="76"/>
      <c r="P282" s="75"/>
      <c r="Q282" s="71"/>
      <c r="R282" s="71"/>
      <c r="S282" s="72"/>
      <c r="T282" s="77">
        <v>0</v>
      </c>
      <c r="U282" s="15"/>
      <c r="V282" s="15"/>
      <c r="W282" s="15"/>
      <c r="X282" s="15"/>
      <c r="Y282" s="15"/>
      <c r="Z282" s="58"/>
      <c r="AA282" s="58"/>
      <c r="AB282" s="58"/>
      <c r="AC282" s="58"/>
      <c r="AD282" s="58"/>
      <c r="AE282" s="58"/>
      <c r="AF282" s="58"/>
      <c r="AG282" s="2"/>
      <c r="AH282" s="20"/>
      <c r="AI282" s="20"/>
      <c r="AJ282" s="20"/>
      <c r="AK282" s="20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84"/>
      <c r="CB282" s="84"/>
      <c r="CC282" s="84"/>
      <c r="CD282" s="2"/>
      <c r="CE282" s="2"/>
      <c r="CF282" s="2"/>
      <c r="CG282" s="2"/>
      <c r="CH282" s="2"/>
      <c r="CI282" s="2"/>
      <c r="CJ282" s="2"/>
    </row>
    <row r="283" spans="1:88" ht="12.75">
      <c r="A283" s="15" t="s">
        <v>402</v>
      </c>
      <c r="B283" s="16" t="s">
        <v>62</v>
      </c>
      <c r="C283" s="66" t="s">
        <v>417</v>
      </c>
      <c r="D283" s="66">
        <v>405872</v>
      </c>
      <c r="E283" s="67">
        <v>7</v>
      </c>
      <c r="F283" s="71">
        <v>0</v>
      </c>
      <c r="G283" s="71">
        <v>16764.9</v>
      </c>
      <c r="H283" s="71">
        <v>3001.5</v>
      </c>
      <c r="I283" s="74">
        <v>23820</v>
      </c>
      <c r="J283" s="68">
        <v>43586.4</v>
      </c>
      <c r="K283" s="75"/>
      <c r="L283" s="71"/>
      <c r="M283" s="71"/>
      <c r="N283" s="72"/>
      <c r="O283" s="76"/>
      <c r="P283" s="75"/>
      <c r="Q283" s="71"/>
      <c r="R283" s="71"/>
      <c r="S283" s="72"/>
      <c r="T283" s="77">
        <v>0</v>
      </c>
      <c r="U283" s="15"/>
      <c r="V283" s="15"/>
      <c r="W283" s="15"/>
      <c r="X283" s="15"/>
      <c r="Y283" s="15"/>
      <c r="Z283" s="58"/>
      <c r="AA283" s="58"/>
      <c r="AB283" s="58"/>
      <c r="AC283" s="58"/>
      <c r="AD283" s="58"/>
      <c r="AE283" s="58"/>
      <c r="AF283" s="58"/>
      <c r="AG283" s="2"/>
      <c r="AH283" s="20"/>
      <c r="AI283" s="20"/>
      <c r="AJ283" s="20"/>
      <c r="AK283" s="20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</row>
    <row r="284" spans="1:88" ht="12.75">
      <c r="A284" s="15" t="s">
        <v>402</v>
      </c>
      <c r="B284" s="16" t="s">
        <v>62</v>
      </c>
      <c r="C284" s="66" t="s">
        <v>418</v>
      </c>
      <c r="D284" s="66">
        <v>162098</v>
      </c>
      <c r="E284" s="67">
        <v>7</v>
      </c>
      <c r="F284" s="71">
        <v>0</v>
      </c>
      <c r="G284" s="71">
        <v>64158</v>
      </c>
      <c r="H284" s="71">
        <v>14993.4</v>
      </c>
      <c r="I284" s="74">
        <v>106410</v>
      </c>
      <c r="J284" s="68">
        <v>185561.4</v>
      </c>
      <c r="K284" s="75"/>
      <c r="L284" s="71"/>
      <c r="M284" s="71"/>
      <c r="N284" s="72"/>
      <c r="O284" s="76"/>
      <c r="P284" s="75"/>
      <c r="Q284" s="71"/>
      <c r="R284" s="71"/>
      <c r="S284" s="72"/>
      <c r="T284" s="77">
        <v>0</v>
      </c>
      <c r="U284" s="15"/>
      <c r="V284" s="15"/>
      <c r="W284" s="15"/>
      <c r="X284" s="15"/>
      <c r="Y284" s="15"/>
      <c r="Z284" s="58"/>
      <c r="AA284" s="58"/>
      <c r="AB284" s="58"/>
      <c r="AC284" s="58"/>
      <c r="AD284" s="58"/>
      <c r="AE284" s="58"/>
      <c r="AF284" s="58"/>
      <c r="AG284" s="2"/>
      <c r="AH284" s="20"/>
      <c r="AI284" s="20"/>
      <c r="AJ284" s="20"/>
      <c r="AK284" s="20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85"/>
      <c r="CB284" s="85"/>
      <c r="CC284" s="85"/>
      <c r="CD284" s="2"/>
      <c r="CE284" s="2"/>
      <c r="CF284" s="2"/>
      <c r="CG284" s="2"/>
      <c r="CH284" s="2"/>
      <c r="CI284" s="2"/>
      <c r="CJ284" s="2"/>
    </row>
    <row r="285" spans="1:88" ht="12.75">
      <c r="A285" s="15" t="s">
        <v>402</v>
      </c>
      <c r="B285" s="16" t="s">
        <v>62</v>
      </c>
      <c r="C285" s="66" t="s">
        <v>419</v>
      </c>
      <c r="D285" s="66">
        <v>162104</v>
      </c>
      <c r="E285" s="67">
        <v>7</v>
      </c>
      <c r="F285" s="71">
        <v>0</v>
      </c>
      <c r="G285" s="71">
        <v>8315.1</v>
      </c>
      <c r="H285" s="71">
        <v>1738.5</v>
      </c>
      <c r="I285" s="74">
        <v>17850</v>
      </c>
      <c r="J285" s="68">
        <v>27903.6</v>
      </c>
      <c r="K285" s="75"/>
      <c r="L285" s="71"/>
      <c r="M285" s="71"/>
      <c r="N285" s="72"/>
      <c r="O285" s="76"/>
      <c r="P285" s="75"/>
      <c r="Q285" s="71"/>
      <c r="R285" s="71"/>
      <c r="S285" s="72"/>
      <c r="T285" s="77">
        <v>0</v>
      </c>
      <c r="U285" s="15"/>
      <c r="V285" s="15"/>
      <c r="W285" s="15"/>
      <c r="X285" s="15"/>
      <c r="Y285" s="15"/>
      <c r="Z285" s="58"/>
      <c r="AA285" s="58"/>
      <c r="AB285" s="58"/>
      <c r="AC285" s="58"/>
      <c r="AD285" s="58"/>
      <c r="AE285" s="58"/>
      <c r="AF285" s="58"/>
      <c r="AG285" s="2"/>
      <c r="AH285" s="20"/>
      <c r="AI285" s="20"/>
      <c r="AJ285" s="20"/>
      <c r="AK285" s="20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84"/>
      <c r="CB285" s="84"/>
      <c r="CC285" s="84"/>
      <c r="CD285" s="2"/>
      <c r="CE285" s="2"/>
      <c r="CF285" s="2"/>
      <c r="CG285" s="2"/>
      <c r="CH285" s="2"/>
      <c r="CI285" s="20"/>
      <c r="CJ285" s="2"/>
    </row>
    <row r="286" spans="1:88" ht="12.75">
      <c r="A286" s="15" t="s">
        <v>402</v>
      </c>
      <c r="B286" s="16" t="s">
        <v>62</v>
      </c>
      <c r="C286" s="66" t="s">
        <v>420</v>
      </c>
      <c r="D286" s="66">
        <v>162122</v>
      </c>
      <c r="E286" s="67">
        <v>7</v>
      </c>
      <c r="F286" s="71">
        <v>0</v>
      </c>
      <c r="G286" s="71">
        <v>36392.1</v>
      </c>
      <c r="H286" s="71">
        <v>7286.1</v>
      </c>
      <c r="I286" s="74">
        <v>54287.1</v>
      </c>
      <c r="J286" s="68">
        <v>97965.3</v>
      </c>
      <c r="K286" s="75"/>
      <c r="L286" s="71"/>
      <c r="M286" s="71"/>
      <c r="N286" s="72"/>
      <c r="O286" s="76"/>
      <c r="P286" s="75"/>
      <c r="Q286" s="71"/>
      <c r="R286" s="71"/>
      <c r="S286" s="72"/>
      <c r="T286" s="77">
        <v>0</v>
      </c>
      <c r="U286" s="15"/>
      <c r="V286" s="15"/>
      <c r="W286" s="15"/>
      <c r="X286" s="15"/>
      <c r="Y286" s="15"/>
      <c r="Z286" s="58"/>
      <c r="AA286" s="58"/>
      <c r="AB286" s="58"/>
      <c r="AC286" s="58"/>
      <c r="AD286" s="58"/>
      <c r="AE286" s="58"/>
      <c r="AF286" s="58"/>
      <c r="AG286" s="2"/>
      <c r="AH286" s="20"/>
      <c r="AI286" s="20"/>
      <c r="AJ286" s="20"/>
      <c r="AK286" s="20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84"/>
      <c r="CB286" s="84"/>
      <c r="CC286" s="84"/>
      <c r="CD286" s="2"/>
      <c r="CE286" s="2"/>
      <c r="CF286" s="2"/>
      <c r="CG286" s="2"/>
      <c r="CH286" s="2"/>
      <c r="CI286" s="2"/>
      <c r="CJ286" s="2"/>
    </row>
    <row r="287" spans="1:88" ht="12.75">
      <c r="A287" s="15" t="s">
        <v>402</v>
      </c>
      <c r="B287" s="16" t="s">
        <v>62</v>
      </c>
      <c r="C287" s="66" t="s">
        <v>421</v>
      </c>
      <c r="D287" s="66">
        <v>162168</v>
      </c>
      <c r="E287" s="67">
        <v>7</v>
      </c>
      <c r="F287" s="71">
        <v>0</v>
      </c>
      <c r="G287" s="71">
        <v>13302</v>
      </c>
      <c r="H287" s="71">
        <v>1677.9</v>
      </c>
      <c r="I287" s="72">
        <v>15450</v>
      </c>
      <c r="J287" s="76">
        <v>30429.9</v>
      </c>
      <c r="K287" s="75"/>
      <c r="L287" s="71"/>
      <c r="M287" s="71"/>
      <c r="N287" s="72"/>
      <c r="O287" s="76"/>
      <c r="P287" s="75"/>
      <c r="Q287" s="71"/>
      <c r="R287" s="71"/>
      <c r="S287" s="72"/>
      <c r="T287" s="77">
        <v>0</v>
      </c>
      <c r="U287" s="15"/>
      <c r="V287" s="15"/>
      <c r="W287" s="15"/>
      <c r="X287" s="15"/>
      <c r="Y287" s="15"/>
      <c r="Z287" s="35"/>
      <c r="AA287" s="35"/>
      <c r="AB287" s="35"/>
      <c r="AC287" s="35"/>
      <c r="AD287" s="2"/>
      <c r="AE287" s="2"/>
      <c r="AF287" s="2"/>
      <c r="AG287" s="2"/>
      <c r="AH287" s="20"/>
      <c r="AI287" s="20"/>
      <c r="AJ287" s="20"/>
      <c r="AK287" s="20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84"/>
      <c r="CB287" s="84"/>
      <c r="CC287" s="84"/>
      <c r="CD287" s="2"/>
      <c r="CE287" s="2"/>
      <c r="CF287" s="2"/>
      <c r="CG287" s="2"/>
      <c r="CH287" s="2"/>
      <c r="CI287" s="2"/>
      <c r="CJ287" s="2"/>
    </row>
    <row r="288" spans="1:88" ht="12.75">
      <c r="A288" s="15" t="s">
        <v>402</v>
      </c>
      <c r="B288" s="16" t="s">
        <v>62</v>
      </c>
      <c r="C288" s="66" t="s">
        <v>422</v>
      </c>
      <c r="D288" s="66">
        <v>162399</v>
      </c>
      <c r="E288" s="67">
        <v>7</v>
      </c>
      <c r="F288" s="71">
        <v>0</v>
      </c>
      <c r="G288" s="71">
        <v>18461.1</v>
      </c>
      <c r="H288" s="71">
        <v>3438.9</v>
      </c>
      <c r="I288" s="74">
        <v>26130</v>
      </c>
      <c r="J288" s="72">
        <v>48030</v>
      </c>
      <c r="K288" s="75"/>
      <c r="L288" s="71"/>
      <c r="M288" s="71"/>
      <c r="N288" s="72"/>
      <c r="O288" s="76"/>
      <c r="P288" s="75"/>
      <c r="Q288" s="71"/>
      <c r="R288" s="71"/>
      <c r="S288" s="72"/>
      <c r="T288" s="77">
        <v>0</v>
      </c>
      <c r="U288" s="15"/>
      <c r="V288" s="15"/>
      <c r="W288" s="15"/>
      <c r="X288" s="15"/>
      <c r="Y288" s="15"/>
      <c r="Z288" s="35"/>
      <c r="AA288" s="35"/>
      <c r="AB288" s="35"/>
      <c r="AC288" s="35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</row>
    <row r="289" spans="1:109" ht="12.75">
      <c r="A289" s="15" t="s">
        <v>402</v>
      </c>
      <c r="B289" s="16" t="s">
        <v>62</v>
      </c>
      <c r="C289" s="66" t="s">
        <v>423</v>
      </c>
      <c r="D289" s="66">
        <v>162478</v>
      </c>
      <c r="E289" s="67">
        <v>7</v>
      </c>
      <c r="F289" s="71">
        <v>0</v>
      </c>
      <c r="G289" s="71">
        <v>55911.6</v>
      </c>
      <c r="H289" s="71">
        <v>9081</v>
      </c>
      <c r="I289" s="74">
        <v>89280</v>
      </c>
      <c r="J289" s="72">
        <v>154272.6</v>
      </c>
      <c r="K289" s="75"/>
      <c r="L289" s="71"/>
      <c r="M289" s="71"/>
      <c r="N289" s="72"/>
      <c r="O289" s="76"/>
      <c r="P289" s="75"/>
      <c r="Q289" s="71"/>
      <c r="R289" s="71"/>
      <c r="S289" s="72"/>
      <c r="T289" s="77">
        <v>0</v>
      </c>
      <c r="U289" s="15"/>
      <c r="V289" s="15"/>
      <c r="W289" s="15"/>
      <c r="X289" s="15"/>
      <c r="Y289" s="15"/>
      <c r="Z289" s="35"/>
      <c r="AA289" s="35"/>
      <c r="AB289" s="35"/>
      <c r="AC289" s="35"/>
      <c r="AD289" s="2"/>
      <c r="AE289" s="2"/>
      <c r="AF289" s="2"/>
      <c r="AG289" s="2"/>
      <c r="AH289" s="20"/>
      <c r="AI289" s="20"/>
      <c r="AJ289" s="20"/>
      <c r="AK289" s="20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84"/>
      <c r="CB289" s="84"/>
      <c r="CC289" s="84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</row>
    <row r="290" spans="1:109" ht="12.75">
      <c r="A290" s="15" t="s">
        <v>402</v>
      </c>
      <c r="B290" s="16" t="s">
        <v>62</v>
      </c>
      <c r="C290" s="66" t="s">
        <v>424</v>
      </c>
      <c r="D290" s="66">
        <v>162557</v>
      </c>
      <c r="E290" s="67">
        <v>7</v>
      </c>
      <c r="F290" s="71">
        <v>0</v>
      </c>
      <c r="G290" s="71">
        <v>29087</v>
      </c>
      <c r="H290" s="71">
        <v>5877</v>
      </c>
      <c r="I290" s="74">
        <v>35430</v>
      </c>
      <c r="J290" s="72">
        <v>70394</v>
      </c>
      <c r="K290" s="75"/>
      <c r="L290" s="71"/>
      <c r="M290" s="71"/>
      <c r="N290" s="72"/>
      <c r="O290" s="76"/>
      <c r="P290" s="75"/>
      <c r="Q290" s="71"/>
      <c r="R290" s="71"/>
      <c r="S290" s="72"/>
      <c r="T290" s="77">
        <v>0</v>
      </c>
      <c r="U290" s="15"/>
      <c r="V290" s="15"/>
      <c r="W290" s="15"/>
      <c r="X290" s="15"/>
      <c r="Y290" s="15"/>
      <c r="Z290" s="35"/>
      <c r="AA290" s="35"/>
      <c r="AB290" s="35"/>
      <c r="AC290" s="35"/>
      <c r="AD290" s="2"/>
      <c r="AE290" s="2"/>
      <c r="AF290" s="2"/>
      <c r="AG290" s="2"/>
      <c r="AH290" s="20"/>
      <c r="AI290" s="20"/>
      <c r="AJ290" s="20"/>
      <c r="AK290" s="20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84"/>
      <c r="CB290" s="84"/>
      <c r="CC290" s="84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0"/>
      <c r="CV290" s="2"/>
      <c r="CW290" s="2"/>
      <c r="CX290" s="2"/>
      <c r="CY290" s="2"/>
      <c r="CZ290" s="2"/>
      <c r="DA290" s="2"/>
      <c r="DB290" s="2"/>
      <c r="DC290" s="2"/>
      <c r="DD290" s="2"/>
      <c r="DE290" s="2"/>
    </row>
    <row r="291" spans="1:109" ht="12.75">
      <c r="A291" s="15" t="s">
        <v>402</v>
      </c>
      <c r="B291" s="16" t="s">
        <v>62</v>
      </c>
      <c r="C291" s="66" t="s">
        <v>425</v>
      </c>
      <c r="D291" s="66">
        <v>162609</v>
      </c>
      <c r="E291" s="67">
        <v>7</v>
      </c>
      <c r="F291" s="71">
        <v>0</v>
      </c>
      <c r="G291" s="71">
        <v>4729.2</v>
      </c>
      <c r="H291" s="71">
        <v>519</v>
      </c>
      <c r="I291" s="74">
        <v>10050</v>
      </c>
      <c r="J291" s="72">
        <v>15298.2</v>
      </c>
      <c r="K291" s="75"/>
      <c r="L291" s="71"/>
      <c r="M291" s="71"/>
      <c r="N291" s="72"/>
      <c r="O291" s="76"/>
      <c r="P291" s="75"/>
      <c r="Q291" s="71"/>
      <c r="R291" s="71"/>
      <c r="S291" s="72"/>
      <c r="T291" s="77">
        <v>0</v>
      </c>
      <c r="U291" s="15"/>
      <c r="V291" s="15"/>
      <c r="W291" s="15"/>
      <c r="X291" s="15"/>
      <c r="Y291" s="15"/>
      <c r="Z291" s="35"/>
      <c r="AA291" s="35"/>
      <c r="AB291" s="35"/>
      <c r="AC291" s="35"/>
      <c r="AD291" s="2"/>
      <c r="AE291" s="2"/>
      <c r="AF291" s="2"/>
      <c r="AG291" s="2"/>
      <c r="AH291" s="20"/>
      <c r="AI291" s="20"/>
      <c r="AJ291" s="20"/>
      <c r="AK291" s="20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84"/>
      <c r="CB291" s="84"/>
      <c r="CC291" s="84"/>
      <c r="CD291" s="2"/>
      <c r="CE291" s="2"/>
      <c r="CF291" s="2"/>
      <c r="CG291" s="2"/>
      <c r="CH291" s="2"/>
      <c r="CI291" s="20"/>
      <c r="CJ291" s="20"/>
      <c r="CK291" s="20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</row>
    <row r="292" spans="1:109" ht="12.75">
      <c r="A292" s="15" t="s">
        <v>402</v>
      </c>
      <c r="B292" s="16" t="s">
        <v>62</v>
      </c>
      <c r="C292" s="66" t="s">
        <v>426</v>
      </c>
      <c r="D292" s="66">
        <v>162690</v>
      </c>
      <c r="E292" s="78">
        <v>7</v>
      </c>
      <c r="F292" s="71">
        <v>0</v>
      </c>
      <c r="G292" s="71">
        <v>17982.9</v>
      </c>
      <c r="H292" s="71">
        <v>2586</v>
      </c>
      <c r="I292" s="74">
        <v>26700</v>
      </c>
      <c r="J292" s="72">
        <v>47268.9</v>
      </c>
      <c r="K292" s="75"/>
      <c r="L292" s="71"/>
      <c r="M292" s="71"/>
      <c r="N292" s="72"/>
      <c r="O292" s="76"/>
      <c r="P292" s="75"/>
      <c r="Q292" s="71"/>
      <c r="R292" s="71"/>
      <c r="S292" s="72"/>
      <c r="T292" s="77">
        <v>0</v>
      </c>
      <c r="U292" s="15"/>
      <c r="V292" s="15"/>
      <c r="W292" s="15"/>
      <c r="X292" s="15"/>
      <c r="Y292" s="15"/>
      <c r="Z292" s="35"/>
      <c r="AA292" s="35"/>
      <c r="AB292" s="35"/>
      <c r="AC292" s="35"/>
      <c r="AD292" s="2"/>
      <c r="AE292" s="2"/>
      <c r="AF292" s="2"/>
      <c r="AG292" s="2"/>
      <c r="AH292" s="20"/>
      <c r="AI292" s="20"/>
      <c r="AJ292" s="20"/>
      <c r="AK292" s="20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84"/>
      <c r="CB292" s="84"/>
      <c r="CC292" s="84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</row>
    <row r="293" spans="1:109" ht="12.75">
      <c r="A293" s="15" t="s">
        <v>402</v>
      </c>
      <c r="B293" s="16" t="s">
        <v>62</v>
      </c>
      <c r="C293" s="66" t="s">
        <v>427</v>
      </c>
      <c r="D293" s="66">
        <v>162706</v>
      </c>
      <c r="E293" s="67">
        <v>7</v>
      </c>
      <c r="F293" s="71">
        <v>0</v>
      </c>
      <c r="G293" s="71">
        <v>30270.9</v>
      </c>
      <c r="H293" s="71">
        <v>6076.2</v>
      </c>
      <c r="I293" s="74">
        <v>51240</v>
      </c>
      <c r="J293" s="72">
        <v>87587.1</v>
      </c>
      <c r="K293" s="75"/>
      <c r="L293" s="71"/>
      <c r="M293" s="71"/>
      <c r="N293" s="72"/>
      <c r="O293" s="76"/>
      <c r="P293" s="75"/>
      <c r="Q293" s="71"/>
      <c r="R293" s="71"/>
      <c r="S293" s="72"/>
      <c r="T293" s="77">
        <v>0</v>
      </c>
      <c r="U293" s="15"/>
      <c r="V293" s="15"/>
      <c r="W293" s="15"/>
      <c r="X293" s="15"/>
      <c r="Y293" s="15"/>
      <c r="Z293" s="35"/>
      <c r="AA293" s="35"/>
      <c r="AB293" s="35"/>
      <c r="AC293" s="35"/>
      <c r="AD293" s="2"/>
      <c r="AE293" s="2"/>
      <c r="AF293" s="2"/>
      <c r="AG293" s="2"/>
      <c r="AH293" s="20"/>
      <c r="AI293" s="20"/>
      <c r="AJ293" s="20"/>
      <c r="AK293" s="20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84"/>
      <c r="CB293" s="84"/>
      <c r="CC293" s="84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</row>
    <row r="294" spans="1:109" ht="12.75">
      <c r="A294" s="15" t="s">
        <v>402</v>
      </c>
      <c r="B294" s="16" t="s">
        <v>62</v>
      </c>
      <c r="C294" s="66" t="s">
        <v>428</v>
      </c>
      <c r="D294" s="66">
        <v>162799</v>
      </c>
      <c r="E294" s="67">
        <v>7</v>
      </c>
      <c r="F294" s="71">
        <v>0</v>
      </c>
      <c r="G294" s="71">
        <v>33017.1</v>
      </c>
      <c r="H294" s="71">
        <v>5965.8</v>
      </c>
      <c r="I294" s="74">
        <v>47415</v>
      </c>
      <c r="J294" s="72">
        <v>86397.9</v>
      </c>
      <c r="K294" s="75"/>
      <c r="L294" s="71"/>
      <c r="M294" s="71"/>
      <c r="N294" s="72"/>
      <c r="O294" s="76"/>
      <c r="P294" s="75"/>
      <c r="Q294" s="71"/>
      <c r="R294" s="71"/>
      <c r="S294" s="72"/>
      <c r="T294" s="77">
        <v>0</v>
      </c>
      <c r="U294" s="15"/>
      <c r="V294" s="15"/>
      <c r="W294" s="15"/>
      <c r="X294" s="15"/>
      <c r="Y294" s="15"/>
      <c r="Z294" s="35"/>
      <c r="AA294" s="35"/>
      <c r="AB294" s="35"/>
      <c r="AC294" s="35"/>
      <c r="AD294" s="2"/>
      <c r="AE294" s="2"/>
      <c r="AF294" s="2"/>
      <c r="AG294" s="2"/>
      <c r="AH294" s="20"/>
      <c r="AI294" s="20"/>
      <c r="AJ294" s="20"/>
      <c r="AK294" s="20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84"/>
      <c r="CB294" s="84"/>
      <c r="CC294" s="84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86"/>
      <c r="CP294" s="2"/>
      <c r="CQ294" s="2"/>
      <c r="CR294" s="2"/>
      <c r="CS294" s="2"/>
      <c r="CT294" s="2"/>
      <c r="CU294" s="20"/>
      <c r="CV294" s="20"/>
      <c r="CW294" s="2"/>
      <c r="CX294" s="2"/>
      <c r="CY294" s="2"/>
      <c r="CZ294" s="2"/>
      <c r="DA294" s="2"/>
      <c r="DB294" s="2"/>
      <c r="DC294" s="2"/>
      <c r="DD294" s="2"/>
      <c r="DE294" s="2"/>
    </row>
    <row r="295" spans="1:109" ht="12.75">
      <c r="A295" s="15" t="s">
        <v>402</v>
      </c>
      <c r="B295" s="16" t="s">
        <v>62</v>
      </c>
      <c r="C295" s="66" t="s">
        <v>429</v>
      </c>
      <c r="D295" s="66"/>
      <c r="E295" s="67">
        <v>7</v>
      </c>
      <c r="F295" s="71">
        <v>0</v>
      </c>
      <c r="G295" s="71">
        <v>144741</v>
      </c>
      <c r="H295" s="71">
        <v>36786.9</v>
      </c>
      <c r="I295" s="74">
        <v>169900.8</v>
      </c>
      <c r="J295" s="72">
        <v>351428.7</v>
      </c>
      <c r="K295" s="75"/>
      <c r="L295" s="71"/>
      <c r="M295" s="71"/>
      <c r="N295" s="72"/>
      <c r="O295" s="76"/>
      <c r="P295" s="75"/>
      <c r="Q295" s="71"/>
      <c r="R295" s="71"/>
      <c r="S295" s="72"/>
      <c r="T295" s="77">
        <v>0</v>
      </c>
      <c r="U295" s="15"/>
      <c r="V295" s="15"/>
      <c r="W295" s="15"/>
      <c r="X295" s="15"/>
      <c r="Y295" s="15"/>
      <c r="Z295" s="35"/>
      <c r="AA295" s="35"/>
      <c r="AB295" s="35"/>
      <c r="AC295" s="35"/>
      <c r="AD295" s="2"/>
      <c r="AE295" s="2"/>
      <c r="AF295" s="2"/>
      <c r="AG295" s="2"/>
      <c r="AH295" s="20"/>
      <c r="AI295" s="20"/>
      <c r="AJ295" s="20"/>
      <c r="AK295" s="20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84"/>
      <c r="CB295" s="84"/>
      <c r="CC295" s="84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86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</row>
    <row r="296" spans="1:109" ht="12.75">
      <c r="A296" s="15" t="s">
        <v>402</v>
      </c>
      <c r="B296" s="16" t="s">
        <v>62</v>
      </c>
      <c r="C296" s="66" t="s">
        <v>430</v>
      </c>
      <c r="D296" s="66">
        <v>163657</v>
      </c>
      <c r="E296" s="67">
        <v>7</v>
      </c>
      <c r="F296" s="71">
        <v>0</v>
      </c>
      <c r="G296" s="71">
        <v>77970.9</v>
      </c>
      <c r="H296" s="71">
        <v>17474.1</v>
      </c>
      <c r="I296" s="74">
        <v>117360</v>
      </c>
      <c r="J296" s="72">
        <v>212805</v>
      </c>
      <c r="K296" s="75"/>
      <c r="L296" s="71"/>
      <c r="M296" s="71"/>
      <c r="N296" s="72"/>
      <c r="O296" s="76"/>
      <c r="P296" s="75"/>
      <c r="Q296" s="71"/>
      <c r="R296" s="71"/>
      <c r="S296" s="72"/>
      <c r="T296" s="77">
        <v>0</v>
      </c>
      <c r="U296" s="15"/>
      <c r="V296" s="15"/>
      <c r="W296" s="15"/>
      <c r="X296" s="15"/>
      <c r="Y296" s="15"/>
      <c r="Z296" s="35"/>
      <c r="AA296" s="35"/>
      <c r="AB296" s="35"/>
      <c r="AC296" s="35"/>
      <c r="AD296" s="2"/>
      <c r="AE296" s="2"/>
      <c r="AF296" s="2"/>
      <c r="AG296" s="2"/>
      <c r="AH296" s="20"/>
      <c r="AI296" s="20"/>
      <c r="AJ296" s="20"/>
      <c r="AK296" s="20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84"/>
      <c r="CB296" s="84"/>
      <c r="CC296" s="84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86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</row>
    <row r="297" spans="1:109" ht="12.75">
      <c r="A297" s="15" t="s">
        <v>402</v>
      </c>
      <c r="B297" s="16" t="s">
        <v>62</v>
      </c>
      <c r="C297" s="87" t="s">
        <v>431</v>
      </c>
      <c r="D297" s="87">
        <v>164313</v>
      </c>
      <c r="E297" s="88">
        <v>7</v>
      </c>
      <c r="F297" s="89">
        <v>0</v>
      </c>
      <c r="G297" s="89">
        <v>11969.1</v>
      </c>
      <c r="H297" s="89">
        <v>829.2</v>
      </c>
      <c r="I297" s="90">
        <v>20340</v>
      </c>
      <c r="J297" s="91">
        <v>33138.3</v>
      </c>
      <c r="K297" s="92"/>
      <c r="L297" s="89"/>
      <c r="M297" s="89"/>
      <c r="N297" s="91"/>
      <c r="O297" s="93"/>
      <c r="P297" s="92"/>
      <c r="Q297" s="89"/>
      <c r="R297" s="89"/>
      <c r="S297" s="91"/>
      <c r="T297" s="94">
        <v>0</v>
      </c>
      <c r="U297" s="15"/>
      <c r="V297" s="15"/>
      <c r="W297" s="15"/>
      <c r="X297" s="15"/>
      <c r="Y297" s="15"/>
      <c r="Z297" s="35"/>
      <c r="AA297" s="35"/>
      <c r="AB297" s="35"/>
      <c r="AC297" s="35"/>
      <c r="AD297" s="2"/>
      <c r="AE297" s="2"/>
      <c r="AF297" s="2"/>
      <c r="AG297" s="2"/>
      <c r="AH297" s="20"/>
      <c r="AI297" s="20"/>
      <c r="AJ297" s="20"/>
      <c r="AK297" s="20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84"/>
      <c r="CB297" s="84"/>
      <c r="CC297" s="84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86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</row>
    <row r="298" spans="1:109" ht="12.75">
      <c r="A298" s="15" t="s">
        <v>402</v>
      </c>
      <c r="B298" s="16" t="s">
        <v>62</v>
      </c>
      <c r="C298" s="66" t="s">
        <v>432</v>
      </c>
      <c r="D298" s="66">
        <v>163259</v>
      </c>
      <c r="E298" s="67">
        <v>9</v>
      </c>
      <c r="F298" s="71" t="s">
        <v>433</v>
      </c>
      <c r="G298" s="71"/>
      <c r="H298" s="71"/>
      <c r="I298" s="72"/>
      <c r="J298" s="69">
        <v>0</v>
      </c>
      <c r="K298" s="75"/>
      <c r="L298" s="71"/>
      <c r="M298" s="71"/>
      <c r="N298" s="72"/>
      <c r="O298" s="76"/>
      <c r="P298" s="75"/>
      <c r="Q298" s="71"/>
      <c r="R298" s="71"/>
      <c r="S298" s="72"/>
      <c r="T298" s="77">
        <v>0</v>
      </c>
      <c r="U298" s="15"/>
      <c r="V298" s="15"/>
      <c r="W298" s="15"/>
      <c r="X298" s="15"/>
      <c r="Y298" s="15"/>
      <c r="Z298" s="35"/>
      <c r="AA298" s="35"/>
      <c r="AB298" s="35"/>
      <c r="AC298" s="35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84"/>
      <c r="CB298" s="84"/>
      <c r="CC298" s="84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86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</row>
    <row r="299" spans="1:109" ht="12.75">
      <c r="A299" s="15" t="s">
        <v>402</v>
      </c>
      <c r="B299" s="16" t="s">
        <v>62</v>
      </c>
      <c r="C299" s="66" t="s">
        <v>434</v>
      </c>
      <c r="D299" s="66">
        <v>163204</v>
      </c>
      <c r="E299" s="67">
        <v>9</v>
      </c>
      <c r="F299" s="71">
        <v>116</v>
      </c>
      <c r="G299" s="71">
        <v>58725</v>
      </c>
      <c r="H299" s="71">
        <v>28954</v>
      </c>
      <c r="I299" s="72">
        <v>61153</v>
      </c>
      <c r="J299" s="76">
        <v>148948</v>
      </c>
      <c r="K299" s="75"/>
      <c r="L299" s="71"/>
      <c r="M299" s="71"/>
      <c r="N299" s="72"/>
      <c r="O299" s="76"/>
      <c r="P299" s="75">
        <v>134</v>
      </c>
      <c r="Q299" s="71">
        <v>14835</v>
      </c>
      <c r="R299" s="71">
        <v>5566</v>
      </c>
      <c r="S299" s="72">
        <v>13664</v>
      </c>
      <c r="T299" s="73">
        <v>34199</v>
      </c>
      <c r="U299" s="15"/>
      <c r="V299" s="15"/>
      <c r="W299" s="15"/>
      <c r="X299" s="15"/>
      <c r="Y299" s="15"/>
      <c r="Z299" s="35"/>
      <c r="AA299" s="35"/>
      <c r="AB299" s="35"/>
      <c r="AC299" s="35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84"/>
      <c r="CB299" s="84"/>
      <c r="CC299" s="84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86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</row>
    <row r="300" spans="1:109" ht="12.75">
      <c r="A300" s="15" t="s">
        <v>435</v>
      </c>
      <c r="B300" s="16" t="s">
        <v>62</v>
      </c>
      <c r="C300" s="15" t="s">
        <v>436</v>
      </c>
      <c r="D300" s="21">
        <v>176080</v>
      </c>
      <c r="E300" s="22">
        <v>1</v>
      </c>
      <c r="F300" s="23"/>
      <c r="G300" s="23">
        <v>142796</v>
      </c>
      <c r="H300" s="23">
        <v>36439</v>
      </c>
      <c r="I300" s="24">
        <v>161543</v>
      </c>
      <c r="J300" s="24">
        <f aca="true" t="shared" si="13" ref="J300:J330">SUM(F300:I300)</f>
        <v>340778</v>
      </c>
      <c r="K300" s="25"/>
      <c r="L300" s="23"/>
      <c r="M300" s="23"/>
      <c r="N300" s="24"/>
      <c r="O300" s="26"/>
      <c r="P300" s="25"/>
      <c r="Q300" s="23">
        <v>18737</v>
      </c>
      <c r="R300" s="23">
        <v>12257</v>
      </c>
      <c r="S300" s="24">
        <v>18976</v>
      </c>
      <c r="T300" s="26">
        <f aca="true" t="shared" si="14" ref="T300:T308">SUM(P300:S300)</f>
        <v>49970</v>
      </c>
      <c r="U300" s="15"/>
      <c r="V300" s="15"/>
      <c r="W300" s="15"/>
      <c r="X300" s="15"/>
      <c r="Y300" s="15"/>
      <c r="Z300" s="35"/>
      <c r="AA300" s="35"/>
      <c r="AB300" s="35"/>
      <c r="AC300" s="35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84"/>
      <c r="CB300" s="84"/>
      <c r="CC300" s="84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86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</row>
    <row r="301" spans="1:109" ht="12.75">
      <c r="A301" s="15" t="s">
        <v>435</v>
      </c>
      <c r="B301" s="16" t="s">
        <v>62</v>
      </c>
      <c r="C301" s="15" t="s">
        <v>437</v>
      </c>
      <c r="D301" s="21">
        <v>176017</v>
      </c>
      <c r="E301" s="22">
        <v>2</v>
      </c>
      <c r="F301" s="23"/>
      <c r="G301" s="23">
        <v>104739</v>
      </c>
      <c r="H301" s="23">
        <v>24228</v>
      </c>
      <c r="I301" s="24">
        <v>118719</v>
      </c>
      <c r="J301" s="24">
        <f t="shared" si="13"/>
        <v>247686</v>
      </c>
      <c r="K301" s="25"/>
      <c r="L301" s="23"/>
      <c r="M301" s="23"/>
      <c r="N301" s="24"/>
      <c r="O301" s="26"/>
      <c r="P301" s="25"/>
      <c r="Q301" s="23">
        <v>21841</v>
      </c>
      <c r="R301" s="23">
        <v>7431</v>
      </c>
      <c r="S301" s="24">
        <v>23617</v>
      </c>
      <c r="T301" s="26">
        <f t="shared" si="14"/>
        <v>52889</v>
      </c>
      <c r="U301" s="15"/>
      <c r="V301" s="15"/>
      <c r="W301" s="15"/>
      <c r="X301" s="15"/>
      <c r="Y301" s="15"/>
      <c r="Z301" s="35"/>
      <c r="AA301" s="35"/>
      <c r="AB301" s="35"/>
      <c r="AC301" s="35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84"/>
      <c r="CB301" s="84"/>
      <c r="CC301" s="84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86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</row>
    <row r="302" spans="1:109" ht="12.75">
      <c r="A302" s="15" t="s">
        <v>435</v>
      </c>
      <c r="B302" s="16" t="s">
        <v>62</v>
      </c>
      <c r="C302" s="15" t="s">
        <v>438</v>
      </c>
      <c r="D302" s="21">
        <v>176372</v>
      </c>
      <c r="E302" s="22">
        <v>2</v>
      </c>
      <c r="F302" s="23"/>
      <c r="G302" s="23">
        <v>136554</v>
      </c>
      <c r="H302" s="23">
        <v>41768</v>
      </c>
      <c r="I302" s="24">
        <v>154545</v>
      </c>
      <c r="J302" s="24">
        <f t="shared" si="13"/>
        <v>332867</v>
      </c>
      <c r="K302" s="25"/>
      <c r="L302" s="23"/>
      <c r="M302" s="23"/>
      <c r="N302" s="24"/>
      <c r="O302" s="26"/>
      <c r="P302" s="25"/>
      <c r="Q302" s="23">
        <v>20606</v>
      </c>
      <c r="R302" s="23">
        <v>25960</v>
      </c>
      <c r="S302" s="24">
        <v>21366</v>
      </c>
      <c r="T302" s="26">
        <f t="shared" si="14"/>
        <v>67932</v>
      </c>
      <c r="U302" s="15"/>
      <c r="V302" s="15"/>
      <c r="W302" s="15"/>
      <c r="X302" s="15"/>
      <c r="Y302" s="15"/>
      <c r="Z302" s="35"/>
      <c r="AA302" s="35"/>
      <c r="AB302" s="35"/>
      <c r="AC302" s="35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84"/>
      <c r="CB302" s="84"/>
      <c r="CC302" s="84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86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</row>
    <row r="303" spans="1:109" ht="12.75">
      <c r="A303" s="15" t="s">
        <v>435</v>
      </c>
      <c r="B303" s="16" t="s">
        <v>62</v>
      </c>
      <c r="C303" s="15" t="s">
        <v>439</v>
      </c>
      <c r="D303" s="21">
        <v>175856</v>
      </c>
      <c r="E303" s="22">
        <v>3</v>
      </c>
      <c r="F303" s="23"/>
      <c r="G303" s="23">
        <v>69672</v>
      </c>
      <c r="H303" s="23">
        <v>15003</v>
      </c>
      <c r="I303" s="24">
        <v>72304</v>
      </c>
      <c r="J303" s="24">
        <f t="shared" si="13"/>
        <v>156979</v>
      </c>
      <c r="K303" s="25"/>
      <c r="L303" s="23"/>
      <c r="M303" s="23"/>
      <c r="N303" s="24"/>
      <c r="O303" s="26"/>
      <c r="P303" s="25"/>
      <c r="Q303" s="23">
        <v>6133</v>
      </c>
      <c r="R303" s="23">
        <v>3084</v>
      </c>
      <c r="S303" s="24">
        <v>7215</v>
      </c>
      <c r="T303" s="26">
        <f t="shared" si="14"/>
        <v>16432</v>
      </c>
      <c r="U303" s="15"/>
      <c r="V303" s="15"/>
      <c r="W303" s="15"/>
      <c r="X303" s="15"/>
      <c r="Y303" s="15"/>
      <c r="Z303" s="35"/>
      <c r="AA303" s="35"/>
      <c r="AB303" s="35"/>
      <c r="AC303" s="35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84"/>
      <c r="CB303" s="84"/>
      <c r="CC303" s="84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86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</row>
    <row r="304" spans="1:109" ht="12.75">
      <c r="A304" s="15" t="s">
        <v>435</v>
      </c>
      <c r="B304" s="16" t="s">
        <v>62</v>
      </c>
      <c r="C304" s="15" t="s">
        <v>440</v>
      </c>
      <c r="D304" s="21">
        <v>175342</v>
      </c>
      <c r="E304" s="22">
        <v>5</v>
      </c>
      <c r="F304" s="23"/>
      <c r="G304" s="23">
        <v>39663</v>
      </c>
      <c r="H304" s="23">
        <v>9727</v>
      </c>
      <c r="I304" s="24">
        <v>41760</v>
      </c>
      <c r="J304" s="24">
        <f t="shared" si="13"/>
        <v>91150</v>
      </c>
      <c r="K304" s="25"/>
      <c r="L304" s="23"/>
      <c r="M304" s="23"/>
      <c r="N304" s="24"/>
      <c r="O304" s="26"/>
      <c r="P304" s="25"/>
      <c r="Q304" s="23">
        <v>1645</v>
      </c>
      <c r="R304" s="23">
        <v>2510</v>
      </c>
      <c r="S304" s="24">
        <v>2206</v>
      </c>
      <c r="T304" s="26">
        <f t="shared" si="14"/>
        <v>6361</v>
      </c>
      <c r="U304" s="15"/>
      <c r="V304" s="15"/>
      <c r="W304" s="15"/>
      <c r="X304" s="15"/>
      <c r="Y304" s="15"/>
      <c r="Z304" s="35"/>
      <c r="AA304" s="35"/>
      <c r="AB304" s="35"/>
      <c r="AC304" s="35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84"/>
      <c r="CB304" s="84"/>
      <c r="CC304" s="84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86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</row>
    <row r="305" spans="1:109" ht="12.75">
      <c r="A305" s="15" t="s">
        <v>435</v>
      </c>
      <c r="B305" s="16" t="s">
        <v>62</v>
      </c>
      <c r="C305" s="15" t="s">
        <v>441</v>
      </c>
      <c r="D305" s="21">
        <v>175616</v>
      </c>
      <c r="E305" s="22">
        <v>5</v>
      </c>
      <c r="F305" s="23"/>
      <c r="G305" s="23">
        <v>42493</v>
      </c>
      <c r="H305" s="23">
        <v>8679</v>
      </c>
      <c r="I305" s="24">
        <v>45953</v>
      </c>
      <c r="J305" s="24">
        <f t="shared" si="13"/>
        <v>97125</v>
      </c>
      <c r="K305" s="25"/>
      <c r="L305" s="23"/>
      <c r="M305" s="23"/>
      <c r="N305" s="24"/>
      <c r="O305" s="26"/>
      <c r="P305" s="25"/>
      <c r="Q305" s="23">
        <v>3259</v>
      </c>
      <c r="R305" s="23">
        <v>2919</v>
      </c>
      <c r="S305" s="24">
        <v>3580</v>
      </c>
      <c r="T305" s="26">
        <f t="shared" si="14"/>
        <v>9758</v>
      </c>
      <c r="U305" s="15"/>
      <c r="V305" s="15"/>
      <c r="W305" s="15"/>
      <c r="X305" s="15"/>
      <c r="Y305" s="15"/>
      <c r="Z305" s="35"/>
      <c r="AA305" s="35"/>
      <c r="AB305" s="35"/>
      <c r="AC305" s="35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84"/>
      <c r="CB305" s="84"/>
      <c r="CC305" s="84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86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</row>
    <row r="306" spans="1:109" ht="12.75">
      <c r="A306" s="15" t="s">
        <v>435</v>
      </c>
      <c r="B306" s="16" t="s">
        <v>62</v>
      </c>
      <c r="C306" s="15" t="s">
        <v>442</v>
      </c>
      <c r="D306" s="21">
        <v>176035</v>
      </c>
      <c r="E306" s="22">
        <v>6</v>
      </c>
      <c r="F306" s="23"/>
      <c r="G306" s="23">
        <v>28208</v>
      </c>
      <c r="H306" s="23">
        <v>7105</v>
      </c>
      <c r="I306" s="24">
        <v>31413</v>
      </c>
      <c r="J306" s="24">
        <f t="shared" si="13"/>
        <v>66726</v>
      </c>
      <c r="K306" s="25"/>
      <c r="L306" s="23"/>
      <c r="M306" s="23"/>
      <c r="N306" s="24"/>
      <c r="O306" s="26"/>
      <c r="P306" s="25"/>
      <c r="Q306" s="23">
        <v>962</v>
      </c>
      <c r="R306" s="23">
        <v>1121</v>
      </c>
      <c r="S306" s="24">
        <v>1192</v>
      </c>
      <c r="T306" s="26">
        <f t="shared" si="14"/>
        <v>3275</v>
      </c>
      <c r="U306" s="15"/>
      <c r="V306" s="15"/>
      <c r="W306" s="15"/>
      <c r="X306" s="15"/>
      <c r="Y306" s="15"/>
      <c r="Z306" s="35"/>
      <c r="AA306" s="35"/>
      <c r="AB306" s="35"/>
      <c r="AC306" s="35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84"/>
      <c r="CB306" s="84"/>
      <c r="CC306" s="84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86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</row>
    <row r="307" spans="1:109" ht="12.75">
      <c r="A307" s="15" t="s">
        <v>435</v>
      </c>
      <c r="B307" s="16" t="s">
        <v>62</v>
      </c>
      <c r="C307" s="15" t="s">
        <v>443</v>
      </c>
      <c r="D307" s="21">
        <v>176044</v>
      </c>
      <c r="E307" s="22">
        <v>6</v>
      </c>
      <c r="F307" s="23"/>
      <c r="G307" s="23">
        <v>31353</v>
      </c>
      <c r="H307" s="23">
        <v>8823</v>
      </c>
      <c r="I307" s="24">
        <v>31915</v>
      </c>
      <c r="J307" s="24">
        <f t="shared" si="13"/>
        <v>72091</v>
      </c>
      <c r="K307" s="25"/>
      <c r="L307" s="23"/>
      <c r="M307" s="23"/>
      <c r="N307" s="24"/>
      <c r="O307" s="26"/>
      <c r="P307" s="25"/>
      <c r="Q307" s="23">
        <v>259</v>
      </c>
      <c r="R307" s="23">
        <v>298</v>
      </c>
      <c r="S307" s="24">
        <v>430</v>
      </c>
      <c r="T307" s="26">
        <f t="shared" si="14"/>
        <v>987</v>
      </c>
      <c r="U307" s="15"/>
      <c r="V307" s="15"/>
      <c r="W307" s="15"/>
      <c r="X307" s="15"/>
      <c r="Y307" s="15"/>
      <c r="Z307" s="35"/>
      <c r="AA307" s="35"/>
      <c r="AB307" s="35"/>
      <c r="AC307" s="35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84"/>
      <c r="CB307" s="84"/>
      <c r="CC307" s="84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86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</row>
    <row r="308" spans="1:109" ht="12.75">
      <c r="A308" s="15" t="s">
        <v>435</v>
      </c>
      <c r="B308" s="16" t="s">
        <v>62</v>
      </c>
      <c r="C308" s="15" t="s">
        <v>444</v>
      </c>
      <c r="D308" s="21">
        <v>176026</v>
      </c>
      <c r="E308" s="22">
        <v>9</v>
      </c>
      <c r="F308" s="23"/>
      <c r="G308" s="23">
        <v>8460</v>
      </c>
      <c r="H308" s="23">
        <v>3279</v>
      </c>
      <c r="I308" s="24">
        <v>9010</v>
      </c>
      <c r="J308" s="24">
        <f t="shared" si="13"/>
        <v>20749</v>
      </c>
      <c r="K308" s="25"/>
      <c r="L308" s="23"/>
      <c r="M308" s="23"/>
      <c r="N308" s="24"/>
      <c r="O308" s="26"/>
      <c r="P308" s="25"/>
      <c r="Q308" s="23">
        <v>21374</v>
      </c>
      <c r="R308" s="23">
        <v>16292</v>
      </c>
      <c r="S308" s="24">
        <v>21898</v>
      </c>
      <c r="T308" s="26">
        <f t="shared" si="14"/>
        <v>59564</v>
      </c>
      <c r="U308" s="15"/>
      <c r="V308" s="15"/>
      <c r="W308" s="15"/>
      <c r="X308" s="15"/>
      <c r="Y308" s="15"/>
      <c r="Z308" s="35"/>
      <c r="AA308" s="35"/>
      <c r="AB308" s="35"/>
      <c r="AC308" s="35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84"/>
      <c r="CB308" s="84"/>
      <c r="CC308" s="84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86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</row>
    <row r="309" spans="1:109" ht="12.75">
      <c r="A309" s="15" t="s">
        <v>435</v>
      </c>
      <c r="B309" s="16" t="s">
        <v>445</v>
      </c>
      <c r="C309" s="15" t="s">
        <v>446</v>
      </c>
      <c r="D309" s="21">
        <v>175519</v>
      </c>
      <c r="E309" s="22">
        <v>7</v>
      </c>
      <c r="F309" s="23"/>
      <c r="G309" s="23"/>
      <c r="H309" s="23"/>
      <c r="I309" s="17">
        <v>12876</v>
      </c>
      <c r="J309" s="24">
        <f t="shared" si="13"/>
        <v>12876</v>
      </c>
      <c r="K309" s="25"/>
      <c r="L309" s="23"/>
      <c r="M309" s="23"/>
      <c r="N309" s="24"/>
      <c r="O309" s="26"/>
      <c r="P309" s="25"/>
      <c r="Q309" s="23"/>
      <c r="R309" s="23"/>
      <c r="S309" s="24"/>
      <c r="T309" s="26"/>
      <c r="U309" s="15"/>
      <c r="V309" s="15"/>
      <c r="W309" s="15"/>
      <c r="X309" s="15"/>
      <c r="Y309" s="15"/>
      <c r="Z309" s="35"/>
      <c r="AA309" s="35"/>
      <c r="AB309" s="35"/>
      <c r="AC309" s="35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84"/>
      <c r="CB309" s="84"/>
      <c r="CC309" s="84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86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</row>
    <row r="310" spans="1:109" ht="12.75">
      <c r="A310" s="15" t="s">
        <v>435</v>
      </c>
      <c r="B310" s="16" t="s">
        <v>445</v>
      </c>
      <c r="C310" s="15" t="s">
        <v>447</v>
      </c>
      <c r="D310" s="21">
        <v>175573</v>
      </c>
      <c r="E310" s="22">
        <v>7</v>
      </c>
      <c r="F310" s="23"/>
      <c r="G310" s="23"/>
      <c r="H310" s="23"/>
      <c r="I310" s="24">
        <f>22536+7261</f>
        <v>29797</v>
      </c>
      <c r="J310" s="24">
        <f t="shared" si="13"/>
        <v>29797</v>
      </c>
      <c r="K310" s="25"/>
      <c r="L310" s="23"/>
      <c r="M310" s="23"/>
      <c r="N310" s="24"/>
      <c r="O310" s="26"/>
      <c r="P310" s="25"/>
      <c r="Q310" s="23"/>
      <c r="R310" s="23"/>
      <c r="S310" s="24"/>
      <c r="T310" s="26"/>
      <c r="U310" s="15"/>
      <c r="V310" s="15"/>
      <c r="W310" s="15"/>
      <c r="X310" s="15"/>
      <c r="Y310" s="15"/>
      <c r="Z310" s="35"/>
      <c r="AA310" s="35"/>
      <c r="AB310" s="35"/>
      <c r="AC310" s="35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84"/>
      <c r="CB310" s="84"/>
      <c r="CC310" s="84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86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</row>
    <row r="311" spans="1:109" ht="12.75">
      <c r="A311" s="15" t="s">
        <v>435</v>
      </c>
      <c r="B311" s="16" t="s">
        <v>445</v>
      </c>
      <c r="C311" s="15" t="s">
        <v>448</v>
      </c>
      <c r="D311" s="21">
        <v>175643</v>
      </c>
      <c r="E311" s="65">
        <v>7</v>
      </c>
      <c r="F311" s="23"/>
      <c r="G311" s="23"/>
      <c r="H311" s="23"/>
      <c r="I311" s="24">
        <v>21793</v>
      </c>
      <c r="J311" s="24">
        <f t="shared" si="13"/>
        <v>21793</v>
      </c>
      <c r="K311" s="25"/>
      <c r="L311" s="23"/>
      <c r="M311" s="23"/>
      <c r="N311" s="24"/>
      <c r="O311" s="26"/>
      <c r="P311" s="25"/>
      <c r="Q311" s="23"/>
      <c r="R311" s="23"/>
      <c r="S311" s="24"/>
      <c r="T311" s="26"/>
      <c r="U311" s="15"/>
      <c r="V311" s="15"/>
      <c r="W311" s="15"/>
      <c r="X311" s="15"/>
      <c r="Y311" s="15"/>
      <c r="Z311" s="35"/>
      <c r="AA311" s="35"/>
      <c r="AB311" s="35"/>
      <c r="AC311" s="35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84"/>
      <c r="CB311" s="84"/>
      <c r="CC311" s="84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86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</row>
    <row r="312" spans="1:109" ht="12.75">
      <c r="A312" s="15" t="s">
        <v>435</v>
      </c>
      <c r="B312" s="16" t="s">
        <v>445</v>
      </c>
      <c r="C312" s="15" t="s">
        <v>449</v>
      </c>
      <c r="D312" s="21">
        <v>175652</v>
      </c>
      <c r="E312" s="65">
        <v>7</v>
      </c>
      <c r="F312" s="23"/>
      <c r="G312" s="23"/>
      <c r="H312" s="23"/>
      <c r="I312" s="24">
        <f>11826+7255</f>
        <v>19081</v>
      </c>
      <c r="J312" s="24">
        <f t="shared" si="13"/>
        <v>19081</v>
      </c>
      <c r="K312" s="25"/>
      <c r="L312" s="23"/>
      <c r="M312" s="23"/>
      <c r="N312" s="24"/>
      <c r="O312" s="26"/>
      <c r="P312" s="25"/>
      <c r="Q312" s="23"/>
      <c r="R312" s="23"/>
      <c r="S312" s="24"/>
      <c r="T312" s="26"/>
      <c r="U312" s="15"/>
      <c r="V312" s="15"/>
      <c r="W312" s="15"/>
      <c r="X312" s="15"/>
      <c r="Y312" s="15"/>
      <c r="Z312" s="35"/>
      <c r="AA312" s="35"/>
      <c r="AB312" s="35"/>
      <c r="AC312" s="35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84"/>
      <c r="CB312" s="84"/>
      <c r="CC312" s="84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86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</row>
    <row r="313" spans="1:109" ht="12.75">
      <c r="A313" s="15" t="s">
        <v>435</v>
      </c>
      <c r="B313" s="16" t="s">
        <v>445</v>
      </c>
      <c r="C313" s="15" t="s">
        <v>450</v>
      </c>
      <c r="D313" s="21">
        <v>175786</v>
      </c>
      <c r="E313" s="22">
        <v>7</v>
      </c>
      <c r="F313" s="23"/>
      <c r="G313" s="23"/>
      <c r="H313" s="23"/>
      <c r="I313" s="24">
        <v>101236</v>
      </c>
      <c r="J313" s="24">
        <f t="shared" si="13"/>
        <v>101236</v>
      </c>
      <c r="K313" s="25"/>
      <c r="L313" s="23"/>
      <c r="M313" s="23"/>
      <c r="N313" s="24"/>
      <c r="O313" s="26"/>
      <c r="P313" s="25"/>
      <c r="Q313" s="23"/>
      <c r="R313" s="23"/>
      <c r="S313" s="24"/>
      <c r="T313" s="26"/>
      <c r="U313" s="15"/>
      <c r="V313" s="15"/>
      <c r="W313" s="15"/>
      <c r="X313" s="15"/>
      <c r="Y313" s="15"/>
      <c r="Z313" s="35"/>
      <c r="AA313" s="35"/>
      <c r="AB313" s="35"/>
      <c r="AC313" s="35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84"/>
      <c r="CB313" s="84"/>
      <c r="CC313" s="84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86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</row>
    <row r="314" spans="1:109" ht="12.75">
      <c r="A314" s="15" t="s">
        <v>435</v>
      </c>
      <c r="B314" s="16" t="s">
        <v>445</v>
      </c>
      <c r="C314" s="15" t="s">
        <v>451</v>
      </c>
      <c r="D314" s="21">
        <v>175810</v>
      </c>
      <c r="E314" s="22">
        <v>7</v>
      </c>
      <c r="F314" s="23"/>
      <c r="G314" s="23"/>
      <c r="H314" s="23"/>
      <c r="I314" s="24">
        <f>13278+7716+10074</f>
        <v>31068</v>
      </c>
      <c r="J314" s="24">
        <f t="shared" si="13"/>
        <v>31068</v>
      </c>
      <c r="K314" s="25"/>
      <c r="L314" s="23"/>
      <c r="M314" s="23"/>
      <c r="N314" s="24"/>
      <c r="O314" s="26"/>
      <c r="P314" s="25"/>
      <c r="Q314" s="23"/>
      <c r="R314" s="23"/>
      <c r="S314" s="24"/>
      <c r="T314" s="26"/>
      <c r="U314" s="15"/>
      <c r="V314" s="15"/>
      <c r="W314" s="15"/>
      <c r="X314" s="15"/>
      <c r="Y314" s="15"/>
      <c r="Z314" s="35"/>
      <c r="AA314" s="35"/>
      <c r="AB314" s="35"/>
      <c r="AC314" s="35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84"/>
      <c r="CB314" s="84"/>
      <c r="CC314" s="84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86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</row>
    <row r="315" spans="1:109" ht="12.75">
      <c r="A315" s="15" t="s">
        <v>435</v>
      </c>
      <c r="B315" s="16" t="s">
        <v>445</v>
      </c>
      <c r="C315" s="15" t="s">
        <v>452</v>
      </c>
      <c r="D315" s="21">
        <v>175829</v>
      </c>
      <c r="E315" s="22">
        <v>7</v>
      </c>
      <c r="F315" s="23"/>
      <c r="G315" s="23"/>
      <c r="H315" s="23"/>
      <c r="I315" s="24">
        <f>31833+8307</f>
        <v>40140</v>
      </c>
      <c r="J315" s="24">
        <f t="shared" si="13"/>
        <v>40140</v>
      </c>
      <c r="K315" s="25"/>
      <c r="L315" s="23"/>
      <c r="M315" s="23"/>
      <c r="N315" s="24"/>
      <c r="O315" s="26"/>
      <c r="P315" s="25"/>
      <c r="Q315" s="23"/>
      <c r="R315" s="23"/>
      <c r="S315" s="24"/>
      <c r="T315" s="26"/>
      <c r="U315" s="15"/>
      <c r="V315" s="15"/>
      <c r="W315" s="15"/>
      <c r="X315" s="15"/>
      <c r="Y315" s="15"/>
      <c r="Z315" s="35"/>
      <c r="AA315" s="35"/>
      <c r="AB315" s="35"/>
      <c r="AC315" s="35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84"/>
      <c r="CB315" s="84"/>
      <c r="CC315" s="84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86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</row>
    <row r="316" spans="1:109" ht="12.75">
      <c r="A316" s="15" t="s">
        <v>435</v>
      </c>
      <c r="B316" s="16" t="s">
        <v>445</v>
      </c>
      <c r="C316" s="15" t="s">
        <v>453</v>
      </c>
      <c r="D316" s="21">
        <v>175883</v>
      </c>
      <c r="E316" s="22">
        <v>7</v>
      </c>
      <c r="F316" s="23"/>
      <c r="G316" s="23"/>
      <c r="H316" s="23"/>
      <c r="I316" s="24">
        <v>55809</v>
      </c>
      <c r="J316" s="24">
        <f t="shared" si="13"/>
        <v>55809</v>
      </c>
      <c r="K316" s="25"/>
      <c r="L316" s="23"/>
      <c r="M316" s="23"/>
      <c r="N316" s="24"/>
      <c r="O316" s="26"/>
      <c r="P316" s="25"/>
      <c r="Q316" s="23"/>
      <c r="R316" s="23"/>
      <c r="S316" s="24"/>
      <c r="T316" s="26"/>
      <c r="U316" s="15"/>
      <c r="V316" s="15"/>
      <c r="W316" s="15"/>
      <c r="X316" s="15"/>
      <c r="Y316" s="15"/>
      <c r="Z316" s="35"/>
      <c r="AA316" s="35"/>
      <c r="AB316" s="35"/>
      <c r="AC316" s="35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84"/>
      <c r="CB316" s="84"/>
      <c r="CC316" s="84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86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</row>
    <row r="317" spans="1:109" ht="12.75">
      <c r="A317" s="15" t="s">
        <v>435</v>
      </c>
      <c r="B317" s="16" t="s">
        <v>445</v>
      </c>
      <c r="C317" s="15" t="s">
        <v>454</v>
      </c>
      <c r="D317" s="21">
        <v>175935</v>
      </c>
      <c r="E317" s="22">
        <v>7</v>
      </c>
      <c r="F317" s="23"/>
      <c r="G317" s="23"/>
      <c r="H317" s="23"/>
      <c r="I317" s="24">
        <v>31869</v>
      </c>
      <c r="J317" s="24">
        <f t="shared" si="13"/>
        <v>31869</v>
      </c>
      <c r="K317" s="25"/>
      <c r="L317" s="23"/>
      <c r="M317" s="23"/>
      <c r="N317" s="24"/>
      <c r="O317" s="26"/>
      <c r="P317" s="25"/>
      <c r="Q317" s="23"/>
      <c r="R317" s="23"/>
      <c r="S317" s="24"/>
      <c r="T317" s="26"/>
      <c r="U317" s="15"/>
      <c r="V317" s="15"/>
      <c r="W317" s="15"/>
      <c r="X317" s="15"/>
      <c r="Y317" s="15"/>
      <c r="Z317" s="35"/>
      <c r="AA317" s="35"/>
      <c r="AB317" s="35"/>
      <c r="AC317" s="35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84"/>
      <c r="CB317" s="84"/>
      <c r="CC317" s="84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86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</row>
    <row r="318" spans="1:109" ht="12.75">
      <c r="A318" s="15" t="s">
        <v>435</v>
      </c>
      <c r="B318" s="16" t="s">
        <v>445</v>
      </c>
      <c r="C318" s="15" t="s">
        <v>455</v>
      </c>
      <c r="D318" s="21">
        <v>176008</v>
      </c>
      <c r="E318" s="22">
        <v>7</v>
      </c>
      <c r="F318" s="23"/>
      <c r="G318" s="23"/>
      <c r="H318" s="23"/>
      <c r="I318" s="24">
        <v>31965</v>
      </c>
      <c r="J318" s="24">
        <f t="shared" si="13"/>
        <v>31965</v>
      </c>
      <c r="K318" s="25"/>
      <c r="L318" s="23"/>
      <c r="M318" s="23"/>
      <c r="N318" s="24"/>
      <c r="O318" s="26"/>
      <c r="P318" s="25"/>
      <c r="Q318" s="23"/>
      <c r="R318" s="23"/>
      <c r="S318" s="24"/>
      <c r="T318" s="26"/>
      <c r="U318" s="15"/>
      <c r="V318" s="15"/>
      <c r="W318" s="15"/>
      <c r="X318" s="15"/>
      <c r="Y318" s="15"/>
      <c r="Z318" s="35"/>
      <c r="AA318" s="35"/>
      <c r="AB318" s="35"/>
      <c r="AC318" s="35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84"/>
      <c r="CB318" s="84"/>
      <c r="CC318" s="84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86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</row>
    <row r="319" spans="1:109" ht="12.75">
      <c r="A319" s="15" t="s">
        <v>435</v>
      </c>
      <c r="B319" s="16" t="s">
        <v>445</v>
      </c>
      <c r="C319" s="15" t="s">
        <v>456</v>
      </c>
      <c r="D319" s="21">
        <v>176071</v>
      </c>
      <c r="E319" s="22">
        <v>7</v>
      </c>
      <c r="F319" s="23"/>
      <c r="G319" s="23"/>
      <c r="H319" s="23"/>
      <c r="I319" s="24">
        <v>92229</v>
      </c>
      <c r="J319" s="24">
        <f t="shared" si="13"/>
        <v>92229</v>
      </c>
      <c r="K319" s="25"/>
      <c r="L319" s="23"/>
      <c r="M319" s="23"/>
      <c r="N319" s="24"/>
      <c r="O319" s="26"/>
      <c r="P319" s="25"/>
      <c r="Q319" s="23"/>
      <c r="R319" s="23"/>
      <c r="S319" s="24"/>
      <c r="T319" s="26"/>
      <c r="U319" s="15"/>
      <c r="V319" s="15"/>
      <c r="W319" s="15"/>
      <c r="X319" s="15"/>
      <c r="Y319" s="15"/>
      <c r="Z319" s="35"/>
      <c r="AA319" s="35"/>
      <c r="AB319" s="35"/>
      <c r="AC319" s="35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84"/>
      <c r="CB319" s="84"/>
      <c r="CC319" s="84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86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</row>
    <row r="320" spans="1:109" ht="12.75">
      <c r="A320" s="15" t="s">
        <v>435</v>
      </c>
      <c r="B320" s="16" t="s">
        <v>445</v>
      </c>
      <c r="C320" s="15" t="s">
        <v>457</v>
      </c>
      <c r="D320" s="21">
        <v>176169</v>
      </c>
      <c r="E320" s="22">
        <v>7</v>
      </c>
      <c r="F320" s="23"/>
      <c r="G320" s="23"/>
      <c r="H320" s="23"/>
      <c r="I320" s="24">
        <v>40237</v>
      </c>
      <c r="J320" s="24">
        <f t="shared" si="13"/>
        <v>40237</v>
      </c>
      <c r="K320" s="25"/>
      <c r="L320" s="23"/>
      <c r="M320" s="23"/>
      <c r="N320" s="24"/>
      <c r="O320" s="26"/>
      <c r="P320" s="25"/>
      <c r="Q320" s="23"/>
      <c r="R320" s="23"/>
      <c r="S320" s="24"/>
      <c r="T320" s="26"/>
      <c r="U320" s="15"/>
      <c r="V320" s="15"/>
      <c r="W320" s="15"/>
      <c r="X320" s="15"/>
      <c r="Y320" s="15"/>
      <c r="Z320" s="35"/>
      <c r="AA320" s="35"/>
      <c r="AB320" s="35"/>
      <c r="AC320" s="35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84"/>
      <c r="CB320" s="84"/>
      <c r="CC320" s="84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86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</row>
    <row r="321" spans="1:109" ht="12.75">
      <c r="A321" s="15" t="s">
        <v>435</v>
      </c>
      <c r="B321" s="16" t="s">
        <v>445</v>
      </c>
      <c r="C321" s="15" t="s">
        <v>458</v>
      </c>
      <c r="D321" s="21">
        <v>176178</v>
      </c>
      <c r="E321" s="22">
        <v>7</v>
      </c>
      <c r="F321" s="23"/>
      <c r="G321" s="23"/>
      <c r="H321" s="23"/>
      <c r="I321" s="24">
        <f>31395+1022+12159+5524</f>
        <v>50100</v>
      </c>
      <c r="J321" s="24">
        <f t="shared" si="13"/>
        <v>50100</v>
      </c>
      <c r="K321" s="25"/>
      <c r="L321" s="23"/>
      <c r="M321" s="23"/>
      <c r="N321" s="24"/>
      <c r="O321" s="26"/>
      <c r="P321" s="25"/>
      <c r="Q321" s="23"/>
      <c r="R321" s="23"/>
      <c r="S321" s="24"/>
      <c r="T321" s="26"/>
      <c r="U321" s="15"/>
      <c r="V321" s="15"/>
      <c r="W321" s="15"/>
      <c r="X321" s="15"/>
      <c r="Y321" s="15"/>
      <c r="Z321" s="35"/>
      <c r="AA321" s="35"/>
      <c r="AB321" s="35"/>
      <c r="AC321" s="35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84"/>
      <c r="CB321" s="84"/>
      <c r="CC321" s="84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86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</row>
    <row r="322" spans="1:109" ht="12.75">
      <c r="A322" s="15" t="s">
        <v>435</v>
      </c>
      <c r="B322" s="16" t="s">
        <v>445</v>
      </c>
      <c r="C322" s="15" t="s">
        <v>459</v>
      </c>
      <c r="D322" s="21">
        <v>176239</v>
      </c>
      <c r="E322" s="22">
        <v>7</v>
      </c>
      <c r="F322" s="23"/>
      <c r="G322" s="23"/>
      <c r="H322" s="23"/>
      <c r="I322" s="24">
        <f>28666+5090</f>
        <v>33756</v>
      </c>
      <c r="J322" s="24">
        <f t="shared" si="13"/>
        <v>33756</v>
      </c>
      <c r="K322" s="25"/>
      <c r="L322" s="23"/>
      <c r="M322" s="23"/>
      <c r="N322" s="24"/>
      <c r="O322" s="26"/>
      <c r="P322" s="25"/>
      <c r="Q322" s="23"/>
      <c r="R322" s="23"/>
      <c r="S322" s="24"/>
      <c r="T322" s="26"/>
      <c r="U322" s="15"/>
      <c r="V322" s="15"/>
      <c r="W322" s="15"/>
      <c r="X322" s="15"/>
      <c r="Y322" s="15"/>
      <c r="Z322" s="35"/>
      <c r="AA322" s="35"/>
      <c r="AB322" s="35"/>
      <c r="AC322" s="35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84"/>
      <c r="CB322" s="84"/>
      <c r="CC322" s="84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86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</row>
    <row r="323" spans="1:109" ht="12.75">
      <c r="A323" s="15" t="s">
        <v>435</v>
      </c>
      <c r="B323" s="16" t="s">
        <v>445</v>
      </c>
      <c r="C323" s="15" t="s">
        <v>460</v>
      </c>
      <c r="D323" s="21">
        <v>176354</v>
      </c>
      <c r="E323" s="22">
        <v>7</v>
      </c>
      <c r="F323" s="23"/>
      <c r="G323" s="23"/>
      <c r="H323" s="23"/>
      <c r="I323" s="24">
        <v>20836</v>
      </c>
      <c r="J323" s="24">
        <f t="shared" si="13"/>
        <v>20836</v>
      </c>
      <c r="K323" s="25"/>
      <c r="L323" s="23"/>
      <c r="M323" s="23"/>
      <c r="N323" s="24"/>
      <c r="O323" s="26"/>
      <c r="P323" s="25"/>
      <c r="Q323" s="23"/>
      <c r="R323" s="23"/>
      <c r="S323" s="24"/>
      <c r="T323" s="26"/>
      <c r="U323" s="15"/>
      <c r="V323" s="15"/>
      <c r="W323" s="15"/>
      <c r="X323" s="15"/>
      <c r="Y323" s="15"/>
      <c r="Z323" s="35"/>
      <c r="AA323" s="35"/>
      <c r="AB323" s="35"/>
      <c r="AC323" s="35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84"/>
      <c r="CB323" s="84"/>
      <c r="CC323" s="84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86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</row>
    <row r="324" spans="1:109" ht="12.75">
      <c r="A324" s="16" t="s">
        <v>461</v>
      </c>
      <c r="B324" s="21" t="s">
        <v>62</v>
      </c>
      <c r="C324" s="15" t="s">
        <v>462</v>
      </c>
      <c r="D324" s="21" t="s">
        <v>463</v>
      </c>
      <c r="E324" s="22" t="s">
        <v>199</v>
      </c>
      <c r="F324" s="23"/>
      <c r="G324" s="23">
        <v>250346</v>
      </c>
      <c r="H324" s="23">
        <v>53763</v>
      </c>
      <c r="I324" s="24">
        <v>276059</v>
      </c>
      <c r="J324" s="24">
        <f t="shared" si="13"/>
        <v>580168</v>
      </c>
      <c r="K324" s="25"/>
      <c r="L324" s="23"/>
      <c r="M324" s="23"/>
      <c r="N324" s="24"/>
      <c r="O324" s="26"/>
      <c r="P324" s="25"/>
      <c r="Q324" s="23">
        <v>32965</v>
      </c>
      <c r="R324" s="23">
        <v>6440</v>
      </c>
      <c r="S324" s="24">
        <v>34931</v>
      </c>
      <c r="T324" s="26">
        <f aca="true" t="shared" si="15" ref="T324:T335">SUM(Q324:S324)</f>
        <v>74336</v>
      </c>
      <c r="U324" s="15"/>
      <c r="V324" s="15"/>
      <c r="W324" s="15"/>
      <c r="X324" s="15"/>
      <c r="Y324" s="15"/>
      <c r="Z324" s="35"/>
      <c r="AA324" s="35"/>
      <c r="AB324" s="35"/>
      <c r="AC324" s="35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84"/>
      <c r="CB324" s="84"/>
      <c r="CC324" s="84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86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</row>
    <row r="325" spans="1:109" ht="12.75">
      <c r="A325" s="16" t="s">
        <v>461</v>
      </c>
      <c r="B325" s="21" t="s">
        <v>62</v>
      </c>
      <c r="C325" s="15" t="s">
        <v>464</v>
      </c>
      <c r="D325" s="21" t="s">
        <v>465</v>
      </c>
      <c r="E325" s="22" t="s">
        <v>199</v>
      </c>
      <c r="F325" s="23"/>
      <c r="G325" s="23">
        <v>196695</v>
      </c>
      <c r="H325" s="23">
        <v>38906</v>
      </c>
      <c r="I325" s="24">
        <v>214203</v>
      </c>
      <c r="J325" s="24">
        <f t="shared" si="13"/>
        <v>449804</v>
      </c>
      <c r="K325" s="25"/>
      <c r="L325" s="23"/>
      <c r="M325" s="23"/>
      <c r="N325" s="24"/>
      <c r="O325" s="26"/>
      <c r="P325" s="25"/>
      <c r="Q325" s="23">
        <v>42333</v>
      </c>
      <c r="R325" s="23">
        <v>5611</v>
      </c>
      <c r="S325" s="24">
        <v>45735</v>
      </c>
      <c r="T325" s="26">
        <f t="shared" si="15"/>
        <v>93679</v>
      </c>
      <c r="U325" s="15"/>
      <c r="V325" s="15"/>
      <c r="W325" s="15"/>
      <c r="X325" s="15"/>
      <c r="Y325" s="15"/>
      <c r="Z325" s="35"/>
      <c r="AA325" s="35"/>
      <c r="AB325" s="35"/>
      <c r="AC325" s="35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84"/>
      <c r="CB325" s="84"/>
      <c r="CC325" s="84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86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</row>
    <row r="326" spans="1:109" ht="12.75">
      <c r="A326" s="16" t="s">
        <v>461</v>
      </c>
      <c r="B326" s="21" t="s">
        <v>62</v>
      </c>
      <c r="C326" s="15" t="s">
        <v>466</v>
      </c>
      <c r="D326" s="21" t="s">
        <v>467</v>
      </c>
      <c r="E326" s="22" t="s">
        <v>204</v>
      </c>
      <c r="F326" s="23"/>
      <c r="G326" s="23">
        <v>117809</v>
      </c>
      <c r="H326" s="23">
        <v>22933</v>
      </c>
      <c r="I326" s="24">
        <v>127236</v>
      </c>
      <c r="J326" s="24">
        <f t="shared" si="13"/>
        <v>267978</v>
      </c>
      <c r="K326" s="25"/>
      <c r="L326" s="23"/>
      <c r="M326" s="23"/>
      <c r="N326" s="24"/>
      <c r="O326" s="26"/>
      <c r="P326" s="25"/>
      <c r="Q326" s="23">
        <v>20655</v>
      </c>
      <c r="R326" s="23">
        <v>6530</v>
      </c>
      <c r="S326" s="24">
        <v>21829</v>
      </c>
      <c r="T326" s="26">
        <f t="shared" si="15"/>
        <v>49014</v>
      </c>
      <c r="U326" s="15"/>
      <c r="V326" s="15"/>
      <c r="W326" s="15"/>
      <c r="X326" s="15"/>
      <c r="Y326" s="15"/>
      <c r="Z326" s="35"/>
      <c r="AA326" s="35"/>
      <c r="AB326" s="35"/>
      <c r="AC326" s="35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86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</row>
    <row r="327" spans="1:109" ht="12.75">
      <c r="A327" s="16" t="s">
        <v>461</v>
      </c>
      <c r="B327" s="21" t="s">
        <v>62</v>
      </c>
      <c r="C327" s="15" t="s">
        <v>468</v>
      </c>
      <c r="D327" s="21" t="s">
        <v>469</v>
      </c>
      <c r="E327" s="22" t="s">
        <v>207</v>
      </c>
      <c r="F327" s="23"/>
      <c r="G327" s="23">
        <v>139811</v>
      </c>
      <c r="H327" s="23">
        <v>26731</v>
      </c>
      <c r="I327" s="24">
        <v>141087</v>
      </c>
      <c r="J327" s="24">
        <f t="shared" si="13"/>
        <v>307629</v>
      </c>
      <c r="K327" s="25"/>
      <c r="L327" s="23"/>
      <c r="M327" s="23"/>
      <c r="N327" s="24"/>
      <c r="O327" s="26"/>
      <c r="P327" s="25"/>
      <c r="Q327" s="23">
        <v>7483</v>
      </c>
      <c r="R327" s="23">
        <v>6765</v>
      </c>
      <c r="S327" s="24">
        <v>8214</v>
      </c>
      <c r="T327" s="26">
        <f t="shared" si="15"/>
        <v>22462</v>
      </c>
      <c r="U327" s="15"/>
      <c r="V327" s="15"/>
      <c r="W327" s="15"/>
      <c r="X327" s="15"/>
      <c r="Y327" s="15"/>
      <c r="Z327" s="35"/>
      <c r="AA327" s="35"/>
      <c r="AB327" s="35"/>
      <c r="AC327" s="35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86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</row>
    <row r="328" spans="1:109" ht="12.75">
      <c r="A328" s="16" t="s">
        <v>461</v>
      </c>
      <c r="B328" s="21" t="s">
        <v>62</v>
      </c>
      <c r="C328" s="15" t="s">
        <v>470</v>
      </c>
      <c r="D328" s="21" t="s">
        <v>471</v>
      </c>
      <c r="E328" s="22" t="s">
        <v>207</v>
      </c>
      <c r="F328" s="23"/>
      <c r="G328" s="23">
        <v>182856</v>
      </c>
      <c r="H328" s="23">
        <v>44359</v>
      </c>
      <c r="I328" s="24">
        <v>198378</v>
      </c>
      <c r="J328" s="24">
        <f t="shared" si="13"/>
        <v>425593</v>
      </c>
      <c r="K328" s="25"/>
      <c r="L328" s="23"/>
      <c r="M328" s="23"/>
      <c r="N328" s="24"/>
      <c r="O328" s="26"/>
      <c r="P328" s="25"/>
      <c r="Q328" s="23">
        <v>21875</v>
      </c>
      <c r="R328" s="23">
        <v>8996</v>
      </c>
      <c r="S328" s="24">
        <v>21431</v>
      </c>
      <c r="T328" s="26">
        <f t="shared" si="15"/>
        <v>52302</v>
      </c>
      <c r="U328" s="15"/>
      <c r="V328" s="15"/>
      <c r="W328" s="15"/>
      <c r="X328" s="15"/>
      <c r="Y328" s="15"/>
      <c r="Z328" s="35"/>
      <c r="AA328" s="35"/>
      <c r="AB328" s="35"/>
      <c r="AC328" s="35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86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</row>
    <row r="329" spans="1:109" ht="12.75">
      <c r="A329" s="16" t="s">
        <v>461</v>
      </c>
      <c r="B329" s="21" t="s">
        <v>62</v>
      </c>
      <c r="C329" s="15" t="s">
        <v>472</v>
      </c>
      <c r="D329" s="21" t="s">
        <v>473</v>
      </c>
      <c r="E329" s="22" t="s">
        <v>207</v>
      </c>
      <c r="F329" s="23"/>
      <c r="G329" s="23">
        <v>90727</v>
      </c>
      <c r="H329" s="23">
        <v>18102</v>
      </c>
      <c r="I329" s="24">
        <v>94318</v>
      </c>
      <c r="J329" s="24">
        <f t="shared" si="13"/>
        <v>203147</v>
      </c>
      <c r="K329" s="25"/>
      <c r="L329" s="23"/>
      <c r="M329" s="23"/>
      <c r="N329" s="24"/>
      <c r="O329" s="26"/>
      <c r="P329" s="25"/>
      <c r="Q329" s="23">
        <v>9317</v>
      </c>
      <c r="R329" s="23">
        <v>3400</v>
      </c>
      <c r="S329" s="24">
        <v>8546</v>
      </c>
      <c r="T329" s="26">
        <f t="shared" si="15"/>
        <v>21263</v>
      </c>
      <c r="U329" s="15"/>
      <c r="V329" s="15"/>
      <c r="W329" s="15"/>
      <c r="X329" s="15"/>
      <c r="Y329" s="15"/>
      <c r="Z329" s="35"/>
      <c r="AA329" s="35"/>
      <c r="AB329" s="35"/>
      <c r="AC329" s="35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</row>
    <row r="330" spans="1:109" ht="12.75">
      <c r="A330" s="16" t="s">
        <v>461</v>
      </c>
      <c r="B330" s="21" t="s">
        <v>62</v>
      </c>
      <c r="C330" s="15" t="s">
        <v>474</v>
      </c>
      <c r="D330" s="21" t="s">
        <v>475</v>
      </c>
      <c r="E330" s="22" t="s">
        <v>207</v>
      </c>
      <c r="F330" s="23"/>
      <c r="G330" s="23">
        <v>58944</v>
      </c>
      <c r="H330" s="23">
        <v>13631</v>
      </c>
      <c r="I330" s="24">
        <v>60226</v>
      </c>
      <c r="J330" s="24">
        <f t="shared" si="13"/>
        <v>132801</v>
      </c>
      <c r="K330" s="25"/>
      <c r="L330" s="23"/>
      <c r="M330" s="23"/>
      <c r="N330" s="24"/>
      <c r="O330" s="26"/>
      <c r="P330" s="25"/>
      <c r="Q330" s="23">
        <v>9664</v>
      </c>
      <c r="R330" s="23">
        <v>3066</v>
      </c>
      <c r="S330" s="24">
        <v>10580</v>
      </c>
      <c r="T330" s="26">
        <f t="shared" si="15"/>
        <v>23310</v>
      </c>
      <c r="U330" s="15"/>
      <c r="V330" s="15"/>
      <c r="W330" s="15"/>
      <c r="X330" s="15"/>
      <c r="Y330" s="15"/>
      <c r="Z330" s="35"/>
      <c r="AA330" s="35"/>
      <c r="AB330" s="35"/>
      <c r="AC330" s="35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86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</row>
    <row r="331" spans="1:109" ht="12.75">
      <c r="A331" s="16" t="s">
        <v>461</v>
      </c>
      <c r="B331" s="21" t="s">
        <v>62</v>
      </c>
      <c r="C331" s="15" t="s">
        <v>476</v>
      </c>
      <c r="D331" s="21" t="s">
        <v>477</v>
      </c>
      <c r="E331" s="22" t="s">
        <v>207</v>
      </c>
      <c r="F331" s="23"/>
      <c r="G331" s="23">
        <v>152103</v>
      </c>
      <c r="H331" s="23">
        <v>39889</v>
      </c>
      <c r="I331" s="24">
        <v>163034</v>
      </c>
      <c r="J331" s="24">
        <f aca="true" t="shared" si="16" ref="J331:J338">SUM(G331:I331)</f>
        <v>355026</v>
      </c>
      <c r="K331" s="25"/>
      <c r="L331" s="23"/>
      <c r="M331" s="23"/>
      <c r="N331" s="24"/>
      <c r="O331" s="26"/>
      <c r="P331" s="25"/>
      <c r="Q331" s="23">
        <v>12066</v>
      </c>
      <c r="R331" s="23">
        <v>5894</v>
      </c>
      <c r="S331" s="24">
        <v>13638</v>
      </c>
      <c r="T331" s="26">
        <f t="shared" si="15"/>
        <v>31598</v>
      </c>
      <c r="U331" s="15"/>
      <c r="V331" s="15"/>
      <c r="W331" s="15"/>
      <c r="X331" s="15"/>
      <c r="Y331" s="15"/>
      <c r="Z331" s="35"/>
      <c r="AA331" s="35"/>
      <c r="AB331" s="35"/>
      <c r="AC331" s="35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86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</row>
    <row r="332" spans="1:109" ht="12.75">
      <c r="A332" s="16" t="s">
        <v>461</v>
      </c>
      <c r="B332" s="21" t="s">
        <v>62</v>
      </c>
      <c r="C332" s="15" t="s">
        <v>478</v>
      </c>
      <c r="D332" s="21" t="s">
        <v>479</v>
      </c>
      <c r="E332" s="22" t="s">
        <v>207</v>
      </c>
      <c r="F332" s="23"/>
      <c r="G332" s="23">
        <v>76187</v>
      </c>
      <c r="H332" s="23">
        <v>14749</v>
      </c>
      <c r="I332" s="24">
        <v>81097</v>
      </c>
      <c r="J332" s="24">
        <f t="shared" si="16"/>
        <v>172033</v>
      </c>
      <c r="K332" s="25"/>
      <c r="L332" s="23"/>
      <c r="M332" s="23"/>
      <c r="N332" s="24"/>
      <c r="O332" s="26"/>
      <c r="P332" s="25"/>
      <c r="Q332" s="23">
        <v>5905</v>
      </c>
      <c r="R332" s="23">
        <v>2132</v>
      </c>
      <c r="S332" s="24">
        <v>5695</v>
      </c>
      <c r="T332" s="26">
        <f t="shared" si="15"/>
        <v>13732</v>
      </c>
      <c r="U332" s="15"/>
      <c r="V332" s="15"/>
      <c r="W332" s="15"/>
      <c r="X332" s="15"/>
      <c r="Y332" s="15"/>
      <c r="Z332" s="35"/>
      <c r="AA332" s="35"/>
      <c r="AB332" s="35"/>
      <c r="AC332" s="35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86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</row>
    <row r="333" spans="1:109" ht="12.75">
      <c r="A333" s="16" t="s">
        <v>461</v>
      </c>
      <c r="B333" s="21" t="s">
        <v>62</v>
      </c>
      <c r="C333" s="41" t="s">
        <v>480</v>
      </c>
      <c r="D333" s="57" t="s">
        <v>481</v>
      </c>
      <c r="E333" s="56" t="s">
        <v>210</v>
      </c>
      <c r="F333" s="23"/>
      <c r="G333" s="23">
        <v>44434</v>
      </c>
      <c r="H333" s="23">
        <v>15359</v>
      </c>
      <c r="I333" s="24">
        <v>47599</v>
      </c>
      <c r="J333" s="24">
        <f t="shared" si="16"/>
        <v>107392</v>
      </c>
      <c r="K333" s="25"/>
      <c r="L333" s="23"/>
      <c r="M333" s="23"/>
      <c r="N333" s="24"/>
      <c r="O333" s="26"/>
      <c r="P333" s="25"/>
      <c r="Q333" s="23">
        <v>3130</v>
      </c>
      <c r="R333" s="23">
        <v>1623</v>
      </c>
      <c r="S333" s="24">
        <v>3192</v>
      </c>
      <c r="T333" s="26">
        <f t="shared" si="15"/>
        <v>7945</v>
      </c>
      <c r="U333" s="15"/>
      <c r="V333" s="15"/>
      <c r="W333" s="15"/>
      <c r="X333" s="15"/>
      <c r="Y333" s="15"/>
      <c r="Z333" s="35"/>
      <c r="AA333" s="35"/>
      <c r="AB333" s="35"/>
      <c r="AC333" s="35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86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</row>
    <row r="334" spans="1:109" ht="12.75">
      <c r="A334" s="16" t="s">
        <v>461</v>
      </c>
      <c r="B334" s="21" t="s">
        <v>62</v>
      </c>
      <c r="C334" s="15" t="s">
        <v>482</v>
      </c>
      <c r="D334" s="21" t="s">
        <v>483</v>
      </c>
      <c r="E334" s="22" t="s">
        <v>210</v>
      </c>
      <c r="F334" s="23"/>
      <c r="G334" s="23">
        <v>99937</v>
      </c>
      <c r="H334" s="23">
        <v>23898</v>
      </c>
      <c r="I334" s="24">
        <v>114864</v>
      </c>
      <c r="J334" s="24">
        <f t="shared" si="16"/>
        <v>238699</v>
      </c>
      <c r="K334" s="25"/>
      <c r="L334" s="23"/>
      <c r="M334" s="23"/>
      <c r="N334" s="24"/>
      <c r="O334" s="26"/>
      <c r="P334" s="25"/>
      <c r="Q334" s="23">
        <v>3089</v>
      </c>
      <c r="R334" s="23">
        <v>2164</v>
      </c>
      <c r="S334" s="24">
        <v>3558</v>
      </c>
      <c r="T334" s="26">
        <f t="shared" si="15"/>
        <v>8811</v>
      </c>
      <c r="U334" s="15"/>
      <c r="V334" s="15"/>
      <c r="W334" s="15"/>
      <c r="X334" s="15"/>
      <c r="Y334" s="15"/>
      <c r="Z334" s="35"/>
      <c r="AA334" s="35"/>
      <c r="AB334" s="35"/>
      <c r="AC334" s="35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</row>
    <row r="335" spans="1:109" ht="12.75">
      <c r="A335" s="16" t="s">
        <v>461</v>
      </c>
      <c r="B335" s="21" t="s">
        <v>62</v>
      </c>
      <c r="C335" s="15" t="s">
        <v>484</v>
      </c>
      <c r="D335" s="21" t="s">
        <v>485</v>
      </c>
      <c r="E335" s="22" t="s">
        <v>219</v>
      </c>
      <c r="F335" s="23"/>
      <c r="G335" s="23">
        <v>31406</v>
      </c>
      <c r="H335" s="23">
        <v>7065</v>
      </c>
      <c r="I335" s="24">
        <v>35645</v>
      </c>
      <c r="J335" s="24">
        <f t="shared" si="16"/>
        <v>74116</v>
      </c>
      <c r="K335" s="25"/>
      <c r="L335" s="23"/>
      <c r="M335" s="23"/>
      <c r="N335" s="24"/>
      <c r="O335" s="26"/>
      <c r="P335" s="25"/>
      <c r="Q335" s="23">
        <v>1530</v>
      </c>
      <c r="R335" s="23">
        <v>1008</v>
      </c>
      <c r="S335" s="24">
        <v>1383</v>
      </c>
      <c r="T335" s="26">
        <f t="shared" si="15"/>
        <v>3921</v>
      </c>
      <c r="U335" s="15"/>
      <c r="V335" s="15"/>
      <c r="W335" s="15"/>
      <c r="X335" s="15"/>
      <c r="Y335" s="15"/>
      <c r="Z335" s="35"/>
      <c r="AA335" s="35"/>
      <c r="AB335" s="35"/>
      <c r="AC335" s="35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</row>
    <row r="336" spans="1:109" ht="12.75">
      <c r="A336" s="16" t="s">
        <v>461</v>
      </c>
      <c r="B336" s="21" t="s">
        <v>62</v>
      </c>
      <c r="C336" s="15" t="s">
        <v>486</v>
      </c>
      <c r="D336" s="21" t="s">
        <v>487</v>
      </c>
      <c r="E336" s="22" t="s">
        <v>232</v>
      </c>
      <c r="F336" s="23"/>
      <c r="G336" s="23">
        <v>28658</v>
      </c>
      <c r="H336" s="23">
        <v>3382</v>
      </c>
      <c r="I336" s="24">
        <v>29200</v>
      </c>
      <c r="J336" s="24">
        <f t="shared" si="16"/>
        <v>61240</v>
      </c>
      <c r="K336" s="25"/>
      <c r="L336" s="23"/>
      <c r="M336" s="23"/>
      <c r="N336" s="24"/>
      <c r="O336" s="26"/>
      <c r="P336" s="25"/>
      <c r="Q336" s="23"/>
      <c r="R336" s="23"/>
      <c r="S336" s="24"/>
      <c r="T336" s="26"/>
      <c r="U336" s="15"/>
      <c r="V336" s="15"/>
      <c r="W336" s="15"/>
      <c r="X336" s="15"/>
      <c r="Y336" s="15"/>
      <c r="Z336" s="35"/>
      <c r="AA336" s="35"/>
      <c r="AB336" s="35"/>
      <c r="AC336" s="35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</row>
    <row r="337" spans="1:107" ht="12.75">
      <c r="A337" s="16" t="s">
        <v>461</v>
      </c>
      <c r="B337" s="21" t="s">
        <v>62</v>
      </c>
      <c r="C337" s="15" t="s">
        <v>488</v>
      </c>
      <c r="D337" s="21" t="s">
        <v>489</v>
      </c>
      <c r="E337" s="22" t="s">
        <v>232</v>
      </c>
      <c r="F337" s="23"/>
      <c r="G337" s="23">
        <v>35759</v>
      </c>
      <c r="H337" s="23">
        <v>5719</v>
      </c>
      <c r="I337" s="24">
        <v>37598</v>
      </c>
      <c r="J337" s="24">
        <f t="shared" si="16"/>
        <v>79076</v>
      </c>
      <c r="K337" s="25"/>
      <c r="L337" s="23"/>
      <c r="M337" s="23"/>
      <c r="N337" s="24"/>
      <c r="O337" s="26"/>
      <c r="P337" s="25"/>
      <c r="Q337" s="23">
        <v>213</v>
      </c>
      <c r="R337" s="23">
        <v>70</v>
      </c>
      <c r="S337" s="24">
        <v>225</v>
      </c>
      <c r="T337" s="26">
        <f>SUM(Q337:S337)</f>
        <v>508</v>
      </c>
      <c r="U337" s="15"/>
      <c r="V337" s="15"/>
      <c r="W337" s="15"/>
      <c r="X337" s="15"/>
      <c r="Y337" s="15"/>
      <c r="Z337" s="35"/>
      <c r="AA337" s="35"/>
      <c r="AB337" s="35"/>
      <c r="AC337" s="35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</row>
    <row r="338" spans="1:107" ht="12.75">
      <c r="A338" s="16" t="s">
        <v>461</v>
      </c>
      <c r="B338" s="21" t="s">
        <v>62</v>
      </c>
      <c r="C338" s="15" t="s">
        <v>490</v>
      </c>
      <c r="D338" s="21" t="s">
        <v>491</v>
      </c>
      <c r="E338" s="22" t="s">
        <v>232</v>
      </c>
      <c r="F338" s="23"/>
      <c r="G338" s="23">
        <v>31580</v>
      </c>
      <c r="H338" s="23">
        <v>7763</v>
      </c>
      <c r="I338" s="24">
        <v>34228</v>
      </c>
      <c r="J338" s="24">
        <f t="shared" si="16"/>
        <v>73571</v>
      </c>
      <c r="K338" s="25"/>
      <c r="L338" s="23"/>
      <c r="M338" s="23"/>
      <c r="N338" s="24"/>
      <c r="O338" s="26"/>
      <c r="P338" s="25"/>
      <c r="Q338" s="23"/>
      <c r="R338" s="23"/>
      <c r="S338" s="24"/>
      <c r="T338" s="26"/>
      <c r="U338" s="15"/>
      <c r="V338" s="15"/>
      <c r="W338" s="15"/>
      <c r="X338" s="15"/>
      <c r="Y338" s="15"/>
      <c r="Z338" s="35"/>
      <c r="AA338" s="35"/>
      <c r="AB338" s="35"/>
      <c r="AC338" s="35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</row>
    <row r="339" spans="1:107" ht="12.75">
      <c r="A339" s="16" t="s">
        <v>461</v>
      </c>
      <c r="B339" s="21" t="s">
        <v>62</v>
      </c>
      <c r="C339" s="15" t="s">
        <v>492</v>
      </c>
      <c r="D339" s="21" t="s">
        <v>493</v>
      </c>
      <c r="E339" s="22" t="s">
        <v>269</v>
      </c>
      <c r="F339" s="23">
        <v>10949</v>
      </c>
      <c r="G339" s="23">
        <v>10372</v>
      </c>
      <c r="H339" s="23">
        <v>0</v>
      </c>
      <c r="I339" s="24">
        <v>14168</v>
      </c>
      <c r="J339" s="24">
        <f aca="true" t="shared" si="17" ref="J339:J370">SUM(F339:I339)</f>
        <v>35489</v>
      </c>
      <c r="K339" s="25"/>
      <c r="L339" s="23"/>
      <c r="M339" s="23"/>
      <c r="N339" s="24"/>
      <c r="O339" s="26"/>
      <c r="P339" s="25">
        <v>402</v>
      </c>
      <c r="Q339" s="23">
        <v>390</v>
      </c>
      <c r="R339" s="23">
        <v>0</v>
      </c>
      <c r="S339" s="24">
        <v>383</v>
      </c>
      <c r="T339" s="26">
        <f>SUM(P339:S339)</f>
        <v>1175</v>
      </c>
      <c r="U339" s="15"/>
      <c r="V339" s="15"/>
      <c r="W339" s="15"/>
      <c r="X339" s="15"/>
      <c r="Y339" s="15"/>
      <c r="Z339" s="35"/>
      <c r="AA339" s="35"/>
      <c r="AB339" s="35"/>
      <c r="AC339" s="35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</row>
    <row r="340" spans="1:107" ht="12.75">
      <c r="A340" s="15" t="s">
        <v>461</v>
      </c>
      <c r="B340" s="21" t="s">
        <v>196</v>
      </c>
      <c r="C340" s="15" t="s">
        <v>494</v>
      </c>
      <c r="D340" s="43">
        <v>199786</v>
      </c>
      <c r="E340" s="17">
        <v>7</v>
      </c>
      <c r="F340" s="23">
        <v>27427</v>
      </c>
      <c r="G340" s="23">
        <v>20902</v>
      </c>
      <c r="H340" s="23">
        <v>10652</v>
      </c>
      <c r="I340" s="24">
        <v>28794</v>
      </c>
      <c r="J340" s="24">
        <f t="shared" si="17"/>
        <v>87775</v>
      </c>
      <c r="K340" s="18"/>
      <c r="L340" s="15"/>
      <c r="M340" s="15"/>
      <c r="N340" s="17"/>
      <c r="O340" s="19"/>
      <c r="P340" s="18"/>
      <c r="Q340" s="15"/>
      <c r="R340" s="15"/>
      <c r="S340" s="17"/>
      <c r="T340" s="19"/>
      <c r="U340" s="15"/>
      <c r="V340" s="15"/>
      <c r="W340" s="15"/>
      <c r="X340" s="15"/>
      <c r="Y340" s="15"/>
      <c r="Z340" s="35"/>
      <c r="AA340" s="35"/>
      <c r="AB340" s="35"/>
      <c r="AC340" s="35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</row>
    <row r="341" spans="1:107" ht="12.75">
      <c r="A341" s="15" t="s">
        <v>461</v>
      </c>
      <c r="B341" s="21" t="s">
        <v>196</v>
      </c>
      <c r="C341" s="15" t="s">
        <v>495</v>
      </c>
      <c r="D341" s="43">
        <v>197850</v>
      </c>
      <c r="E341" s="17">
        <v>7</v>
      </c>
      <c r="F341" s="23">
        <v>12321</v>
      </c>
      <c r="G341" s="23">
        <v>12733</v>
      </c>
      <c r="H341" s="23">
        <v>5892</v>
      </c>
      <c r="I341" s="24">
        <v>13060</v>
      </c>
      <c r="J341" s="24">
        <f t="shared" si="17"/>
        <v>44006</v>
      </c>
      <c r="K341" s="25"/>
      <c r="L341" s="23"/>
      <c r="M341" s="23"/>
      <c r="N341" s="24"/>
      <c r="O341" s="26"/>
      <c r="P341" s="25"/>
      <c r="Q341" s="23"/>
      <c r="R341" s="23"/>
      <c r="S341" s="24"/>
      <c r="T341" s="26"/>
      <c r="U341" s="15"/>
      <c r="V341" s="15"/>
      <c r="W341" s="15"/>
      <c r="X341" s="15"/>
      <c r="Y341" s="15"/>
      <c r="Z341" s="35"/>
      <c r="AA341" s="35"/>
      <c r="AB341" s="35"/>
      <c r="AC341" s="35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</row>
    <row r="342" spans="1:107" ht="12.75">
      <c r="A342" s="15" t="s">
        <v>461</v>
      </c>
      <c r="B342" s="21" t="s">
        <v>196</v>
      </c>
      <c r="C342" s="15" t="s">
        <v>496</v>
      </c>
      <c r="D342" s="43">
        <v>197887</v>
      </c>
      <c r="E342" s="17">
        <v>7</v>
      </c>
      <c r="F342" s="23">
        <v>33107</v>
      </c>
      <c r="G342" s="23">
        <v>32631</v>
      </c>
      <c r="H342" s="23">
        <v>13826</v>
      </c>
      <c r="I342" s="24">
        <v>38820</v>
      </c>
      <c r="J342" s="24">
        <f t="shared" si="17"/>
        <v>118384</v>
      </c>
      <c r="K342" s="25"/>
      <c r="L342" s="23"/>
      <c r="M342" s="23"/>
      <c r="N342" s="24"/>
      <c r="O342" s="26"/>
      <c r="P342" s="25"/>
      <c r="Q342" s="23"/>
      <c r="R342" s="23"/>
      <c r="S342" s="24"/>
      <c r="T342" s="26"/>
      <c r="U342" s="15"/>
      <c r="V342" s="15"/>
      <c r="W342" s="15"/>
      <c r="X342" s="15"/>
      <c r="Y342" s="15"/>
      <c r="Z342" s="35"/>
      <c r="AA342" s="35"/>
      <c r="AB342" s="35"/>
      <c r="AC342" s="35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</row>
    <row r="343" spans="1:107" ht="12.75">
      <c r="A343" s="15" t="s">
        <v>461</v>
      </c>
      <c r="B343" s="21" t="s">
        <v>196</v>
      </c>
      <c r="C343" s="15" t="s">
        <v>497</v>
      </c>
      <c r="D343" s="43">
        <v>197996</v>
      </c>
      <c r="E343" s="17">
        <v>7</v>
      </c>
      <c r="F343" s="23">
        <v>12935</v>
      </c>
      <c r="G343" s="23">
        <v>11525</v>
      </c>
      <c r="H343" s="23">
        <v>3442</v>
      </c>
      <c r="I343" s="24">
        <v>12460</v>
      </c>
      <c r="J343" s="24">
        <f t="shared" si="17"/>
        <v>40362</v>
      </c>
      <c r="K343" s="25"/>
      <c r="L343" s="23"/>
      <c r="M343" s="23"/>
      <c r="N343" s="24"/>
      <c r="O343" s="26"/>
      <c r="P343" s="25"/>
      <c r="Q343" s="23"/>
      <c r="R343" s="23"/>
      <c r="S343" s="24"/>
      <c r="T343" s="26"/>
      <c r="U343" s="15"/>
      <c r="V343" s="15"/>
      <c r="W343" s="15"/>
      <c r="X343" s="15"/>
      <c r="Y343" s="15"/>
      <c r="Z343" s="35"/>
      <c r="AA343" s="35"/>
      <c r="AB343" s="35"/>
      <c r="AC343" s="35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</row>
    <row r="344" spans="1:107" ht="12.75">
      <c r="A344" s="15" t="s">
        <v>461</v>
      </c>
      <c r="B344" s="21" t="s">
        <v>196</v>
      </c>
      <c r="C344" s="15" t="s">
        <v>498</v>
      </c>
      <c r="D344" s="43">
        <v>198011</v>
      </c>
      <c r="E344" s="17">
        <v>7</v>
      </c>
      <c r="F344" s="23">
        <v>7848</v>
      </c>
      <c r="G344" s="23">
        <v>6912</v>
      </c>
      <c r="H344" s="23">
        <v>2571</v>
      </c>
      <c r="I344" s="24">
        <v>9364</v>
      </c>
      <c r="J344" s="24">
        <f t="shared" si="17"/>
        <v>26695</v>
      </c>
      <c r="K344" s="25"/>
      <c r="L344" s="23"/>
      <c r="M344" s="23"/>
      <c r="N344" s="24"/>
      <c r="O344" s="26"/>
      <c r="P344" s="25"/>
      <c r="Q344" s="23"/>
      <c r="R344" s="23"/>
      <c r="S344" s="24"/>
      <c r="T344" s="26"/>
      <c r="U344" s="15"/>
      <c r="V344" s="15"/>
      <c r="W344" s="15"/>
      <c r="X344" s="15"/>
      <c r="Y344" s="15"/>
      <c r="Z344" s="35"/>
      <c r="AA344" s="35"/>
      <c r="AB344" s="35"/>
      <c r="AC344" s="35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</row>
    <row r="345" spans="1:107" ht="12.75">
      <c r="A345" s="15" t="s">
        <v>461</v>
      </c>
      <c r="B345" s="21" t="s">
        <v>196</v>
      </c>
      <c r="C345" s="15" t="s">
        <v>499</v>
      </c>
      <c r="D345" s="43">
        <v>198039</v>
      </c>
      <c r="E345" s="17">
        <v>7</v>
      </c>
      <c r="F345" s="23">
        <v>12440</v>
      </c>
      <c r="G345" s="23">
        <v>11864</v>
      </c>
      <c r="H345" s="23">
        <v>5436</v>
      </c>
      <c r="I345" s="24">
        <v>14385</v>
      </c>
      <c r="J345" s="24">
        <f t="shared" si="17"/>
        <v>44125</v>
      </c>
      <c r="K345" s="25"/>
      <c r="L345" s="23"/>
      <c r="M345" s="23"/>
      <c r="N345" s="24"/>
      <c r="O345" s="26"/>
      <c r="P345" s="25"/>
      <c r="Q345" s="23"/>
      <c r="R345" s="23"/>
      <c r="S345" s="24"/>
      <c r="T345" s="26"/>
      <c r="U345" s="15"/>
      <c r="V345" s="15"/>
      <c r="W345" s="15"/>
      <c r="X345" s="15"/>
      <c r="Y345" s="15"/>
      <c r="Z345" s="35"/>
      <c r="AA345" s="35"/>
      <c r="AB345" s="35"/>
      <c r="AC345" s="35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</row>
    <row r="346" spans="1:107" ht="12.75">
      <c r="A346" s="15" t="s">
        <v>461</v>
      </c>
      <c r="B346" s="21" t="s">
        <v>196</v>
      </c>
      <c r="C346" s="15" t="s">
        <v>500</v>
      </c>
      <c r="D346" s="43">
        <v>198084</v>
      </c>
      <c r="E346" s="17">
        <v>7</v>
      </c>
      <c r="F346" s="23">
        <v>8086</v>
      </c>
      <c r="G346" s="23">
        <v>7516</v>
      </c>
      <c r="H346" s="23">
        <v>2790</v>
      </c>
      <c r="I346" s="24">
        <v>8667</v>
      </c>
      <c r="J346" s="24">
        <f t="shared" si="17"/>
        <v>27059</v>
      </c>
      <c r="K346" s="25"/>
      <c r="L346" s="23"/>
      <c r="M346" s="23"/>
      <c r="N346" s="24"/>
      <c r="O346" s="26"/>
      <c r="P346" s="25"/>
      <c r="Q346" s="23"/>
      <c r="R346" s="23"/>
      <c r="S346" s="24"/>
      <c r="T346" s="26"/>
      <c r="U346" s="15"/>
      <c r="V346" s="15"/>
      <c r="W346" s="15"/>
      <c r="X346" s="15"/>
      <c r="Y346" s="15"/>
      <c r="Z346" s="35"/>
      <c r="AA346" s="35"/>
      <c r="AB346" s="35"/>
      <c r="AC346" s="35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</row>
    <row r="347" spans="1:107" ht="12.75">
      <c r="A347" s="15" t="s">
        <v>461</v>
      </c>
      <c r="B347" s="21" t="s">
        <v>196</v>
      </c>
      <c r="C347" s="15" t="s">
        <v>501</v>
      </c>
      <c r="D347" s="43">
        <v>198118</v>
      </c>
      <c r="E347" s="17">
        <v>7</v>
      </c>
      <c r="F347" s="23">
        <v>23111</v>
      </c>
      <c r="G347" s="23">
        <v>23329</v>
      </c>
      <c r="H347" s="23">
        <v>8765</v>
      </c>
      <c r="I347" s="24">
        <v>29280</v>
      </c>
      <c r="J347" s="24">
        <f t="shared" si="17"/>
        <v>84485</v>
      </c>
      <c r="K347" s="25"/>
      <c r="L347" s="23"/>
      <c r="M347" s="23"/>
      <c r="N347" s="24"/>
      <c r="O347" s="26"/>
      <c r="P347" s="25"/>
      <c r="Q347" s="23"/>
      <c r="R347" s="23"/>
      <c r="S347" s="24"/>
      <c r="T347" s="26"/>
      <c r="U347" s="15"/>
      <c r="V347" s="15"/>
      <c r="W347" s="15"/>
      <c r="X347" s="15"/>
      <c r="Y347" s="15"/>
      <c r="Z347" s="35"/>
      <c r="AA347" s="35"/>
      <c r="AB347" s="35"/>
      <c r="AC347" s="35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</row>
    <row r="348" spans="1:107" ht="12.75">
      <c r="A348" s="15" t="s">
        <v>461</v>
      </c>
      <c r="B348" s="21" t="s">
        <v>196</v>
      </c>
      <c r="C348" s="15" t="s">
        <v>502</v>
      </c>
      <c r="D348" s="43">
        <v>198154</v>
      </c>
      <c r="E348" s="17">
        <v>7</v>
      </c>
      <c r="F348" s="23">
        <v>35155</v>
      </c>
      <c r="G348" s="23">
        <v>31627</v>
      </c>
      <c r="H348" s="23">
        <v>11769</v>
      </c>
      <c r="I348" s="24">
        <v>39546</v>
      </c>
      <c r="J348" s="24">
        <f t="shared" si="17"/>
        <v>118097</v>
      </c>
      <c r="K348" s="25"/>
      <c r="L348" s="23"/>
      <c r="M348" s="23"/>
      <c r="N348" s="24"/>
      <c r="O348" s="26"/>
      <c r="P348" s="25"/>
      <c r="Q348" s="23"/>
      <c r="R348" s="23"/>
      <c r="S348" s="24"/>
      <c r="T348" s="26"/>
      <c r="U348" s="15"/>
      <c r="V348" s="15"/>
      <c r="W348" s="15"/>
      <c r="X348" s="15"/>
      <c r="Y348" s="15"/>
      <c r="Z348" s="35"/>
      <c r="AA348" s="35"/>
      <c r="AB348" s="35"/>
      <c r="AC348" s="35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</row>
    <row r="349" spans="1:107" ht="12.75">
      <c r="A349" s="15" t="s">
        <v>461</v>
      </c>
      <c r="B349" s="21" t="s">
        <v>196</v>
      </c>
      <c r="C349" s="15" t="s">
        <v>503</v>
      </c>
      <c r="D349" s="43">
        <v>198206</v>
      </c>
      <c r="E349" s="17">
        <v>7</v>
      </c>
      <c r="F349" s="23">
        <v>11964</v>
      </c>
      <c r="G349" s="23">
        <v>12075</v>
      </c>
      <c r="H349" s="23">
        <v>4732</v>
      </c>
      <c r="I349" s="24">
        <v>13868</v>
      </c>
      <c r="J349" s="24">
        <f t="shared" si="17"/>
        <v>42639</v>
      </c>
      <c r="K349" s="25"/>
      <c r="L349" s="23"/>
      <c r="M349" s="23"/>
      <c r="N349" s="24"/>
      <c r="O349" s="26"/>
      <c r="P349" s="25"/>
      <c r="Q349" s="23"/>
      <c r="R349" s="23"/>
      <c r="S349" s="24"/>
      <c r="T349" s="26"/>
      <c r="U349" s="15"/>
      <c r="V349" s="15"/>
      <c r="W349" s="15"/>
      <c r="X349" s="15"/>
      <c r="Y349" s="15"/>
      <c r="Z349" s="35"/>
      <c r="AA349" s="35"/>
      <c r="AB349" s="35"/>
      <c r="AC349" s="35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</row>
    <row r="350" spans="1:107" ht="12.75">
      <c r="A350" s="15" t="s">
        <v>461</v>
      </c>
      <c r="B350" s="21" t="s">
        <v>196</v>
      </c>
      <c r="C350" s="15" t="s">
        <v>504</v>
      </c>
      <c r="D350" s="43">
        <v>198233</v>
      </c>
      <c r="E350" s="17">
        <v>7</v>
      </c>
      <c r="F350" s="23">
        <v>25482</v>
      </c>
      <c r="G350" s="23">
        <v>24922</v>
      </c>
      <c r="H350" s="23">
        <v>14073</v>
      </c>
      <c r="I350" s="24">
        <v>29363</v>
      </c>
      <c r="J350" s="24">
        <f t="shared" si="17"/>
        <v>93840</v>
      </c>
      <c r="K350" s="25"/>
      <c r="L350" s="23"/>
      <c r="M350" s="23"/>
      <c r="N350" s="24"/>
      <c r="O350" s="26"/>
      <c r="P350" s="25"/>
      <c r="Q350" s="23"/>
      <c r="R350" s="23"/>
      <c r="S350" s="24"/>
      <c r="T350" s="26"/>
      <c r="U350" s="15"/>
      <c r="V350" s="15"/>
      <c r="W350" s="15"/>
      <c r="X350" s="15"/>
      <c r="Y350" s="15"/>
      <c r="Z350" s="35"/>
      <c r="AA350" s="35"/>
      <c r="AB350" s="35"/>
      <c r="AC350" s="35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</row>
    <row r="351" spans="1:107" ht="12.75">
      <c r="A351" s="15" t="s">
        <v>461</v>
      </c>
      <c r="B351" s="21" t="s">
        <v>196</v>
      </c>
      <c r="C351" s="15" t="s">
        <v>505</v>
      </c>
      <c r="D351" s="43">
        <v>198251</v>
      </c>
      <c r="E351" s="17">
        <v>7</v>
      </c>
      <c r="F351" s="23">
        <v>32962</v>
      </c>
      <c r="G351" s="23">
        <v>26842</v>
      </c>
      <c r="H351" s="23">
        <v>10709</v>
      </c>
      <c r="I351" s="24">
        <v>35924</v>
      </c>
      <c r="J351" s="24">
        <f t="shared" si="17"/>
        <v>106437</v>
      </c>
      <c r="K351" s="25"/>
      <c r="L351" s="23"/>
      <c r="M351" s="23"/>
      <c r="N351" s="24"/>
      <c r="O351" s="26"/>
      <c r="P351" s="25"/>
      <c r="Q351" s="23"/>
      <c r="R351" s="23"/>
      <c r="S351" s="24"/>
      <c r="T351" s="26"/>
      <c r="U351" s="15"/>
      <c r="V351" s="15"/>
      <c r="W351" s="15"/>
      <c r="X351" s="15"/>
      <c r="Y351" s="15"/>
      <c r="Z351" s="35"/>
      <c r="AA351" s="35"/>
      <c r="AB351" s="35"/>
      <c r="AC351" s="35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</row>
    <row r="352" spans="1:107" ht="12.75">
      <c r="A352" s="15" t="s">
        <v>461</v>
      </c>
      <c r="B352" s="21" t="s">
        <v>196</v>
      </c>
      <c r="C352" s="15" t="s">
        <v>506</v>
      </c>
      <c r="D352" s="43">
        <v>198260</v>
      </c>
      <c r="E352" s="17">
        <v>7</v>
      </c>
      <c r="F352" s="23">
        <v>105408</v>
      </c>
      <c r="G352" s="23">
        <v>103696</v>
      </c>
      <c r="H352" s="23">
        <v>43541</v>
      </c>
      <c r="I352" s="24">
        <v>130248</v>
      </c>
      <c r="J352" s="24">
        <f t="shared" si="17"/>
        <v>382893</v>
      </c>
      <c r="K352" s="25"/>
      <c r="L352" s="23"/>
      <c r="M352" s="23"/>
      <c r="N352" s="24"/>
      <c r="O352" s="26"/>
      <c r="P352" s="25"/>
      <c r="Q352" s="23"/>
      <c r="R352" s="23"/>
      <c r="S352" s="24"/>
      <c r="T352" s="26"/>
      <c r="U352" s="15"/>
      <c r="V352" s="15"/>
      <c r="W352" s="15"/>
      <c r="X352" s="15"/>
      <c r="Y352" s="15"/>
      <c r="Z352" s="35"/>
      <c r="AA352" s="35"/>
      <c r="AB352" s="35"/>
      <c r="AC352" s="35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</row>
    <row r="353" spans="1:107" ht="12.75">
      <c r="A353" s="15" t="s">
        <v>461</v>
      </c>
      <c r="B353" s="21" t="s">
        <v>196</v>
      </c>
      <c r="C353" s="15" t="s">
        <v>507</v>
      </c>
      <c r="D353" s="43">
        <v>198321</v>
      </c>
      <c r="E353" s="17">
        <v>7</v>
      </c>
      <c r="F353" s="23">
        <v>14121</v>
      </c>
      <c r="G353" s="23">
        <v>15606</v>
      </c>
      <c r="H353" s="23">
        <v>8456</v>
      </c>
      <c r="I353" s="24">
        <v>20453</v>
      </c>
      <c r="J353" s="24">
        <f t="shared" si="17"/>
        <v>58636</v>
      </c>
      <c r="K353" s="25"/>
      <c r="L353" s="23"/>
      <c r="M353" s="23"/>
      <c r="N353" s="24"/>
      <c r="O353" s="26"/>
      <c r="P353" s="25"/>
      <c r="Q353" s="23"/>
      <c r="R353" s="23"/>
      <c r="S353" s="24"/>
      <c r="T353" s="26"/>
      <c r="U353" s="15"/>
      <c r="V353" s="15"/>
      <c r="W353" s="15"/>
      <c r="X353" s="15"/>
      <c r="Y353" s="15"/>
      <c r="Z353" s="35"/>
      <c r="AA353" s="35"/>
      <c r="AB353" s="35"/>
      <c r="AC353" s="35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</row>
    <row r="354" spans="1:107" ht="12.75">
      <c r="A354" s="15" t="s">
        <v>461</v>
      </c>
      <c r="B354" s="21" t="s">
        <v>196</v>
      </c>
      <c r="C354" s="15" t="s">
        <v>508</v>
      </c>
      <c r="D354" s="43">
        <v>198330</v>
      </c>
      <c r="E354" s="17">
        <v>7</v>
      </c>
      <c r="F354" s="23">
        <v>36961</v>
      </c>
      <c r="G354" s="23">
        <v>38049</v>
      </c>
      <c r="H354" s="23">
        <v>17499</v>
      </c>
      <c r="I354" s="24">
        <v>39677</v>
      </c>
      <c r="J354" s="24">
        <f t="shared" si="17"/>
        <v>132186</v>
      </c>
      <c r="K354" s="25"/>
      <c r="L354" s="23"/>
      <c r="M354" s="23"/>
      <c r="N354" s="24"/>
      <c r="O354" s="26"/>
      <c r="P354" s="25"/>
      <c r="Q354" s="23"/>
      <c r="R354" s="23"/>
      <c r="S354" s="24"/>
      <c r="T354" s="26"/>
      <c r="U354" s="15"/>
      <c r="V354" s="15"/>
      <c r="W354" s="15"/>
      <c r="X354" s="15"/>
      <c r="Y354" s="15"/>
      <c r="Z354" s="35"/>
      <c r="AA354" s="35"/>
      <c r="AB354" s="35"/>
      <c r="AC354" s="35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</row>
    <row r="355" spans="1:107" ht="12.75">
      <c r="A355" s="15" t="s">
        <v>461</v>
      </c>
      <c r="B355" s="21" t="s">
        <v>196</v>
      </c>
      <c r="C355" s="15" t="s">
        <v>509</v>
      </c>
      <c r="D355" s="43">
        <v>197814</v>
      </c>
      <c r="E355" s="17">
        <v>7</v>
      </c>
      <c r="F355" s="23">
        <v>15930</v>
      </c>
      <c r="G355" s="23">
        <v>15215</v>
      </c>
      <c r="H355" s="23">
        <v>4696</v>
      </c>
      <c r="I355" s="24">
        <v>21206</v>
      </c>
      <c r="J355" s="24">
        <f t="shared" si="17"/>
        <v>57047</v>
      </c>
      <c r="K355" s="25"/>
      <c r="L355" s="23"/>
      <c r="M355" s="23"/>
      <c r="N355" s="24"/>
      <c r="O355" s="26"/>
      <c r="P355" s="25"/>
      <c r="Q355" s="23"/>
      <c r="R355" s="23"/>
      <c r="S355" s="24"/>
      <c r="T355" s="26"/>
      <c r="U355" s="15"/>
      <c r="V355" s="15"/>
      <c r="W355" s="15"/>
      <c r="X355" s="15"/>
      <c r="Y355" s="15"/>
      <c r="Z355" s="35"/>
      <c r="AA355" s="35"/>
      <c r="AB355" s="35"/>
      <c r="AC355" s="35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</row>
    <row r="356" spans="1:107" ht="12.75">
      <c r="A356" s="15" t="s">
        <v>461</v>
      </c>
      <c r="B356" s="21" t="s">
        <v>196</v>
      </c>
      <c r="C356" s="15" t="s">
        <v>510</v>
      </c>
      <c r="D356" s="43">
        <v>198367</v>
      </c>
      <c r="E356" s="17">
        <v>7</v>
      </c>
      <c r="F356" s="23">
        <v>20760</v>
      </c>
      <c r="G356" s="23">
        <v>20792</v>
      </c>
      <c r="H356" s="23">
        <v>7608</v>
      </c>
      <c r="I356" s="24">
        <v>21932</v>
      </c>
      <c r="J356" s="24">
        <f t="shared" si="17"/>
        <v>71092</v>
      </c>
      <c r="K356" s="25"/>
      <c r="L356" s="23"/>
      <c r="M356" s="23"/>
      <c r="N356" s="24"/>
      <c r="O356" s="26"/>
      <c r="P356" s="25"/>
      <c r="Q356" s="23"/>
      <c r="R356" s="23"/>
      <c r="S356" s="24"/>
      <c r="T356" s="26"/>
      <c r="U356" s="15"/>
      <c r="V356" s="15"/>
      <c r="W356" s="15"/>
      <c r="X356" s="15"/>
      <c r="Y356" s="15"/>
      <c r="Z356" s="35"/>
      <c r="AA356" s="35"/>
      <c r="AB356" s="35"/>
      <c r="AC356" s="35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</row>
    <row r="357" spans="1:107" ht="12.75">
      <c r="A357" s="15" t="s">
        <v>461</v>
      </c>
      <c r="B357" s="21" t="s">
        <v>196</v>
      </c>
      <c r="C357" s="15" t="s">
        <v>511</v>
      </c>
      <c r="D357" s="43">
        <v>198376</v>
      </c>
      <c r="E357" s="17">
        <v>7</v>
      </c>
      <c r="F357" s="23">
        <v>21933</v>
      </c>
      <c r="G357" s="23">
        <v>20305</v>
      </c>
      <c r="H357" s="23">
        <v>7751</v>
      </c>
      <c r="I357" s="24">
        <v>23549</v>
      </c>
      <c r="J357" s="24">
        <f t="shared" si="17"/>
        <v>73538</v>
      </c>
      <c r="K357" s="25"/>
      <c r="L357" s="23"/>
      <c r="M357" s="23"/>
      <c r="N357" s="24"/>
      <c r="O357" s="26"/>
      <c r="P357" s="25"/>
      <c r="Q357" s="23"/>
      <c r="R357" s="23"/>
      <c r="S357" s="24"/>
      <c r="T357" s="26"/>
      <c r="U357" s="15"/>
      <c r="V357" s="15"/>
      <c r="W357" s="15"/>
      <c r="X357" s="15"/>
      <c r="Y357" s="15"/>
      <c r="Z357" s="35"/>
      <c r="AA357" s="35"/>
      <c r="AB357" s="35"/>
      <c r="AC357" s="35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</row>
    <row r="358" spans="1:107" ht="12.75">
      <c r="A358" s="15" t="s">
        <v>461</v>
      </c>
      <c r="B358" s="21" t="s">
        <v>196</v>
      </c>
      <c r="C358" s="15" t="s">
        <v>512</v>
      </c>
      <c r="D358" s="43">
        <v>198455</v>
      </c>
      <c r="E358" s="17">
        <v>7</v>
      </c>
      <c r="F358" s="23">
        <v>33886</v>
      </c>
      <c r="G358" s="23">
        <v>33534</v>
      </c>
      <c r="H358" s="23">
        <v>14949</v>
      </c>
      <c r="I358" s="24">
        <v>40806</v>
      </c>
      <c r="J358" s="24">
        <f t="shared" si="17"/>
        <v>123175</v>
      </c>
      <c r="K358" s="25"/>
      <c r="L358" s="23"/>
      <c r="M358" s="23"/>
      <c r="N358" s="24"/>
      <c r="O358" s="26"/>
      <c r="P358" s="25"/>
      <c r="Q358" s="23"/>
      <c r="R358" s="23"/>
      <c r="S358" s="24"/>
      <c r="T358" s="26"/>
      <c r="U358" s="15"/>
      <c r="V358" s="15"/>
      <c r="W358" s="15"/>
      <c r="X358" s="15"/>
      <c r="Y358" s="15"/>
      <c r="Z358" s="35"/>
      <c r="AA358" s="35"/>
      <c r="AB358" s="35"/>
      <c r="AC358" s="35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</row>
    <row r="359" spans="1:107" ht="12.75">
      <c r="A359" s="15" t="s">
        <v>461</v>
      </c>
      <c r="B359" s="21" t="s">
        <v>196</v>
      </c>
      <c r="C359" s="15" t="s">
        <v>513</v>
      </c>
      <c r="D359" s="43">
        <v>198491</v>
      </c>
      <c r="E359" s="17">
        <v>7</v>
      </c>
      <c r="F359" s="23">
        <v>15653</v>
      </c>
      <c r="G359" s="23">
        <v>17885</v>
      </c>
      <c r="H359" s="23">
        <v>10671</v>
      </c>
      <c r="I359" s="24">
        <v>20330</v>
      </c>
      <c r="J359" s="24">
        <f t="shared" si="17"/>
        <v>64539</v>
      </c>
      <c r="K359" s="25"/>
      <c r="L359" s="23"/>
      <c r="M359" s="23"/>
      <c r="N359" s="24"/>
      <c r="O359" s="26"/>
      <c r="P359" s="25"/>
      <c r="Q359" s="23"/>
      <c r="R359" s="23"/>
      <c r="S359" s="24"/>
      <c r="T359" s="26"/>
      <c r="U359" s="15"/>
      <c r="V359" s="15"/>
      <c r="W359" s="15"/>
      <c r="X359" s="15"/>
      <c r="Y359" s="15"/>
      <c r="Z359" s="35"/>
      <c r="AA359" s="35"/>
      <c r="AB359" s="35"/>
      <c r="AC359" s="35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</row>
    <row r="360" spans="1:107" ht="12.75">
      <c r="A360" s="15" t="s">
        <v>461</v>
      </c>
      <c r="B360" s="21" t="s">
        <v>196</v>
      </c>
      <c r="C360" s="15" t="s">
        <v>514</v>
      </c>
      <c r="D360" s="43">
        <v>198534</v>
      </c>
      <c r="E360" s="17">
        <v>7</v>
      </c>
      <c r="F360" s="23">
        <v>65006</v>
      </c>
      <c r="G360" s="23">
        <v>67040</v>
      </c>
      <c r="H360" s="23">
        <v>29680</v>
      </c>
      <c r="I360" s="24">
        <v>72671</v>
      </c>
      <c r="J360" s="24">
        <f t="shared" si="17"/>
        <v>234397</v>
      </c>
      <c r="K360" s="25"/>
      <c r="L360" s="23"/>
      <c r="M360" s="23"/>
      <c r="N360" s="24"/>
      <c r="O360" s="26"/>
      <c r="P360" s="25"/>
      <c r="Q360" s="23"/>
      <c r="R360" s="23"/>
      <c r="S360" s="24"/>
      <c r="T360" s="26"/>
      <c r="U360" s="15"/>
      <c r="V360" s="15"/>
      <c r="W360" s="15"/>
      <c r="X360" s="15"/>
      <c r="Y360" s="15"/>
      <c r="Z360" s="35"/>
      <c r="AA360" s="35"/>
      <c r="AB360" s="35"/>
      <c r="AC360" s="35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</row>
    <row r="361" spans="1:107" ht="12.75">
      <c r="A361" s="15" t="s">
        <v>461</v>
      </c>
      <c r="B361" s="21" t="s">
        <v>196</v>
      </c>
      <c r="C361" s="15" t="s">
        <v>515</v>
      </c>
      <c r="D361" s="43">
        <v>198552</v>
      </c>
      <c r="E361" s="17">
        <v>7</v>
      </c>
      <c r="F361" s="23">
        <v>36508</v>
      </c>
      <c r="G361" s="23">
        <v>37247</v>
      </c>
      <c r="H361" s="23">
        <v>21917</v>
      </c>
      <c r="I361" s="24">
        <v>45897</v>
      </c>
      <c r="J361" s="24">
        <f t="shared" si="17"/>
        <v>141569</v>
      </c>
      <c r="K361" s="25"/>
      <c r="L361" s="23"/>
      <c r="M361" s="23"/>
      <c r="N361" s="24"/>
      <c r="O361" s="26"/>
      <c r="P361" s="25"/>
      <c r="Q361" s="23"/>
      <c r="R361" s="23"/>
      <c r="S361" s="24"/>
      <c r="T361" s="26"/>
      <c r="U361" s="15"/>
      <c r="V361" s="15"/>
      <c r="W361" s="15"/>
      <c r="X361" s="15"/>
      <c r="Y361" s="15"/>
      <c r="Z361" s="35"/>
      <c r="AA361" s="35"/>
      <c r="AB361" s="35"/>
      <c r="AC361" s="35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</row>
    <row r="362" spans="1:107" ht="12.75">
      <c r="A362" s="15" t="s">
        <v>461</v>
      </c>
      <c r="B362" s="21" t="s">
        <v>196</v>
      </c>
      <c r="C362" s="15" t="s">
        <v>516</v>
      </c>
      <c r="D362" s="43">
        <v>198570</v>
      </c>
      <c r="E362" s="17">
        <v>7</v>
      </c>
      <c r="F362" s="23">
        <v>36656</v>
      </c>
      <c r="G362" s="23">
        <v>38251</v>
      </c>
      <c r="H362" s="23">
        <v>18180</v>
      </c>
      <c r="I362" s="24">
        <v>41407</v>
      </c>
      <c r="J362" s="24">
        <f t="shared" si="17"/>
        <v>134494</v>
      </c>
      <c r="K362" s="25"/>
      <c r="L362" s="23"/>
      <c r="M362" s="23"/>
      <c r="N362" s="24"/>
      <c r="O362" s="26"/>
      <c r="P362" s="25"/>
      <c r="Q362" s="23"/>
      <c r="R362" s="23"/>
      <c r="S362" s="24"/>
      <c r="T362" s="26"/>
      <c r="U362" s="15"/>
      <c r="V362" s="15"/>
      <c r="W362" s="15"/>
      <c r="X362" s="15"/>
      <c r="Y362" s="15"/>
      <c r="Z362" s="35"/>
      <c r="AA362" s="35"/>
      <c r="AB362" s="35"/>
      <c r="AC362" s="35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</row>
    <row r="363" spans="1:107" ht="12.75">
      <c r="A363" s="15" t="s">
        <v>461</v>
      </c>
      <c r="B363" s="21" t="s">
        <v>196</v>
      </c>
      <c r="C363" s="15" t="s">
        <v>517</v>
      </c>
      <c r="D363" s="43">
        <v>198622</v>
      </c>
      <c r="E363" s="17">
        <v>7</v>
      </c>
      <c r="F363" s="23">
        <v>47579</v>
      </c>
      <c r="G363" s="23">
        <v>46733</v>
      </c>
      <c r="H363" s="23">
        <v>11513</v>
      </c>
      <c r="I363" s="24">
        <v>61095</v>
      </c>
      <c r="J363" s="24">
        <f t="shared" si="17"/>
        <v>166920</v>
      </c>
      <c r="K363" s="25"/>
      <c r="L363" s="23"/>
      <c r="M363" s="23"/>
      <c r="N363" s="24"/>
      <c r="O363" s="26"/>
      <c r="P363" s="25"/>
      <c r="Q363" s="23"/>
      <c r="R363" s="23"/>
      <c r="S363" s="24"/>
      <c r="T363" s="26"/>
      <c r="U363" s="23"/>
      <c r="V363" s="23"/>
      <c r="W363" s="23"/>
      <c r="X363" s="23"/>
      <c r="Y363" s="23"/>
      <c r="Z363" s="35"/>
      <c r="AA363" s="35"/>
      <c r="AB363" s="35"/>
      <c r="AC363" s="35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</row>
    <row r="364" spans="1:107" ht="12.75">
      <c r="A364" s="15" t="s">
        <v>461</v>
      </c>
      <c r="B364" s="21" t="s">
        <v>196</v>
      </c>
      <c r="C364" s="15" t="s">
        <v>518</v>
      </c>
      <c r="D364" s="43">
        <v>198640</v>
      </c>
      <c r="E364" s="17">
        <v>7</v>
      </c>
      <c r="F364" s="23">
        <v>14883</v>
      </c>
      <c r="G364" s="23">
        <v>14889</v>
      </c>
      <c r="H364" s="23">
        <v>5909</v>
      </c>
      <c r="I364" s="24">
        <v>16347</v>
      </c>
      <c r="J364" s="24">
        <f t="shared" si="17"/>
        <v>52028</v>
      </c>
      <c r="K364" s="25"/>
      <c r="L364" s="23"/>
      <c r="M364" s="23"/>
      <c r="N364" s="24"/>
      <c r="O364" s="26"/>
      <c r="P364" s="25"/>
      <c r="Q364" s="23"/>
      <c r="R364" s="23"/>
      <c r="S364" s="24"/>
      <c r="T364" s="26"/>
      <c r="U364" s="23"/>
      <c r="V364" s="23"/>
      <c r="W364" s="23"/>
      <c r="X364" s="23"/>
      <c r="Y364" s="23"/>
      <c r="Z364" s="35"/>
      <c r="AA364" s="35"/>
      <c r="AB364" s="35"/>
      <c r="AC364" s="35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</row>
    <row r="365" spans="1:107" ht="12.75">
      <c r="A365" s="15" t="s">
        <v>461</v>
      </c>
      <c r="B365" s="21" t="s">
        <v>196</v>
      </c>
      <c r="C365" s="15" t="s">
        <v>519</v>
      </c>
      <c r="D365" s="43">
        <v>198668</v>
      </c>
      <c r="E365" s="17">
        <v>7</v>
      </c>
      <c r="F365" s="23">
        <v>13398</v>
      </c>
      <c r="G365" s="23">
        <v>12537</v>
      </c>
      <c r="H365" s="23">
        <v>6031</v>
      </c>
      <c r="I365" s="24">
        <v>14633</v>
      </c>
      <c r="J365" s="24">
        <f t="shared" si="17"/>
        <v>46599</v>
      </c>
      <c r="K365" s="25"/>
      <c r="L365" s="23"/>
      <c r="M365" s="23"/>
      <c r="N365" s="24"/>
      <c r="O365" s="26"/>
      <c r="P365" s="25"/>
      <c r="Q365" s="23"/>
      <c r="R365" s="23"/>
      <c r="S365" s="24"/>
      <c r="T365" s="26"/>
      <c r="U365" s="23"/>
      <c r="V365" s="23"/>
      <c r="W365" s="23"/>
      <c r="X365" s="23"/>
      <c r="Y365" s="23"/>
      <c r="Z365" s="35"/>
      <c r="AA365" s="35"/>
      <c r="AB365" s="35"/>
      <c r="AC365" s="35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</row>
    <row r="366" spans="1:107" ht="12.75">
      <c r="A366" s="15" t="s">
        <v>461</v>
      </c>
      <c r="B366" s="21" t="s">
        <v>196</v>
      </c>
      <c r="C366" s="15" t="s">
        <v>520</v>
      </c>
      <c r="D366" s="43">
        <v>198729</v>
      </c>
      <c r="E366" s="17">
        <v>7</v>
      </c>
      <c r="F366" s="23">
        <v>14123</v>
      </c>
      <c r="G366" s="23">
        <v>13992</v>
      </c>
      <c r="H366" s="23">
        <v>5650</v>
      </c>
      <c r="I366" s="24">
        <v>16539</v>
      </c>
      <c r="J366" s="24">
        <f t="shared" si="17"/>
        <v>50304</v>
      </c>
      <c r="K366" s="25"/>
      <c r="L366" s="23"/>
      <c r="M366" s="23"/>
      <c r="N366" s="24"/>
      <c r="O366" s="26"/>
      <c r="P366" s="25"/>
      <c r="Q366" s="23"/>
      <c r="R366" s="23"/>
      <c r="S366" s="24"/>
      <c r="T366" s="26"/>
      <c r="U366" s="23"/>
      <c r="V366" s="23"/>
      <c r="W366" s="23"/>
      <c r="X366" s="23"/>
      <c r="Y366" s="23"/>
      <c r="Z366" s="35"/>
      <c r="AA366" s="35"/>
      <c r="AB366" s="35"/>
      <c r="AC366" s="35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</row>
    <row r="367" spans="1:107" ht="12.75">
      <c r="A367" s="15" t="s">
        <v>461</v>
      </c>
      <c r="B367" s="21" t="s">
        <v>196</v>
      </c>
      <c r="C367" s="15" t="s">
        <v>521</v>
      </c>
      <c r="D367" s="43">
        <v>198710</v>
      </c>
      <c r="E367" s="17">
        <v>7</v>
      </c>
      <c r="F367" s="23">
        <v>10462</v>
      </c>
      <c r="G367" s="23">
        <v>9986</v>
      </c>
      <c r="H367" s="23">
        <v>4432</v>
      </c>
      <c r="I367" s="24">
        <v>10890</v>
      </c>
      <c r="J367" s="24">
        <f t="shared" si="17"/>
        <v>35770</v>
      </c>
      <c r="K367" s="25"/>
      <c r="L367" s="23"/>
      <c r="M367" s="23"/>
      <c r="N367" s="24"/>
      <c r="O367" s="26"/>
      <c r="P367" s="25"/>
      <c r="Q367" s="23"/>
      <c r="R367" s="23"/>
      <c r="S367" s="24"/>
      <c r="T367" s="26"/>
      <c r="U367" s="23"/>
      <c r="V367" s="23"/>
      <c r="W367" s="23"/>
      <c r="X367" s="23"/>
      <c r="Y367" s="23"/>
      <c r="Z367" s="35"/>
      <c r="AA367" s="35"/>
      <c r="AB367" s="35"/>
      <c r="AC367" s="35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</row>
    <row r="368" spans="1:107" ht="12.75">
      <c r="A368" s="15" t="s">
        <v>461</v>
      </c>
      <c r="B368" s="21" t="s">
        <v>196</v>
      </c>
      <c r="C368" s="15" t="s">
        <v>522</v>
      </c>
      <c r="D368" s="43">
        <v>198774</v>
      </c>
      <c r="E368" s="17">
        <v>7</v>
      </c>
      <c r="F368" s="23">
        <v>23944</v>
      </c>
      <c r="G368" s="23">
        <v>27056</v>
      </c>
      <c r="H368" s="23">
        <v>16543</v>
      </c>
      <c r="I368" s="24">
        <v>29852</v>
      </c>
      <c r="J368" s="24">
        <f t="shared" si="17"/>
        <v>97395</v>
      </c>
      <c r="K368" s="25"/>
      <c r="L368" s="23"/>
      <c r="M368" s="23"/>
      <c r="N368" s="24"/>
      <c r="O368" s="26"/>
      <c r="P368" s="25"/>
      <c r="Q368" s="23"/>
      <c r="R368" s="23"/>
      <c r="S368" s="24"/>
      <c r="T368" s="26"/>
      <c r="U368" s="23"/>
      <c r="V368" s="23"/>
      <c r="W368" s="23"/>
      <c r="X368" s="23"/>
      <c r="Y368" s="23"/>
      <c r="Z368" s="35"/>
      <c r="AA368" s="35"/>
      <c r="AB368" s="35"/>
      <c r="AC368" s="35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</row>
    <row r="369" spans="1:107" ht="12.75">
      <c r="A369" s="15" t="s">
        <v>461</v>
      </c>
      <c r="B369" s="21" t="s">
        <v>196</v>
      </c>
      <c r="C369" s="15" t="s">
        <v>523</v>
      </c>
      <c r="D369" s="43">
        <v>198817</v>
      </c>
      <c r="E369" s="17">
        <v>7</v>
      </c>
      <c r="F369" s="23">
        <v>20491</v>
      </c>
      <c r="G369" s="23">
        <v>18863</v>
      </c>
      <c r="H369" s="23">
        <v>4887</v>
      </c>
      <c r="I369" s="24">
        <v>21742</v>
      </c>
      <c r="J369" s="24">
        <f t="shared" si="17"/>
        <v>65983</v>
      </c>
      <c r="K369" s="25"/>
      <c r="L369" s="23"/>
      <c r="M369" s="23"/>
      <c r="N369" s="24"/>
      <c r="O369" s="26"/>
      <c r="P369" s="25"/>
      <c r="Q369" s="23"/>
      <c r="R369" s="23"/>
      <c r="S369" s="24"/>
      <c r="T369" s="26"/>
      <c r="U369" s="23"/>
      <c r="V369" s="23"/>
      <c r="W369" s="23"/>
      <c r="X369" s="23"/>
      <c r="Y369" s="23"/>
      <c r="Z369" s="35"/>
      <c r="AA369" s="35"/>
      <c r="AB369" s="35"/>
      <c r="AC369" s="35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</row>
    <row r="370" spans="1:107" ht="12.75">
      <c r="A370" s="15" t="s">
        <v>461</v>
      </c>
      <c r="B370" s="21" t="s">
        <v>196</v>
      </c>
      <c r="C370" s="15" t="s">
        <v>524</v>
      </c>
      <c r="D370" s="43">
        <v>198905</v>
      </c>
      <c r="E370" s="17">
        <v>7</v>
      </c>
      <c r="F370" s="23">
        <v>7485</v>
      </c>
      <c r="G370" s="23">
        <v>7227</v>
      </c>
      <c r="H370" s="23">
        <v>2078</v>
      </c>
      <c r="I370" s="24">
        <v>8713</v>
      </c>
      <c r="J370" s="24">
        <f t="shared" si="17"/>
        <v>25503</v>
      </c>
      <c r="K370" s="25"/>
      <c r="L370" s="23"/>
      <c r="M370" s="23"/>
      <c r="N370" s="24"/>
      <c r="O370" s="26"/>
      <c r="P370" s="25"/>
      <c r="Q370" s="23"/>
      <c r="R370" s="23"/>
      <c r="S370" s="24"/>
      <c r="T370" s="26"/>
      <c r="U370" s="23"/>
      <c r="V370" s="23"/>
      <c r="W370" s="23"/>
      <c r="X370" s="23"/>
      <c r="Y370" s="23"/>
      <c r="Z370" s="35"/>
      <c r="AA370" s="35"/>
      <c r="AB370" s="35"/>
      <c r="AC370" s="35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</row>
    <row r="371" spans="1:107" ht="12.75">
      <c r="A371" s="15" t="s">
        <v>461</v>
      </c>
      <c r="B371" s="21" t="s">
        <v>196</v>
      </c>
      <c r="C371" s="15" t="s">
        <v>525</v>
      </c>
      <c r="D371" s="43">
        <v>198914</v>
      </c>
      <c r="E371" s="17">
        <v>7</v>
      </c>
      <c r="F371" s="23">
        <v>7209</v>
      </c>
      <c r="G371" s="23">
        <v>6547</v>
      </c>
      <c r="H371" s="23">
        <v>3492</v>
      </c>
      <c r="I371" s="24">
        <v>8685</v>
      </c>
      <c r="J371" s="24">
        <f aca="true" t="shared" si="18" ref="J371:J402">SUM(F371:I371)</f>
        <v>25933</v>
      </c>
      <c r="K371" s="25"/>
      <c r="L371" s="23"/>
      <c r="M371" s="23"/>
      <c r="N371" s="24"/>
      <c r="O371" s="26"/>
      <c r="P371" s="25"/>
      <c r="Q371" s="23"/>
      <c r="R371" s="23"/>
      <c r="S371" s="24"/>
      <c r="T371" s="26"/>
      <c r="U371" s="23"/>
      <c r="V371" s="23"/>
      <c r="W371" s="23"/>
      <c r="X371" s="23"/>
      <c r="Y371" s="23"/>
      <c r="Z371" s="35"/>
      <c r="AA371" s="35"/>
      <c r="AB371" s="35"/>
      <c r="AC371" s="35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</row>
    <row r="372" spans="1:107" ht="12.75">
      <c r="A372" s="15" t="s">
        <v>461</v>
      </c>
      <c r="B372" s="21" t="s">
        <v>196</v>
      </c>
      <c r="C372" s="15" t="s">
        <v>526</v>
      </c>
      <c r="D372" s="43">
        <v>198923</v>
      </c>
      <c r="E372" s="17">
        <v>7</v>
      </c>
      <c r="F372" s="23">
        <v>7954</v>
      </c>
      <c r="G372" s="23">
        <v>9153</v>
      </c>
      <c r="H372" s="23">
        <v>5404</v>
      </c>
      <c r="I372" s="24">
        <v>11750</v>
      </c>
      <c r="J372" s="24">
        <f t="shared" si="18"/>
        <v>34261</v>
      </c>
      <c r="K372" s="25"/>
      <c r="L372" s="23"/>
      <c r="M372" s="23"/>
      <c r="N372" s="24"/>
      <c r="O372" s="26"/>
      <c r="P372" s="25"/>
      <c r="Q372" s="23"/>
      <c r="R372" s="23"/>
      <c r="S372" s="24"/>
      <c r="T372" s="26"/>
      <c r="U372" s="23"/>
      <c r="V372" s="23"/>
      <c r="W372" s="23"/>
      <c r="X372" s="23"/>
      <c r="Y372" s="23"/>
      <c r="Z372" s="35"/>
      <c r="AA372" s="35"/>
      <c r="AB372" s="35"/>
      <c r="AC372" s="35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</row>
    <row r="373" spans="1:107" ht="12.75">
      <c r="A373" s="15" t="s">
        <v>461</v>
      </c>
      <c r="B373" s="21" t="s">
        <v>196</v>
      </c>
      <c r="C373" s="15" t="s">
        <v>527</v>
      </c>
      <c r="D373" s="43">
        <v>198987</v>
      </c>
      <c r="E373" s="17">
        <v>7</v>
      </c>
      <c r="F373" s="23">
        <v>14468</v>
      </c>
      <c r="G373" s="23">
        <v>14107</v>
      </c>
      <c r="H373" s="23">
        <v>6685</v>
      </c>
      <c r="I373" s="24">
        <v>16904</v>
      </c>
      <c r="J373" s="24">
        <f t="shared" si="18"/>
        <v>52164</v>
      </c>
      <c r="K373" s="25"/>
      <c r="L373" s="23"/>
      <c r="M373" s="23"/>
      <c r="N373" s="24"/>
      <c r="O373" s="26"/>
      <c r="P373" s="25"/>
      <c r="Q373" s="23"/>
      <c r="R373" s="23"/>
      <c r="S373" s="24"/>
      <c r="T373" s="26"/>
      <c r="U373" s="23"/>
      <c r="V373" s="23"/>
      <c r="W373" s="23"/>
      <c r="X373" s="23"/>
      <c r="Y373" s="23"/>
      <c r="Z373" s="35"/>
      <c r="AA373" s="35"/>
      <c r="AB373" s="35"/>
      <c r="AC373" s="35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</row>
    <row r="374" spans="1:107" ht="12.75">
      <c r="A374" s="15" t="s">
        <v>461</v>
      </c>
      <c r="B374" s="21" t="s">
        <v>196</v>
      </c>
      <c r="C374" s="15" t="s">
        <v>528</v>
      </c>
      <c r="D374" s="43">
        <v>199023</v>
      </c>
      <c r="E374" s="17">
        <v>7</v>
      </c>
      <c r="F374" s="23">
        <v>6517</v>
      </c>
      <c r="G374" s="23">
        <v>6829</v>
      </c>
      <c r="H374" s="23">
        <v>4039</v>
      </c>
      <c r="I374" s="24">
        <v>7062</v>
      </c>
      <c r="J374" s="24">
        <f t="shared" si="18"/>
        <v>24447</v>
      </c>
      <c r="K374" s="25"/>
      <c r="L374" s="23"/>
      <c r="M374" s="23"/>
      <c r="N374" s="24"/>
      <c r="O374" s="26"/>
      <c r="P374" s="25"/>
      <c r="Q374" s="23"/>
      <c r="R374" s="23"/>
      <c r="S374" s="24"/>
      <c r="T374" s="26"/>
      <c r="U374" s="23"/>
      <c r="V374" s="23"/>
      <c r="W374" s="23"/>
      <c r="X374" s="23"/>
      <c r="Y374" s="23"/>
      <c r="Z374" s="35"/>
      <c r="AA374" s="35"/>
      <c r="AB374" s="35"/>
      <c r="AC374" s="35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</row>
    <row r="375" spans="1:107" ht="12.75">
      <c r="A375" s="15" t="s">
        <v>461</v>
      </c>
      <c r="B375" s="21" t="s">
        <v>196</v>
      </c>
      <c r="C375" s="15" t="s">
        <v>529</v>
      </c>
      <c r="D375" s="43">
        <v>199087</v>
      </c>
      <c r="E375" s="17">
        <v>7</v>
      </c>
      <c r="F375" s="23">
        <v>14914</v>
      </c>
      <c r="G375" s="23">
        <v>15509</v>
      </c>
      <c r="H375" s="23">
        <v>4624</v>
      </c>
      <c r="I375" s="24">
        <v>17959</v>
      </c>
      <c r="J375" s="24">
        <f t="shared" si="18"/>
        <v>53006</v>
      </c>
      <c r="K375" s="25"/>
      <c r="L375" s="23"/>
      <c r="M375" s="23"/>
      <c r="N375" s="24"/>
      <c r="O375" s="26"/>
      <c r="P375" s="25"/>
      <c r="Q375" s="23"/>
      <c r="R375" s="23"/>
      <c r="S375" s="24"/>
      <c r="T375" s="26"/>
      <c r="U375" s="23"/>
      <c r="V375" s="23"/>
      <c r="W375" s="23"/>
      <c r="X375" s="23"/>
      <c r="Y375" s="23"/>
      <c r="Z375" s="35"/>
      <c r="AA375" s="35"/>
      <c r="AB375" s="35"/>
      <c r="AC375" s="35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</row>
    <row r="376" spans="1:107" ht="12.75">
      <c r="A376" s="15" t="s">
        <v>461</v>
      </c>
      <c r="B376" s="21" t="s">
        <v>196</v>
      </c>
      <c r="C376" s="15" t="s">
        <v>530</v>
      </c>
      <c r="D376" s="43">
        <v>199263</v>
      </c>
      <c r="E376" s="17">
        <v>7</v>
      </c>
      <c r="F376" s="23">
        <v>2157</v>
      </c>
      <c r="G376" s="23">
        <v>1768</v>
      </c>
      <c r="H376" s="23">
        <v>268</v>
      </c>
      <c r="I376" s="24">
        <v>2086</v>
      </c>
      <c r="J376" s="24">
        <f t="shared" si="18"/>
        <v>6279</v>
      </c>
      <c r="K376" s="25"/>
      <c r="L376" s="23"/>
      <c r="M376" s="23"/>
      <c r="N376" s="24"/>
      <c r="O376" s="26"/>
      <c r="P376" s="25"/>
      <c r="Q376" s="23"/>
      <c r="R376" s="23"/>
      <c r="S376" s="24"/>
      <c r="T376" s="26"/>
      <c r="U376" s="23"/>
      <c r="V376" s="23"/>
      <c r="W376" s="23"/>
      <c r="X376" s="23"/>
      <c r="Y376" s="23"/>
      <c r="Z376" s="35"/>
      <c r="AA376" s="35"/>
      <c r="AB376" s="35"/>
      <c r="AC376" s="35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</row>
    <row r="377" spans="1:107" ht="12.75">
      <c r="A377" s="15" t="s">
        <v>461</v>
      </c>
      <c r="B377" s="21" t="s">
        <v>196</v>
      </c>
      <c r="C377" s="15" t="s">
        <v>531</v>
      </c>
      <c r="D377" s="43">
        <v>199324</v>
      </c>
      <c r="E377" s="17">
        <v>7</v>
      </c>
      <c r="F377" s="23">
        <v>9741</v>
      </c>
      <c r="G377" s="23">
        <v>11965</v>
      </c>
      <c r="H377" s="23">
        <v>4594</v>
      </c>
      <c r="I377" s="24">
        <v>12901</v>
      </c>
      <c r="J377" s="24">
        <f t="shared" si="18"/>
        <v>39201</v>
      </c>
      <c r="K377" s="25"/>
      <c r="L377" s="23"/>
      <c r="M377" s="23"/>
      <c r="N377" s="24"/>
      <c r="O377" s="26"/>
      <c r="P377" s="25"/>
      <c r="Q377" s="23"/>
      <c r="R377" s="23"/>
      <c r="S377" s="24"/>
      <c r="T377" s="26"/>
      <c r="U377" s="23"/>
      <c r="V377" s="23"/>
      <c r="W377" s="23"/>
      <c r="X377" s="23"/>
      <c r="Y377" s="23"/>
      <c r="Z377" s="35"/>
      <c r="AA377" s="35"/>
      <c r="AB377" s="35"/>
      <c r="AC377" s="35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</row>
    <row r="378" spans="1:107" ht="12.75">
      <c r="A378" s="15" t="s">
        <v>461</v>
      </c>
      <c r="B378" s="21" t="s">
        <v>196</v>
      </c>
      <c r="C378" s="15" t="s">
        <v>532</v>
      </c>
      <c r="D378" s="43">
        <v>199333</v>
      </c>
      <c r="E378" s="17">
        <v>7</v>
      </c>
      <c r="F378" s="23">
        <v>40061</v>
      </c>
      <c r="G378" s="23">
        <v>39507</v>
      </c>
      <c r="H378" s="23">
        <v>16013</v>
      </c>
      <c r="I378" s="24">
        <v>46993</v>
      </c>
      <c r="J378" s="24">
        <f t="shared" si="18"/>
        <v>142574</v>
      </c>
      <c r="K378" s="25"/>
      <c r="L378" s="23"/>
      <c r="M378" s="23"/>
      <c r="N378" s="24"/>
      <c r="O378" s="26"/>
      <c r="P378" s="25"/>
      <c r="Q378" s="23"/>
      <c r="R378" s="23"/>
      <c r="S378" s="24"/>
      <c r="T378" s="26"/>
      <c r="U378" s="23"/>
      <c r="V378" s="23"/>
      <c r="W378" s="23"/>
      <c r="X378" s="23"/>
      <c r="Y378" s="23"/>
      <c r="Z378" s="35"/>
      <c r="AA378" s="35"/>
      <c r="AB378" s="35"/>
      <c r="AC378" s="35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</row>
    <row r="379" spans="1:107" ht="12.75">
      <c r="A379" s="15" t="s">
        <v>461</v>
      </c>
      <c r="B379" s="21" t="s">
        <v>196</v>
      </c>
      <c r="C379" s="15" t="s">
        <v>533</v>
      </c>
      <c r="D379" s="43">
        <v>199421</v>
      </c>
      <c r="E379" s="17">
        <v>7</v>
      </c>
      <c r="F379" s="23">
        <v>13121</v>
      </c>
      <c r="G379" s="23">
        <v>9986</v>
      </c>
      <c r="H379" s="23">
        <v>5328</v>
      </c>
      <c r="I379" s="24">
        <v>15324</v>
      </c>
      <c r="J379" s="24">
        <f t="shared" si="18"/>
        <v>43759</v>
      </c>
      <c r="K379" s="25"/>
      <c r="L379" s="23"/>
      <c r="M379" s="23"/>
      <c r="N379" s="24"/>
      <c r="O379" s="26"/>
      <c r="P379" s="25"/>
      <c r="Q379" s="23"/>
      <c r="R379" s="23"/>
      <c r="S379" s="24"/>
      <c r="T379" s="26"/>
      <c r="U379" s="23"/>
      <c r="V379" s="23"/>
      <c r="W379" s="23"/>
      <c r="X379" s="23"/>
      <c r="Y379" s="23"/>
      <c r="Z379" s="35"/>
      <c r="AA379" s="35"/>
      <c r="AB379" s="35"/>
      <c r="AC379" s="35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</row>
    <row r="380" spans="1:107" ht="12.75">
      <c r="A380" s="15" t="s">
        <v>461</v>
      </c>
      <c r="B380" s="21" t="s">
        <v>196</v>
      </c>
      <c r="C380" s="15" t="s">
        <v>534</v>
      </c>
      <c r="D380" s="43">
        <v>199449</v>
      </c>
      <c r="E380" s="17">
        <v>7</v>
      </c>
      <c r="F380" s="23">
        <v>12218</v>
      </c>
      <c r="G380" s="23">
        <v>12036</v>
      </c>
      <c r="H380" s="23">
        <v>5736</v>
      </c>
      <c r="I380" s="24">
        <v>12678</v>
      </c>
      <c r="J380" s="24">
        <f t="shared" si="18"/>
        <v>42668</v>
      </c>
      <c r="K380" s="25"/>
      <c r="L380" s="23"/>
      <c r="M380" s="23"/>
      <c r="N380" s="24"/>
      <c r="O380" s="26"/>
      <c r="P380" s="25"/>
      <c r="Q380" s="23"/>
      <c r="R380" s="23"/>
      <c r="S380" s="24"/>
      <c r="T380" s="26"/>
      <c r="U380" s="23"/>
      <c r="V380" s="23"/>
      <c r="W380" s="23"/>
      <c r="X380" s="23"/>
      <c r="Y380" s="23"/>
      <c r="Z380" s="35"/>
      <c r="AA380" s="35"/>
      <c r="AB380" s="35"/>
      <c r="AC380" s="35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</row>
    <row r="381" spans="1:107" ht="12.75">
      <c r="A381" s="15" t="s">
        <v>461</v>
      </c>
      <c r="B381" s="21" t="s">
        <v>196</v>
      </c>
      <c r="C381" s="15" t="s">
        <v>535</v>
      </c>
      <c r="D381" s="43">
        <v>199467</v>
      </c>
      <c r="E381" s="17">
        <v>7</v>
      </c>
      <c r="F381" s="23">
        <v>9519</v>
      </c>
      <c r="G381" s="23">
        <v>8691</v>
      </c>
      <c r="H381" s="23">
        <v>4379</v>
      </c>
      <c r="I381" s="24">
        <v>10003</v>
      </c>
      <c r="J381" s="24">
        <f t="shared" si="18"/>
        <v>32592</v>
      </c>
      <c r="K381" s="25"/>
      <c r="L381" s="23"/>
      <c r="M381" s="23"/>
      <c r="N381" s="24"/>
      <c r="O381" s="26"/>
      <c r="P381" s="25"/>
      <c r="Q381" s="23"/>
      <c r="R381" s="23"/>
      <c r="S381" s="24"/>
      <c r="T381" s="26"/>
      <c r="U381" s="23"/>
      <c r="V381" s="23"/>
      <c r="W381" s="23"/>
      <c r="X381" s="23"/>
      <c r="Y381" s="23"/>
      <c r="Z381" s="35"/>
      <c r="AA381" s="35"/>
      <c r="AB381" s="35"/>
      <c r="AC381" s="35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</row>
    <row r="382" spans="1:107" ht="12.75">
      <c r="A382" s="15" t="s">
        <v>461</v>
      </c>
      <c r="B382" s="21" t="s">
        <v>196</v>
      </c>
      <c r="C382" s="15" t="s">
        <v>536</v>
      </c>
      <c r="D382" s="43">
        <v>199476</v>
      </c>
      <c r="E382" s="17">
        <v>7</v>
      </c>
      <c r="F382" s="23">
        <v>15646</v>
      </c>
      <c r="G382" s="23">
        <v>15185</v>
      </c>
      <c r="H382" s="23">
        <v>5041</v>
      </c>
      <c r="I382" s="24">
        <v>18127</v>
      </c>
      <c r="J382" s="24">
        <f t="shared" si="18"/>
        <v>53999</v>
      </c>
      <c r="K382" s="25"/>
      <c r="L382" s="23"/>
      <c r="M382" s="23"/>
      <c r="N382" s="24"/>
      <c r="O382" s="26"/>
      <c r="P382" s="25"/>
      <c r="Q382" s="23"/>
      <c r="R382" s="23"/>
      <c r="S382" s="24"/>
      <c r="T382" s="26"/>
      <c r="U382" s="23"/>
      <c r="V382" s="23"/>
      <c r="W382" s="23"/>
      <c r="X382" s="23"/>
      <c r="Y382" s="23"/>
      <c r="Z382" s="35"/>
      <c r="AA382" s="35"/>
      <c r="AB382" s="35"/>
      <c r="AC382" s="35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</row>
    <row r="383" spans="1:107" ht="12.75">
      <c r="A383" s="15" t="s">
        <v>461</v>
      </c>
      <c r="B383" s="21" t="s">
        <v>196</v>
      </c>
      <c r="C383" s="15" t="s">
        <v>537</v>
      </c>
      <c r="D383" s="43">
        <v>199485</v>
      </c>
      <c r="E383" s="17">
        <v>7</v>
      </c>
      <c r="F383" s="23">
        <v>17109</v>
      </c>
      <c r="G383" s="23">
        <v>16604</v>
      </c>
      <c r="H383" s="23">
        <v>7819</v>
      </c>
      <c r="I383" s="24">
        <v>19063</v>
      </c>
      <c r="J383" s="24">
        <f t="shared" si="18"/>
        <v>60595</v>
      </c>
      <c r="K383" s="25"/>
      <c r="L383" s="23"/>
      <c r="M383" s="23"/>
      <c r="N383" s="24"/>
      <c r="O383" s="26"/>
      <c r="P383" s="25"/>
      <c r="Q383" s="23"/>
      <c r="R383" s="23"/>
      <c r="S383" s="24"/>
      <c r="T383" s="26"/>
      <c r="U383" s="23"/>
      <c r="V383" s="23"/>
      <c r="W383" s="23"/>
      <c r="X383" s="23"/>
      <c r="Y383" s="23"/>
      <c r="Z383" s="35"/>
      <c r="AA383" s="35"/>
      <c r="AB383" s="35"/>
      <c r="AC383" s="35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</row>
    <row r="384" spans="1:107" ht="12.75">
      <c r="A384" s="15" t="s">
        <v>461</v>
      </c>
      <c r="B384" s="21" t="s">
        <v>196</v>
      </c>
      <c r="C384" s="15" t="s">
        <v>538</v>
      </c>
      <c r="D384" s="43">
        <v>199494</v>
      </c>
      <c r="E384" s="17">
        <v>7</v>
      </c>
      <c r="F384" s="23">
        <v>28152</v>
      </c>
      <c r="G384" s="23">
        <v>27606</v>
      </c>
      <c r="H384" s="23">
        <v>7611</v>
      </c>
      <c r="I384" s="24">
        <v>34880</v>
      </c>
      <c r="J384" s="24">
        <f t="shared" si="18"/>
        <v>98249</v>
      </c>
      <c r="K384" s="25"/>
      <c r="L384" s="23"/>
      <c r="M384" s="23"/>
      <c r="N384" s="24"/>
      <c r="O384" s="26"/>
      <c r="P384" s="25"/>
      <c r="Q384" s="23"/>
      <c r="R384" s="23"/>
      <c r="S384" s="24"/>
      <c r="T384" s="26"/>
      <c r="U384" s="23"/>
      <c r="V384" s="23"/>
      <c r="W384" s="23"/>
      <c r="X384" s="23"/>
      <c r="Y384" s="23"/>
      <c r="Z384" s="35"/>
      <c r="AA384" s="35"/>
      <c r="AB384" s="35"/>
      <c r="AC384" s="35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</row>
    <row r="385" spans="1:107" ht="12.75">
      <c r="A385" s="15" t="s">
        <v>461</v>
      </c>
      <c r="B385" s="21" t="s">
        <v>196</v>
      </c>
      <c r="C385" s="15" t="s">
        <v>539</v>
      </c>
      <c r="D385" s="43">
        <v>199625</v>
      </c>
      <c r="E385" s="17">
        <v>7</v>
      </c>
      <c r="F385" s="23">
        <v>11177</v>
      </c>
      <c r="G385" s="23">
        <v>10217</v>
      </c>
      <c r="H385" s="23">
        <v>4051</v>
      </c>
      <c r="I385" s="24">
        <v>11541</v>
      </c>
      <c r="J385" s="24">
        <f t="shared" si="18"/>
        <v>36986</v>
      </c>
      <c r="K385" s="25"/>
      <c r="L385" s="23"/>
      <c r="M385" s="23"/>
      <c r="N385" s="24"/>
      <c r="O385" s="26"/>
      <c r="P385" s="25"/>
      <c r="Q385" s="23"/>
      <c r="R385" s="23"/>
      <c r="S385" s="24"/>
      <c r="T385" s="26"/>
      <c r="U385" s="23"/>
      <c r="V385" s="23"/>
      <c r="W385" s="23"/>
      <c r="X385" s="23"/>
      <c r="Y385" s="23"/>
      <c r="Z385" s="35"/>
      <c r="AA385" s="35"/>
      <c r="AB385" s="35"/>
      <c r="AC385" s="35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</row>
    <row r="386" spans="1:107" ht="12.75">
      <c r="A386" s="15" t="s">
        <v>461</v>
      </c>
      <c r="B386" s="21" t="s">
        <v>196</v>
      </c>
      <c r="C386" s="15" t="s">
        <v>540</v>
      </c>
      <c r="D386" s="43">
        <v>199634</v>
      </c>
      <c r="E386" s="17">
        <v>7</v>
      </c>
      <c r="F386" s="23">
        <v>25793</v>
      </c>
      <c r="G386" s="23">
        <v>25199</v>
      </c>
      <c r="H386" s="23">
        <v>10094</v>
      </c>
      <c r="I386" s="24">
        <v>29093</v>
      </c>
      <c r="J386" s="24">
        <f t="shared" si="18"/>
        <v>90179</v>
      </c>
      <c r="K386" s="25"/>
      <c r="L386" s="23"/>
      <c r="M386" s="23"/>
      <c r="N386" s="24"/>
      <c r="O386" s="26"/>
      <c r="P386" s="25"/>
      <c r="Q386" s="23"/>
      <c r="R386" s="23"/>
      <c r="S386" s="24"/>
      <c r="T386" s="26"/>
      <c r="U386" s="23"/>
      <c r="V386" s="23"/>
      <c r="W386" s="23"/>
      <c r="X386" s="23"/>
      <c r="Y386" s="23"/>
      <c r="Z386" s="35"/>
      <c r="AA386" s="35"/>
      <c r="AB386" s="35"/>
      <c r="AC386" s="35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</row>
    <row r="387" spans="1:107" ht="12.75">
      <c r="A387" s="15" t="s">
        <v>461</v>
      </c>
      <c r="B387" s="21" t="s">
        <v>196</v>
      </c>
      <c r="C387" s="15" t="s">
        <v>541</v>
      </c>
      <c r="D387" s="43">
        <v>199722</v>
      </c>
      <c r="E387" s="17">
        <v>7</v>
      </c>
      <c r="F387" s="23">
        <v>17606</v>
      </c>
      <c r="G387" s="23">
        <v>17732</v>
      </c>
      <c r="H387" s="23">
        <v>6151</v>
      </c>
      <c r="I387" s="24">
        <v>19685</v>
      </c>
      <c r="J387" s="24">
        <f t="shared" si="18"/>
        <v>61174</v>
      </c>
      <c r="K387" s="25"/>
      <c r="L387" s="23"/>
      <c r="M387" s="23"/>
      <c r="N387" s="24"/>
      <c r="O387" s="26"/>
      <c r="P387" s="25"/>
      <c r="Q387" s="23"/>
      <c r="R387" s="23"/>
      <c r="S387" s="24"/>
      <c r="T387" s="26"/>
      <c r="U387" s="23"/>
      <c r="V387" s="23"/>
      <c r="W387" s="23"/>
      <c r="X387" s="23"/>
      <c r="Y387" s="23"/>
      <c r="Z387" s="35"/>
      <c r="AA387" s="35"/>
      <c r="AB387" s="35"/>
      <c r="AC387" s="35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</row>
    <row r="388" spans="1:107" ht="12.75">
      <c r="A388" s="15" t="s">
        <v>461</v>
      </c>
      <c r="B388" s="21" t="s">
        <v>196</v>
      </c>
      <c r="C388" s="15" t="s">
        <v>542</v>
      </c>
      <c r="D388" s="43">
        <v>199731</v>
      </c>
      <c r="E388" s="17">
        <v>7</v>
      </c>
      <c r="F388" s="23">
        <v>14857</v>
      </c>
      <c r="G388" s="23">
        <v>14125</v>
      </c>
      <c r="H388" s="23">
        <v>6965</v>
      </c>
      <c r="I388" s="24">
        <v>19618</v>
      </c>
      <c r="J388" s="24">
        <f t="shared" si="18"/>
        <v>55565</v>
      </c>
      <c r="K388" s="25"/>
      <c r="L388" s="23"/>
      <c r="M388" s="23"/>
      <c r="N388" s="24"/>
      <c r="O388" s="26"/>
      <c r="P388" s="25"/>
      <c r="Q388" s="23"/>
      <c r="R388" s="23"/>
      <c r="S388" s="24"/>
      <c r="T388" s="26"/>
      <c r="U388" s="23"/>
      <c r="V388" s="23"/>
      <c r="W388" s="23"/>
      <c r="X388" s="23"/>
      <c r="Y388" s="23"/>
      <c r="Z388" s="35"/>
      <c r="AA388" s="35"/>
      <c r="AB388" s="35"/>
      <c r="AC388" s="35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</row>
    <row r="389" spans="1:107" ht="12.75">
      <c r="A389" s="15" t="s">
        <v>461</v>
      </c>
      <c r="B389" s="21" t="s">
        <v>196</v>
      </c>
      <c r="C389" s="15" t="s">
        <v>543</v>
      </c>
      <c r="D389" s="43">
        <v>199740</v>
      </c>
      <c r="E389" s="17">
        <v>7</v>
      </c>
      <c r="F389" s="23">
        <v>14771</v>
      </c>
      <c r="G389" s="23">
        <v>15439</v>
      </c>
      <c r="H389" s="23">
        <v>6731</v>
      </c>
      <c r="I389" s="24">
        <v>16476</v>
      </c>
      <c r="J389" s="24">
        <f t="shared" si="18"/>
        <v>53417</v>
      </c>
      <c r="K389" s="25"/>
      <c r="L389" s="23"/>
      <c r="M389" s="23"/>
      <c r="N389" s="24"/>
      <c r="O389" s="26"/>
      <c r="P389" s="25"/>
      <c r="Q389" s="23"/>
      <c r="R389" s="23"/>
      <c r="S389" s="24"/>
      <c r="T389" s="26"/>
      <c r="U389" s="23"/>
      <c r="V389" s="23"/>
      <c r="W389" s="23"/>
      <c r="X389" s="23"/>
      <c r="Y389" s="23"/>
      <c r="Z389" s="35"/>
      <c r="AA389" s="35"/>
      <c r="AB389" s="35"/>
      <c r="AC389" s="35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</row>
    <row r="390" spans="1:107" ht="12.75">
      <c r="A390" s="15" t="s">
        <v>461</v>
      </c>
      <c r="B390" s="21" t="s">
        <v>196</v>
      </c>
      <c r="C390" s="15" t="s">
        <v>544</v>
      </c>
      <c r="D390" s="43">
        <v>199768</v>
      </c>
      <c r="E390" s="17">
        <v>7</v>
      </c>
      <c r="F390" s="23">
        <v>25832</v>
      </c>
      <c r="G390" s="23">
        <v>24934</v>
      </c>
      <c r="H390" s="23">
        <v>9007</v>
      </c>
      <c r="I390" s="24">
        <v>28779</v>
      </c>
      <c r="J390" s="24">
        <f t="shared" si="18"/>
        <v>88552</v>
      </c>
      <c r="K390" s="25"/>
      <c r="L390" s="23"/>
      <c r="M390" s="23"/>
      <c r="N390" s="24"/>
      <c r="O390" s="26"/>
      <c r="P390" s="25"/>
      <c r="Q390" s="23"/>
      <c r="R390" s="23"/>
      <c r="S390" s="24"/>
      <c r="T390" s="26"/>
      <c r="U390" s="23"/>
      <c r="V390" s="23"/>
      <c r="W390" s="23"/>
      <c r="X390" s="23"/>
      <c r="Y390" s="23"/>
      <c r="Z390" s="35"/>
      <c r="AA390" s="35"/>
      <c r="AB390" s="35"/>
      <c r="AC390" s="35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</row>
    <row r="391" spans="1:107" ht="12.75">
      <c r="A391" s="15" t="s">
        <v>461</v>
      </c>
      <c r="B391" s="21" t="s">
        <v>196</v>
      </c>
      <c r="C391" s="15" t="s">
        <v>545</v>
      </c>
      <c r="D391" s="43">
        <v>199795</v>
      </c>
      <c r="E391" s="17">
        <v>7</v>
      </c>
      <c r="F391" s="23">
        <v>6994</v>
      </c>
      <c r="G391" s="23">
        <v>6471</v>
      </c>
      <c r="H391" s="23">
        <v>3548</v>
      </c>
      <c r="I391" s="24">
        <v>7913</v>
      </c>
      <c r="J391" s="24">
        <f t="shared" si="18"/>
        <v>24926</v>
      </c>
      <c r="K391" s="25"/>
      <c r="L391" s="23"/>
      <c r="M391" s="23"/>
      <c r="N391" s="24"/>
      <c r="O391" s="26"/>
      <c r="P391" s="25"/>
      <c r="Q391" s="23"/>
      <c r="R391" s="23"/>
      <c r="S391" s="24"/>
      <c r="T391" s="26"/>
      <c r="U391" s="23"/>
      <c r="V391" s="23"/>
      <c r="W391" s="23"/>
      <c r="X391" s="23"/>
      <c r="Y391" s="23"/>
      <c r="Z391" s="35"/>
      <c r="AA391" s="35"/>
      <c r="AB391" s="35"/>
      <c r="AC391" s="35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</row>
    <row r="392" spans="1:107" ht="12.75">
      <c r="A392" s="15" t="s">
        <v>461</v>
      </c>
      <c r="B392" s="21" t="s">
        <v>196</v>
      </c>
      <c r="C392" s="15" t="s">
        <v>546</v>
      </c>
      <c r="D392" s="43">
        <v>199838</v>
      </c>
      <c r="E392" s="17">
        <v>7</v>
      </c>
      <c r="F392" s="23">
        <v>23879</v>
      </c>
      <c r="G392" s="23">
        <v>23696</v>
      </c>
      <c r="H392" s="23">
        <v>9946</v>
      </c>
      <c r="I392" s="24">
        <v>27652</v>
      </c>
      <c r="J392" s="24">
        <f t="shared" si="18"/>
        <v>85173</v>
      </c>
      <c r="K392" s="25"/>
      <c r="L392" s="23"/>
      <c r="M392" s="23"/>
      <c r="N392" s="24"/>
      <c r="O392" s="26"/>
      <c r="P392" s="25"/>
      <c r="Q392" s="23"/>
      <c r="R392" s="23"/>
      <c r="S392" s="24"/>
      <c r="T392" s="26"/>
      <c r="U392" s="23"/>
      <c r="V392" s="23"/>
      <c r="W392" s="23"/>
      <c r="X392" s="23"/>
      <c r="Y392" s="23"/>
      <c r="Z392" s="35"/>
      <c r="AA392" s="35"/>
      <c r="AB392" s="35"/>
      <c r="AC392" s="35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</row>
    <row r="393" spans="1:107" ht="12.75">
      <c r="A393" s="15" t="s">
        <v>461</v>
      </c>
      <c r="B393" s="21" t="s">
        <v>196</v>
      </c>
      <c r="C393" s="15" t="s">
        <v>547</v>
      </c>
      <c r="D393" s="43">
        <v>199856</v>
      </c>
      <c r="E393" s="17">
        <v>7</v>
      </c>
      <c r="F393" s="23">
        <v>55724</v>
      </c>
      <c r="G393" s="23">
        <v>53913</v>
      </c>
      <c r="H393" s="23">
        <v>23896</v>
      </c>
      <c r="I393" s="24">
        <v>67576</v>
      </c>
      <c r="J393" s="24">
        <f t="shared" si="18"/>
        <v>201109</v>
      </c>
      <c r="K393" s="25"/>
      <c r="L393" s="23"/>
      <c r="M393" s="23"/>
      <c r="N393" s="24"/>
      <c r="O393" s="26"/>
      <c r="P393" s="25"/>
      <c r="Q393" s="23"/>
      <c r="R393" s="23"/>
      <c r="S393" s="24"/>
      <c r="T393" s="26"/>
      <c r="U393" s="23"/>
      <c r="V393" s="23"/>
      <c r="W393" s="23"/>
      <c r="X393" s="23"/>
      <c r="Y393" s="23"/>
      <c r="Z393" s="35"/>
      <c r="AA393" s="35"/>
      <c r="AB393" s="35"/>
      <c r="AC393" s="35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</row>
    <row r="394" spans="1:107" ht="12.75">
      <c r="A394" s="15" t="s">
        <v>461</v>
      </c>
      <c r="B394" s="21" t="s">
        <v>196</v>
      </c>
      <c r="C394" s="15" t="s">
        <v>548</v>
      </c>
      <c r="D394" s="43">
        <v>199892</v>
      </c>
      <c r="E394" s="17">
        <v>7</v>
      </c>
      <c r="F394" s="23">
        <v>28308</v>
      </c>
      <c r="G394" s="23">
        <v>26375</v>
      </c>
      <c r="H394" s="23">
        <v>11012</v>
      </c>
      <c r="I394" s="24">
        <v>32042</v>
      </c>
      <c r="J394" s="24">
        <f t="shared" si="18"/>
        <v>97737</v>
      </c>
      <c r="K394" s="25"/>
      <c r="L394" s="23"/>
      <c r="M394" s="23"/>
      <c r="N394" s="24"/>
      <c r="O394" s="26"/>
      <c r="P394" s="25"/>
      <c r="Q394" s="23"/>
      <c r="R394" s="23"/>
      <c r="S394" s="24"/>
      <c r="T394" s="26"/>
      <c r="U394" s="23"/>
      <c r="V394" s="23"/>
      <c r="W394" s="23"/>
      <c r="X394" s="23"/>
      <c r="Y394" s="23"/>
      <c r="Z394" s="35"/>
      <c r="AA394" s="35"/>
      <c r="AB394" s="35"/>
      <c r="AC394" s="35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</row>
    <row r="395" spans="1:107" ht="12.75">
      <c r="A395" s="15" t="s">
        <v>461</v>
      </c>
      <c r="B395" s="21" t="s">
        <v>196</v>
      </c>
      <c r="C395" s="15" t="s">
        <v>549</v>
      </c>
      <c r="D395" s="43">
        <v>199908</v>
      </c>
      <c r="E395" s="17">
        <v>7</v>
      </c>
      <c r="F395" s="23">
        <v>19983</v>
      </c>
      <c r="G395" s="23">
        <v>20042</v>
      </c>
      <c r="H395" s="23">
        <v>9290</v>
      </c>
      <c r="I395" s="24">
        <v>23281</v>
      </c>
      <c r="J395" s="24">
        <f t="shared" si="18"/>
        <v>72596</v>
      </c>
      <c r="K395" s="25"/>
      <c r="L395" s="23"/>
      <c r="M395" s="23"/>
      <c r="N395" s="24"/>
      <c r="O395" s="26"/>
      <c r="P395" s="25"/>
      <c r="Q395" s="23"/>
      <c r="R395" s="23"/>
      <c r="S395" s="24"/>
      <c r="T395" s="26"/>
      <c r="U395" s="23"/>
      <c r="V395" s="23"/>
      <c r="W395" s="23"/>
      <c r="X395" s="23"/>
      <c r="Y395" s="23"/>
      <c r="Z395" s="35"/>
      <c r="AA395" s="35"/>
      <c r="AB395" s="35"/>
      <c r="AC395" s="35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</row>
    <row r="396" spans="1:107" ht="12.75">
      <c r="A396" s="15" t="s">
        <v>461</v>
      </c>
      <c r="B396" s="21" t="s">
        <v>196</v>
      </c>
      <c r="C396" s="15" t="s">
        <v>550</v>
      </c>
      <c r="D396" s="43">
        <v>199926</v>
      </c>
      <c r="E396" s="17">
        <v>7</v>
      </c>
      <c r="F396" s="23">
        <v>17704</v>
      </c>
      <c r="G396" s="23">
        <v>17802</v>
      </c>
      <c r="H396" s="23">
        <v>4384</v>
      </c>
      <c r="I396" s="24">
        <v>23488</v>
      </c>
      <c r="J396" s="24">
        <f t="shared" si="18"/>
        <v>63378</v>
      </c>
      <c r="K396" s="25"/>
      <c r="L396" s="23"/>
      <c r="M396" s="23"/>
      <c r="N396" s="24"/>
      <c r="O396" s="26"/>
      <c r="P396" s="25"/>
      <c r="Q396" s="23"/>
      <c r="R396" s="23"/>
      <c r="S396" s="24"/>
      <c r="T396" s="26"/>
      <c r="U396" s="23"/>
      <c r="V396" s="23"/>
      <c r="W396" s="23"/>
      <c r="X396" s="23"/>
      <c r="Y396" s="23"/>
      <c r="Z396" s="35"/>
      <c r="AA396" s="35"/>
      <c r="AB396" s="35"/>
      <c r="AC396" s="35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</row>
    <row r="397" spans="1:107" ht="12.75">
      <c r="A397" s="15" t="s">
        <v>461</v>
      </c>
      <c r="B397" s="21" t="s">
        <v>196</v>
      </c>
      <c r="C397" s="15" t="s">
        <v>551</v>
      </c>
      <c r="D397" s="43">
        <v>199953</v>
      </c>
      <c r="E397" s="17">
        <v>7</v>
      </c>
      <c r="F397" s="23">
        <v>12192</v>
      </c>
      <c r="G397" s="23">
        <v>11885</v>
      </c>
      <c r="H397" s="23">
        <v>5831</v>
      </c>
      <c r="I397" s="24">
        <v>13549</v>
      </c>
      <c r="J397" s="24">
        <f t="shared" si="18"/>
        <v>43457</v>
      </c>
      <c r="K397" s="25"/>
      <c r="L397" s="23"/>
      <c r="M397" s="23"/>
      <c r="N397" s="24"/>
      <c r="O397" s="26"/>
      <c r="P397" s="25"/>
      <c r="Q397" s="23"/>
      <c r="R397" s="23"/>
      <c r="S397" s="24"/>
      <c r="T397" s="25"/>
      <c r="U397" s="23"/>
      <c r="V397" s="23"/>
      <c r="W397" s="23"/>
      <c r="X397" s="23"/>
      <c r="Y397" s="23"/>
      <c r="Z397" s="35"/>
      <c r="AA397" s="35"/>
      <c r="AB397" s="35"/>
      <c r="AC397" s="35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</row>
    <row r="398" spans="1:107" ht="12.75">
      <c r="A398" s="15" t="s">
        <v>552</v>
      </c>
      <c r="B398" s="16" t="s">
        <v>62</v>
      </c>
      <c r="C398" s="15" t="s">
        <v>553</v>
      </c>
      <c r="D398" s="21">
        <v>207388</v>
      </c>
      <c r="E398" s="17">
        <v>1</v>
      </c>
      <c r="F398" s="23"/>
      <c r="G398" s="23">
        <v>180442</v>
      </c>
      <c r="H398" s="23">
        <v>22713</v>
      </c>
      <c r="I398" s="24">
        <v>195787</v>
      </c>
      <c r="J398" s="24">
        <f t="shared" si="18"/>
        <v>398942</v>
      </c>
      <c r="K398" s="25"/>
      <c r="L398" s="23"/>
      <c r="M398" s="23"/>
      <c r="N398" s="23"/>
      <c r="O398" s="25"/>
      <c r="P398" s="25"/>
      <c r="Q398" s="23">
        <v>26437</v>
      </c>
      <c r="R398" s="23">
        <v>10397</v>
      </c>
      <c r="S398" s="24">
        <v>26498</v>
      </c>
      <c r="T398" s="25">
        <f aca="true" t="shared" si="19" ref="T398:T407">SUM(P398:S398)</f>
        <v>63332</v>
      </c>
      <c r="U398" s="15"/>
      <c r="V398" s="15"/>
      <c r="W398" s="15"/>
      <c r="X398" s="15"/>
      <c r="Y398" s="15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</row>
    <row r="399" spans="1:107" ht="12.75">
      <c r="A399" s="15" t="s">
        <v>552</v>
      </c>
      <c r="B399" s="16" t="s">
        <v>62</v>
      </c>
      <c r="C399" s="15" t="s">
        <v>554</v>
      </c>
      <c r="D399" s="21">
        <v>207500</v>
      </c>
      <c r="E399" s="17">
        <v>1</v>
      </c>
      <c r="F399" s="23"/>
      <c r="G399" s="23">
        <v>187676</v>
      </c>
      <c r="H399" s="23">
        <v>29396</v>
      </c>
      <c r="I399" s="24">
        <v>202631</v>
      </c>
      <c r="J399" s="24">
        <f t="shared" si="18"/>
        <v>419703</v>
      </c>
      <c r="K399" s="25"/>
      <c r="L399" s="23"/>
      <c r="M399" s="23"/>
      <c r="N399" s="23"/>
      <c r="O399" s="25"/>
      <c r="P399" s="25"/>
      <c r="Q399" s="23">
        <v>39351</v>
      </c>
      <c r="R399" s="23">
        <v>17598</v>
      </c>
      <c r="S399" s="23">
        <v>38387</v>
      </c>
      <c r="T399" s="25">
        <f t="shared" si="19"/>
        <v>95336</v>
      </c>
      <c r="U399" s="15"/>
      <c r="V399" s="15"/>
      <c r="W399" s="15"/>
      <c r="X399" s="15"/>
      <c r="Y399" s="15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</row>
    <row r="400" spans="1:107" ht="12.75">
      <c r="A400" s="15" t="s">
        <v>552</v>
      </c>
      <c r="B400" s="16" t="s">
        <v>62</v>
      </c>
      <c r="C400" s="15" t="s">
        <v>555</v>
      </c>
      <c r="D400" s="21">
        <v>206941</v>
      </c>
      <c r="E400" s="17">
        <v>3</v>
      </c>
      <c r="F400" s="23"/>
      <c r="G400" s="23">
        <v>127245</v>
      </c>
      <c r="H400" s="23">
        <v>23790</v>
      </c>
      <c r="I400" s="24">
        <v>130312</v>
      </c>
      <c r="J400" s="24">
        <f t="shared" si="18"/>
        <v>281347</v>
      </c>
      <c r="K400" s="25"/>
      <c r="L400" s="23"/>
      <c r="M400" s="23"/>
      <c r="N400" s="23"/>
      <c r="O400" s="25"/>
      <c r="P400" s="25"/>
      <c r="Q400" s="23">
        <v>20657</v>
      </c>
      <c r="R400" s="23">
        <v>9277</v>
      </c>
      <c r="S400" s="23">
        <v>19025</v>
      </c>
      <c r="T400" s="25">
        <f t="shared" si="19"/>
        <v>48959</v>
      </c>
      <c r="U400" s="15"/>
      <c r="V400" s="15"/>
      <c r="W400" s="15"/>
      <c r="X400" s="15"/>
      <c r="Y400" s="15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</row>
    <row r="401" spans="1:107" ht="12.75">
      <c r="A401" s="15" t="s">
        <v>552</v>
      </c>
      <c r="B401" s="16" t="s">
        <v>62</v>
      </c>
      <c r="C401" s="15" t="s">
        <v>556</v>
      </c>
      <c r="D401" s="21">
        <v>207263</v>
      </c>
      <c r="E401" s="17">
        <v>4</v>
      </c>
      <c r="F401" s="23"/>
      <c r="G401" s="23">
        <v>86605</v>
      </c>
      <c r="H401" s="23">
        <v>12872</v>
      </c>
      <c r="I401" s="24">
        <v>88822</v>
      </c>
      <c r="J401" s="24">
        <f t="shared" si="18"/>
        <v>188299</v>
      </c>
      <c r="K401" s="25"/>
      <c r="L401" s="23"/>
      <c r="M401" s="23"/>
      <c r="N401" s="23"/>
      <c r="O401" s="25"/>
      <c r="P401" s="25"/>
      <c r="Q401" s="23">
        <v>7109</v>
      </c>
      <c r="R401" s="23">
        <v>2993</v>
      </c>
      <c r="S401" s="23">
        <v>6683</v>
      </c>
      <c r="T401" s="25">
        <f t="shared" si="19"/>
        <v>16785</v>
      </c>
      <c r="U401" s="15"/>
      <c r="V401" s="15"/>
      <c r="W401" s="15"/>
      <c r="X401" s="15"/>
      <c r="Y401" s="15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</row>
    <row r="402" spans="1:107" ht="12.75">
      <c r="A402" s="15" t="s">
        <v>552</v>
      </c>
      <c r="B402" s="16" t="s">
        <v>62</v>
      </c>
      <c r="C402" s="15" t="s">
        <v>557</v>
      </c>
      <c r="D402" s="21">
        <v>207865</v>
      </c>
      <c r="E402" s="17">
        <v>4</v>
      </c>
      <c r="F402" s="23"/>
      <c r="G402" s="23">
        <v>50781</v>
      </c>
      <c r="H402" s="23">
        <v>8274</v>
      </c>
      <c r="I402" s="24">
        <v>52619</v>
      </c>
      <c r="J402" s="24">
        <f t="shared" si="18"/>
        <v>111674</v>
      </c>
      <c r="K402" s="25"/>
      <c r="L402" s="23"/>
      <c r="M402" s="23"/>
      <c r="N402" s="23"/>
      <c r="O402" s="25"/>
      <c r="P402" s="25"/>
      <c r="Q402" s="23">
        <v>3031</v>
      </c>
      <c r="R402" s="23">
        <v>2429</v>
      </c>
      <c r="S402" s="23">
        <v>3138</v>
      </c>
      <c r="T402" s="25">
        <f t="shared" si="19"/>
        <v>8598</v>
      </c>
      <c r="U402" s="15"/>
      <c r="V402" s="15"/>
      <c r="W402" s="15"/>
      <c r="X402" s="15"/>
      <c r="Y402" s="15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</row>
    <row r="403" spans="1:107" ht="12.75">
      <c r="A403" s="15" t="s">
        <v>552</v>
      </c>
      <c r="B403" s="16" t="s">
        <v>62</v>
      </c>
      <c r="C403" s="15" t="s">
        <v>558</v>
      </c>
      <c r="D403" s="21">
        <v>207041</v>
      </c>
      <c r="E403" s="17">
        <v>5</v>
      </c>
      <c r="F403" s="23"/>
      <c r="G403" s="23">
        <v>45708</v>
      </c>
      <c r="H403" s="23">
        <v>7915</v>
      </c>
      <c r="I403" s="24">
        <v>47393</v>
      </c>
      <c r="J403" s="24">
        <f aca="true" t="shared" si="20" ref="J403:J434">SUM(F403:I403)</f>
        <v>101016</v>
      </c>
      <c r="K403" s="25"/>
      <c r="L403" s="23"/>
      <c r="M403" s="23"/>
      <c r="N403" s="23"/>
      <c r="O403" s="25"/>
      <c r="P403" s="25"/>
      <c r="Q403" s="23">
        <v>4275</v>
      </c>
      <c r="R403" s="23">
        <v>2912</v>
      </c>
      <c r="S403" s="23">
        <v>4201</v>
      </c>
      <c r="T403" s="25">
        <f t="shared" si="19"/>
        <v>11388</v>
      </c>
      <c r="U403" s="15"/>
      <c r="V403" s="15"/>
      <c r="W403" s="15"/>
      <c r="X403" s="15"/>
      <c r="Y403" s="15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</row>
    <row r="404" spans="1:107" ht="12.75">
      <c r="A404" s="15" t="s">
        <v>552</v>
      </c>
      <c r="B404" s="16" t="s">
        <v>62</v>
      </c>
      <c r="C404" s="15" t="s">
        <v>559</v>
      </c>
      <c r="D404" s="21">
        <v>207306</v>
      </c>
      <c r="E404" s="17">
        <v>5</v>
      </c>
      <c r="F404" s="23"/>
      <c r="G404" s="23">
        <v>17877</v>
      </c>
      <c r="H404" s="23">
        <v>1869</v>
      </c>
      <c r="I404" s="24">
        <v>18459</v>
      </c>
      <c r="J404" s="24">
        <f t="shared" si="20"/>
        <v>38205</v>
      </c>
      <c r="K404" s="25"/>
      <c r="L404" s="23"/>
      <c r="M404" s="23"/>
      <c r="N404" s="23"/>
      <c r="O404" s="25"/>
      <c r="P404" s="25"/>
      <c r="Q404" s="23">
        <v>1541</v>
      </c>
      <c r="R404" s="23">
        <v>1137</v>
      </c>
      <c r="S404" s="23">
        <v>1575</v>
      </c>
      <c r="T404" s="25">
        <f t="shared" si="19"/>
        <v>4253</v>
      </c>
      <c r="U404" s="15"/>
      <c r="V404" s="15"/>
      <c r="W404" s="15"/>
      <c r="X404" s="15"/>
      <c r="Y404" s="15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</row>
    <row r="405" spans="1:107" ht="12.75">
      <c r="A405" s="15" t="s">
        <v>552</v>
      </c>
      <c r="B405" s="16" t="s">
        <v>62</v>
      </c>
      <c r="C405" s="15" t="s">
        <v>560</v>
      </c>
      <c r="D405" s="21">
        <v>207847</v>
      </c>
      <c r="E405" s="17">
        <v>5</v>
      </c>
      <c r="F405" s="23"/>
      <c r="G405" s="23">
        <v>40440</v>
      </c>
      <c r="H405" s="23">
        <v>7364</v>
      </c>
      <c r="I405" s="24">
        <v>42072</v>
      </c>
      <c r="J405" s="24">
        <f t="shared" si="20"/>
        <v>89876</v>
      </c>
      <c r="K405" s="25"/>
      <c r="L405" s="23"/>
      <c r="M405" s="23"/>
      <c r="N405" s="23"/>
      <c r="O405" s="25"/>
      <c r="P405" s="25"/>
      <c r="Q405" s="23">
        <v>3184</v>
      </c>
      <c r="R405" s="23">
        <v>1856</v>
      </c>
      <c r="S405" s="23">
        <v>2627</v>
      </c>
      <c r="T405" s="25">
        <f t="shared" si="19"/>
        <v>7667</v>
      </c>
      <c r="U405" s="15"/>
      <c r="V405" s="15"/>
      <c r="W405" s="15"/>
      <c r="X405" s="15"/>
      <c r="Y405" s="15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</row>
    <row r="406" spans="1:107" ht="12.75">
      <c r="A406" s="15" t="s">
        <v>552</v>
      </c>
      <c r="B406" s="16" t="s">
        <v>62</v>
      </c>
      <c r="C406" s="15" t="s">
        <v>561</v>
      </c>
      <c r="D406" s="21">
        <v>206914</v>
      </c>
      <c r="E406" s="17">
        <v>5</v>
      </c>
      <c r="F406" s="23"/>
      <c r="G406" s="23">
        <v>54677</v>
      </c>
      <c r="H406" s="23">
        <v>13258</v>
      </c>
      <c r="I406" s="24">
        <v>54058</v>
      </c>
      <c r="J406" s="24">
        <f t="shared" si="20"/>
        <v>121993</v>
      </c>
      <c r="K406" s="25"/>
      <c r="L406" s="23"/>
      <c r="M406" s="23"/>
      <c r="N406" s="23"/>
      <c r="O406" s="25"/>
      <c r="P406" s="25"/>
      <c r="Q406" s="23">
        <v>2237</v>
      </c>
      <c r="R406" s="23">
        <v>1116</v>
      </c>
      <c r="S406" s="23">
        <v>2371</v>
      </c>
      <c r="T406" s="25">
        <f t="shared" si="19"/>
        <v>5724</v>
      </c>
      <c r="U406" s="15"/>
      <c r="V406" s="15"/>
      <c r="W406" s="15"/>
      <c r="X406" s="15"/>
      <c r="Y406" s="15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</row>
    <row r="407" spans="1:107" ht="12.75">
      <c r="A407" s="15" t="s">
        <v>552</v>
      </c>
      <c r="B407" s="16" t="s">
        <v>62</v>
      </c>
      <c r="C407" s="15" t="s">
        <v>562</v>
      </c>
      <c r="D407" s="21">
        <v>207209</v>
      </c>
      <c r="E407" s="17">
        <v>6</v>
      </c>
      <c r="F407" s="23"/>
      <c r="G407" s="23">
        <v>35620</v>
      </c>
      <c r="H407" s="23">
        <v>6237</v>
      </c>
      <c r="I407" s="24">
        <v>37372</v>
      </c>
      <c r="J407" s="24">
        <f t="shared" si="20"/>
        <v>79229</v>
      </c>
      <c r="K407" s="25"/>
      <c r="L407" s="23"/>
      <c r="M407" s="23"/>
      <c r="N407" s="23"/>
      <c r="O407" s="25"/>
      <c r="P407" s="25"/>
      <c r="Q407" s="23">
        <v>336</v>
      </c>
      <c r="R407" s="23">
        <v>57</v>
      </c>
      <c r="S407" s="23">
        <v>443</v>
      </c>
      <c r="T407" s="25">
        <f t="shared" si="19"/>
        <v>836</v>
      </c>
      <c r="U407" s="15"/>
      <c r="V407" s="15"/>
      <c r="W407" s="15"/>
      <c r="X407" s="15"/>
      <c r="Y407" s="15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</row>
    <row r="408" spans="1:107" ht="12.75">
      <c r="A408" s="15" t="s">
        <v>552</v>
      </c>
      <c r="B408" s="16" t="s">
        <v>62</v>
      </c>
      <c r="C408" s="15" t="s">
        <v>563</v>
      </c>
      <c r="D408" s="21">
        <v>207351</v>
      </c>
      <c r="E408" s="17">
        <v>6</v>
      </c>
      <c r="F408" s="23"/>
      <c r="G408" s="23">
        <v>16611</v>
      </c>
      <c r="H408" s="23">
        <v>2050</v>
      </c>
      <c r="I408" s="24">
        <v>16746</v>
      </c>
      <c r="J408" s="24">
        <f t="shared" si="20"/>
        <v>35407</v>
      </c>
      <c r="K408" s="25"/>
      <c r="L408" s="23"/>
      <c r="M408" s="23"/>
      <c r="N408" s="23"/>
      <c r="O408" s="25"/>
      <c r="P408" s="25"/>
      <c r="Q408" s="23"/>
      <c r="R408" s="23"/>
      <c r="S408" s="23"/>
      <c r="T408" s="25"/>
      <c r="U408" s="15"/>
      <c r="V408" s="15"/>
      <c r="W408" s="15"/>
      <c r="X408" s="15"/>
      <c r="Y408" s="15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</row>
    <row r="409" spans="1:107" ht="12.75">
      <c r="A409" s="15" t="s">
        <v>552</v>
      </c>
      <c r="B409" s="16" t="s">
        <v>62</v>
      </c>
      <c r="C409" s="15" t="s">
        <v>564</v>
      </c>
      <c r="D409" s="21">
        <v>207722</v>
      </c>
      <c r="E409" s="17">
        <v>6</v>
      </c>
      <c r="F409" s="23"/>
      <c r="G409" s="23">
        <v>16292</v>
      </c>
      <c r="H409" s="23">
        <v>6364</v>
      </c>
      <c r="I409" s="24">
        <v>17141</v>
      </c>
      <c r="J409" s="24">
        <f t="shared" si="20"/>
        <v>39797</v>
      </c>
      <c r="K409" s="25"/>
      <c r="L409" s="23"/>
      <c r="M409" s="23"/>
      <c r="N409" s="23"/>
      <c r="O409" s="25"/>
      <c r="P409" s="25"/>
      <c r="Q409" s="23"/>
      <c r="R409" s="23"/>
      <c r="S409" s="23"/>
      <c r="T409" s="25"/>
      <c r="U409" s="23"/>
      <c r="V409" s="23"/>
      <c r="W409" s="23"/>
      <c r="X409" s="23"/>
      <c r="Y409" s="23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</row>
    <row r="410" spans="1:107" ht="12.75">
      <c r="A410" s="15" t="s">
        <v>552</v>
      </c>
      <c r="B410" s="16" t="s">
        <v>62</v>
      </c>
      <c r="C410" s="15" t="s">
        <v>565</v>
      </c>
      <c r="D410" s="21">
        <v>206923</v>
      </c>
      <c r="E410" s="17">
        <v>7</v>
      </c>
      <c r="F410" s="23"/>
      <c r="G410" s="23">
        <v>14276</v>
      </c>
      <c r="H410" s="23">
        <v>2448</v>
      </c>
      <c r="I410" s="24">
        <v>17444</v>
      </c>
      <c r="J410" s="24">
        <f t="shared" si="20"/>
        <v>34168</v>
      </c>
      <c r="K410" s="25"/>
      <c r="L410" s="23"/>
      <c r="M410" s="23"/>
      <c r="N410" s="23"/>
      <c r="O410" s="25"/>
      <c r="P410" s="25"/>
      <c r="Q410" s="23"/>
      <c r="R410" s="23"/>
      <c r="S410" s="23"/>
      <c r="T410" s="25"/>
      <c r="U410" s="23"/>
      <c r="V410" s="23"/>
      <c r="W410" s="23"/>
      <c r="X410" s="23"/>
      <c r="Y410" s="23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</row>
    <row r="411" spans="1:107" ht="12.75">
      <c r="A411" s="15" t="s">
        <v>552</v>
      </c>
      <c r="B411" s="16" t="s">
        <v>62</v>
      </c>
      <c r="C411" s="15" t="s">
        <v>566</v>
      </c>
      <c r="D411" s="21">
        <v>206996</v>
      </c>
      <c r="E411" s="17">
        <v>7</v>
      </c>
      <c r="F411" s="23"/>
      <c r="G411" s="23">
        <v>23626</v>
      </c>
      <c r="H411" s="23">
        <v>3422</v>
      </c>
      <c r="I411" s="24">
        <v>24224</v>
      </c>
      <c r="J411" s="24">
        <f t="shared" si="20"/>
        <v>51272</v>
      </c>
      <c r="K411" s="25"/>
      <c r="L411" s="23"/>
      <c r="M411" s="23"/>
      <c r="N411" s="23"/>
      <c r="O411" s="25"/>
      <c r="P411" s="25"/>
      <c r="Q411" s="23"/>
      <c r="R411" s="23"/>
      <c r="S411" s="23"/>
      <c r="T411" s="25"/>
      <c r="U411" s="23"/>
      <c r="V411" s="23"/>
      <c r="W411" s="23"/>
      <c r="X411" s="23"/>
      <c r="Y411" s="23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</row>
    <row r="412" spans="1:107" ht="12.75">
      <c r="A412" s="15" t="s">
        <v>552</v>
      </c>
      <c r="B412" s="16" t="s">
        <v>62</v>
      </c>
      <c r="C412" s="15" t="s">
        <v>567</v>
      </c>
      <c r="D412" s="21">
        <v>207050</v>
      </c>
      <c r="E412" s="17">
        <v>7</v>
      </c>
      <c r="F412" s="23"/>
      <c r="G412" s="23">
        <v>19219</v>
      </c>
      <c r="H412" s="23">
        <v>2785</v>
      </c>
      <c r="I412" s="24">
        <v>20378</v>
      </c>
      <c r="J412" s="24">
        <f t="shared" si="20"/>
        <v>42382</v>
      </c>
      <c r="K412" s="25"/>
      <c r="L412" s="23"/>
      <c r="M412" s="23"/>
      <c r="N412" s="23"/>
      <c r="O412" s="25"/>
      <c r="P412" s="25"/>
      <c r="Q412" s="23"/>
      <c r="R412" s="23"/>
      <c r="S412" s="23"/>
      <c r="T412" s="25"/>
      <c r="U412" s="23"/>
      <c r="V412" s="23"/>
      <c r="W412" s="23"/>
      <c r="X412" s="23"/>
      <c r="Y412" s="23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</row>
    <row r="413" spans="1:107" ht="12.75">
      <c r="A413" s="15" t="s">
        <v>552</v>
      </c>
      <c r="B413" s="16" t="s">
        <v>62</v>
      </c>
      <c r="C413" s="15" t="s">
        <v>568</v>
      </c>
      <c r="D413" s="21">
        <v>207236</v>
      </c>
      <c r="E413" s="17">
        <v>7</v>
      </c>
      <c r="F413" s="23"/>
      <c r="G413" s="23">
        <v>15812</v>
      </c>
      <c r="H413" s="23">
        <v>1904</v>
      </c>
      <c r="I413" s="24">
        <v>17874</v>
      </c>
      <c r="J413" s="24">
        <f t="shared" si="20"/>
        <v>35590</v>
      </c>
      <c r="K413" s="25"/>
      <c r="L413" s="23"/>
      <c r="M413" s="23"/>
      <c r="N413" s="23"/>
      <c r="O413" s="25"/>
      <c r="P413" s="25"/>
      <c r="Q413" s="23"/>
      <c r="R413" s="23"/>
      <c r="S413" s="23"/>
      <c r="T413" s="25"/>
      <c r="U413" s="23"/>
      <c r="V413" s="23"/>
      <c r="W413" s="23"/>
      <c r="X413" s="23"/>
      <c r="Y413" s="23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</row>
    <row r="414" spans="1:107" ht="12.75">
      <c r="A414" s="15" t="s">
        <v>552</v>
      </c>
      <c r="B414" s="16" t="s">
        <v>62</v>
      </c>
      <c r="C414" s="15" t="s">
        <v>569</v>
      </c>
      <c r="D414" s="21">
        <v>207290</v>
      </c>
      <c r="E414" s="17">
        <v>7</v>
      </c>
      <c r="F414" s="23"/>
      <c r="G414" s="23">
        <v>23139</v>
      </c>
      <c r="H414" s="23">
        <v>2561</v>
      </c>
      <c r="I414" s="24">
        <v>26702</v>
      </c>
      <c r="J414" s="24">
        <f t="shared" si="20"/>
        <v>52402</v>
      </c>
      <c r="K414" s="25"/>
      <c r="L414" s="23"/>
      <c r="M414" s="23"/>
      <c r="N414" s="23"/>
      <c r="O414" s="25"/>
      <c r="P414" s="25"/>
      <c r="Q414" s="23"/>
      <c r="R414" s="23"/>
      <c r="S414" s="23"/>
      <c r="T414" s="25"/>
      <c r="U414" s="23"/>
      <c r="V414" s="23"/>
      <c r="W414" s="23"/>
      <c r="X414" s="23"/>
      <c r="Y414" s="23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</row>
    <row r="415" spans="1:107" ht="12.75">
      <c r="A415" s="15" t="s">
        <v>552</v>
      </c>
      <c r="B415" s="16" t="s">
        <v>62</v>
      </c>
      <c r="C415" s="15" t="s">
        <v>570</v>
      </c>
      <c r="D415" s="21">
        <v>207281</v>
      </c>
      <c r="E415" s="17">
        <v>7</v>
      </c>
      <c r="F415" s="23"/>
      <c r="G415" s="23">
        <v>20827</v>
      </c>
      <c r="H415" s="23">
        <v>3070</v>
      </c>
      <c r="I415" s="24">
        <v>22168</v>
      </c>
      <c r="J415" s="24">
        <f t="shared" si="20"/>
        <v>46065</v>
      </c>
      <c r="K415" s="25"/>
      <c r="L415" s="23"/>
      <c r="M415" s="23"/>
      <c r="N415" s="23"/>
      <c r="O415" s="25"/>
      <c r="P415" s="25"/>
      <c r="Q415" s="23"/>
      <c r="R415" s="23"/>
      <c r="S415" s="23"/>
      <c r="T415" s="25"/>
      <c r="U415" s="23"/>
      <c r="V415" s="23"/>
      <c r="W415" s="23"/>
      <c r="X415" s="23"/>
      <c r="Y415" s="23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</row>
    <row r="416" spans="1:107" ht="12.75">
      <c r="A416" s="15" t="s">
        <v>552</v>
      </c>
      <c r="B416" s="16" t="s">
        <v>62</v>
      </c>
      <c r="C416" s="15" t="s">
        <v>571</v>
      </c>
      <c r="D416" s="21">
        <v>207449</v>
      </c>
      <c r="E416" s="17">
        <v>7</v>
      </c>
      <c r="F416" s="23"/>
      <c r="G416" s="23">
        <v>71963</v>
      </c>
      <c r="H416" s="23">
        <v>18597</v>
      </c>
      <c r="I416" s="24">
        <v>74678</v>
      </c>
      <c r="J416" s="24">
        <f t="shared" si="20"/>
        <v>165238</v>
      </c>
      <c r="K416" s="25"/>
      <c r="L416" s="23"/>
      <c r="M416" s="23"/>
      <c r="N416" s="23"/>
      <c r="O416" s="25"/>
      <c r="P416" s="25"/>
      <c r="Q416" s="23"/>
      <c r="R416" s="23"/>
      <c r="S416" s="23"/>
      <c r="T416" s="25"/>
      <c r="U416" s="23"/>
      <c r="V416" s="23"/>
      <c r="W416" s="23"/>
      <c r="X416" s="23"/>
      <c r="Y416" s="23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</row>
    <row r="417" spans="1:107" ht="12.75">
      <c r="A417" s="15" t="s">
        <v>552</v>
      </c>
      <c r="B417" s="16" t="s">
        <v>62</v>
      </c>
      <c r="C417" s="15" t="s">
        <v>572</v>
      </c>
      <c r="D417" s="21">
        <v>207397</v>
      </c>
      <c r="E417" s="17">
        <v>7</v>
      </c>
      <c r="F417" s="23"/>
      <c r="G417" s="23">
        <v>31459</v>
      </c>
      <c r="H417" s="23">
        <v>8293</v>
      </c>
      <c r="I417" s="24">
        <v>39009</v>
      </c>
      <c r="J417" s="24">
        <f t="shared" si="20"/>
        <v>78761</v>
      </c>
      <c r="K417" s="25"/>
      <c r="L417" s="23"/>
      <c r="M417" s="23"/>
      <c r="N417" s="23"/>
      <c r="O417" s="25"/>
      <c r="P417" s="25"/>
      <c r="Q417" s="23"/>
      <c r="R417" s="23"/>
      <c r="S417" s="23"/>
      <c r="T417" s="25"/>
      <c r="U417" s="23"/>
      <c r="V417" s="23"/>
      <c r="W417" s="23"/>
      <c r="X417" s="23"/>
      <c r="Y417" s="23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</row>
    <row r="418" spans="1:107" ht="12.75">
      <c r="A418" s="15" t="s">
        <v>552</v>
      </c>
      <c r="B418" s="16" t="s">
        <v>62</v>
      </c>
      <c r="C418" s="15" t="s">
        <v>573</v>
      </c>
      <c r="D418" s="21">
        <v>207564</v>
      </c>
      <c r="E418" s="17">
        <v>7</v>
      </c>
      <c r="F418" s="23"/>
      <c r="G418" s="23">
        <v>21553</v>
      </c>
      <c r="H418" s="23">
        <v>14086</v>
      </c>
      <c r="I418" s="24">
        <v>25911</v>
      </c>
      <c r="J418" s="24">
        <f t="shared" si="20"/>
        <v>61550</v>
      </c>
      <c r="K418" s="25"/>
      <c r="L418" s="23"/>
      <c r="M418" s="23"/>
      <c r="N418" s="23"/>
      <c r="O418" s="25"/>
      <c r="P418" s="25"/>
      <c r="Q418" s="23"/>
      <c r="R418" s="23"/>
      <c r="S418" s="23"/>
      <c r="T418" s="25"/>
      <c r="U418" s="23"/>
      <c r="V418" s="23"/>
      <c r="W418" s="23"/>
      <c r="X418" s="23"/>
      <c r="Y418" s="23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</row>
    <row r="419" spans="1:107" ht="12.75">
      <c r="A419" s="15" t="s">
        <v>552</v>
      </c>
      <c r="B419" s="16" t="s">
        <v>62</v>
      </c>
      <c r="C419" s="15" t="s">
        <v>574</v>
      </c>
      <c r="D419" s="21">
        <v>207069</v>
      </c>
      <c r="E419" s="17">
        <v>7</v>
      </c>
      <c r="F419" s="23"/>
      <c r="G419" s="23">
        <v>16617</v>
      </c>
      <c r="H419" s="23">
        <v>2405</v>
      </c>
      <c r="I419" s="24">
        <v>17069</v>
      </c>
      <c r="J419" s="24">
        <f t="shared" si="20"/>
        <v>36091</v>
      </c>
      <c r="K419" s="25"/>
      <c r="L419" s="23"/>
      <c r="M419" s="23"/>
      <c r="N419" s="23"/>
      <c r="O419" s="25"/>
      <c r="P419" s="25"/>
      <c r="Q419" s="23"/>
      <c r="R419" s="23"/>
      <c r="S419" s="23"/>
      <c r="T419" s="25"/>
      <c r="U419" s="23"/>
      <c r="V419" s="23"/>
      <c r="W419" s="23"/>
      <c r="X419" s="23"/>
      <c r="Y419" s="23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</row>
    <row r="420" spans="1:107" ht="12.75">
      <c r="A420" s="15" t="s">
        <v>552</v>
      </c>
      <c r="B420" s="16" t="s">
        <v>62</v>
      </c>
      <c r="C420" s="15" t="s">
        <v>575</v>
      </c>
      <c r="D420" s="21">
        <v>207661</v>
      </c>
      <c r="E420" s="17">
        <v>7</v>
      </c>
      <c r="F420" s="23"/>
      <c r="G420" s="23">
        <v>25728</v>
      </c>
      <c r="H420" s="23">
        <v>6340</v>
      </c>
      <c r="I420" s="24">
        <v>27166</v>
      </c>
      <c r="J420" s="24">
        <f t="shared" si="20"/>
        <v>59234</v>
      </c>
      <c r="K420" s="25"/>
      <c r="L420" s="23"/>
      <c r="M420" s="23"/>
      <c r="N420" s="23"/>
      <c r="O420" s="25"/>
      <c r="P420" s="25"/>
      <c r="Q420" s="23"/>
      <c r="R420" s="23"/>
      <c r="S420" s="23"/>
      <c r="T420" s="25"/>
      <c r="U420" s="23"/>
      <c r="V420" s="23"/>
      <c r="W420" s="23"/>
      <c r="X420" s="23"/>
      <c r="Y420" s="23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</row>
    <row r="421" spans="1:107" ht="12.75">
      <c r="A421" s="15" t="s">
        <v>552</v>
      </c>
      <c r="B421" s="16" t="s">
        <v>62</v>
      </c>
      <c r="C421" s="15" t="s">
        <v>576</v>
      </c>
      <c r="D421" s="21">
        <v>207670</v>
      </c>
      <c r="E421" s="17">
        <v>7</v>
      </c>
      <c r="F421" s="23"/>
      <c r="G421" s="23">
        <v>61260</v>
      </c>
      <c r="H421" s="23">
        <v>14089</v>
      </c>
      <c r="I421" s="24">
        <v>61854</v>
      </c>
      <c r="J421" s="24">
        <f t="shared" si="20"/>
        <v>137203</v>
      </c>
      <c r="K421" s="25"/>
      <c r="L421" s="23"/>
      <c r="M421" s="23"/>
      <c r="N421" s="23"/>
      <c r="O421" s="25"/>
      <c r="P421" s="25"/>
      <c r="Q421" s="23"/>
      <c r="R421" s="23"/>
      <c r="S421" s="23"/>
      <c r="T421" s="25"/>
      <c r="U421" s="23"/>
      <c r="V421" s="23"/>
      <c r="W421" s="23"/>
      <c r="X421" s="23"/>
      <c r="Y421" s="23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</row>
    <row r="422" spans="1:107" ht="12.75">
      <c r="A422" s="15" t="s">
        <v>552</v>
      </c>
      <c r="B422" s="16" t="s">
        <v>62</v>
      </c>
      <c r="C422" s="15" t="s">
        <v>577</v>
      </c>
      <c r="D422" s="21">
        <v>207740</v>
      </c>
      <c r="E422" s="17">
        <v>7</v>
      </c>
      <c r="F422" s="23"/>
      <c r="G422" s="23">
        <v>15539</v>
      </c>
      <c r="H422" s="23">
        <v>2381</v>
      </c>
      <c r="I422" s="24">
        <v>160067</v>
      </c>
      <c r="J422" s="24">
        <f t="shared" si="20"/>
        <v>177987</v>
      </c>
      <c r="K422" s="25"/>
      <c r="L422" s="23"/>
      <c r="M422" s="23"/>
      <c r="N422" s="23"/>
      <c r="O422" s="25"/>
      <c r="P422" s="25"/>
      <c r="Q422" s="23"/>
      <c r="R422" s="23"/>
      <c r="S422" s="23"/>
      <c r="T422" s="25"/>
      <c r="U422" s="23"/>
      <c r="V422" s="23"/>
      <c r="W422" s="23"/>
      <c r="X422" s="23"/>
      <c r="Y422" s="23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</row>
    <row r="423" spans="1:107" ht="12.75">
      <c r="A423" s="15" t="s">
        <v>552</v>
      </c>
      <c r="B423" s="16" t="s">
        <v>62</v>
      </c>
      <c r="C423" s="15" t="s">
        <v>578</v>
      </c>
      <c r="D423" s="21">
        <v>207935</v>
      </c>
      <c r="E423" s="17">
        <v>7</v>
      </c>
      <c r="F423" s="23"/>
      <c r="G423" s="23">
        <v>120819</v>
      </c>
      <c r="H423" s="23">
        <v>37032</v>
      </c>
      <c r="I423" s="24">
        <v>123438</v>
      </c>
      <c r="J423" s="24">
        <f t="shared" si="20"/>
        <v>281289</v>
      </c>
      <c r="K423" s="25"/>
      <c r="L423" s="23"/>
      <c r="M423" s="23"/>
      <c r="N423" s="23"/>
      <c r="O423" s="25"/>
      <c r="P423" s="25"/>
      <c r="Q423" s="23"/>
      <c r="R423" s="23"/>
      <c r="S423" s="23"/>
      <c r="T423" s="25"/>
      <c r="U423" s="23"/>
      <c r="V423" s="23"/>
      <c r="W423" s="23"/>
      <c r="X423" s="23"/>
      <c r="Y423" s="23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</row>
    <row r="424" spans="1:107" ht="12.75">
      <c r="A424" s="15" t="s">
        <v>552</v>
      </c>
      <c r="B424" s="16" t="s">
        <v>62</v>
      </c>
      <c r="C424" s="15" t="s">
        <v>579</v>
      </c>
      <c r="D424" s="21">
        <v>207035</v>
      </c>
      <c r="E424" s="17">
        <v>7</v>
      </c>
      <c r="F424" s="23"/>
      <c r="G424" s="23">
        <v>12468</v>
      </c>
      <c r="H424" s="23">
        <v>2689</v>
      </c>
      <c r="I424" s="24">
        <v>12323</v>
      </c>
      <c r="J424" s="24">
        <f t="shared" si="20"/>
        <v>27480</v>
      </c>
      <c r="K424" s="25"/>
      <c r="L424" s="23"/>
      <c r="M424" s="23"/>
      <c r="N424" s="23"/>
      <c r="O424" s="25"/>
      <c r="P424" s="25"/>
      <c r="Q424" s="23"/>
      <c r="R424" s="23"/>
      <c r="S424" s="23"/>
      <c r="T424" s="25"/>
      <c r="U424" s="23"/>
      <c r="V424" s="23"/>
      <c r="W424" s="23"/>
      <c r="X424" s="23"/>
      <c r="Y424" s="23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</row>
    <row r="425" spans="1:107" ht="12.75">
      <c r="A425" s="15" t="s">
        <v>552</v>
      </c>
      <c r="B425" s="16" t="s">
        <v>62</v>
      </c>
      <c r="C425" s="15" t="s">
        <v>580</v>
      </c>
      <c r="D425" s="21">
        <v>207315</v>
      </c>
      <c r="E425" s="17">
        <v>9</v>
      </c>
      <c r="F425" s="23"/>
      <c r="G425" s="23"/>
      <c r="H425" s="23"/>
      <c r="I425" s="24"/>
      <c r="J425" s="23"/>
      <c r="K425" s="25"/>
      <c r="L425" s="23"/>
      <c r="M425" s="23"/>
      <c r="N425" s="23"/>
      <c r="O425" s="25"/>
      <c r="P425" s="25"/>
      <c r="Q425" s="23">
        <v>4411</v>
      </c>
      <c r="R425" s="23">
        <v>9116</v>
      </c>
      <c r="S425" s="23">
        <v>13010</v>
      </c>
      <c r="T425" s="25">
        <f aca="true" t="shared" si="21" ref="T425:T456">SUM(P425:S425)</f>
        <v>26537</v>
      </c>
      <c r="U425" s="23"/>
      <c r="V425" s="23"/>
      <c r="W425" s="23"/>
      <c r="X425" s="23"/>
      <c r="Y425" s="23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</row>
    <row r="426" spans="1:107" ht="12.75">
      <c r="A426" s="15" t="s">
        <v>552</v>
      </c>
      <c r="B426" s="16" t="s">
        <v>62</v>
      </c>
      <c r="C426" s="15" t="s">
        <v>581</v>
      </c>
      <c r="D426" s="21"/>
      <c r="E426" s="17">
        <v>9</v>
      </c>
      <c r="F426" s="23"/>
      <c r="G426" s="23"/>
      <c r="H426" s="23"/>
      <c r="I426" s="24"/>
      <c r="J426" s="23"/>
      <c r="K426" s="25"/>
      <c r="L426" s="23"/>
      <c r="M426" s="23"/>
      <c r="N426" s="23"/>
      <c r="O426" s="25"/>
      <c r="P426" s="25"/>
      <c r="Q426" s="23">
        <v>5125</v>
      </c>
      <c r="R426" s="23">
        <v>729</v>
      </c>
      <c r="S426" s="23">
        <v>5293</v>
      </c>
      <c r="T426" s="25">
        <f t="shared" si="21"/>
        <v>11147</v>
      </c>
      <c r="U426" s="23"/>
      <c r="V426" s="23"/>
      <c r="W426" s="23"/>
      <c r="X426" s="23"/>
      <c r="Y426" s="23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</row>
    <row r="427" spans="1:107" ht="12.75">
      <c r="A427" s="15" t="s">
        <v>552</v>
      </c>
      <c r="B427" s="16" t="s">
        <v>62</v>
      </c>
      <c r="C427" s="15" t="s">
        <v>582</v>
      </c>
      <c r="D427" s="21">
        <v>207342</v>
      </c>
      <c r="E427" s="17">
        <v>9</v>
      </c>
      <c r="F427" s="23"/>
      <c r="G427" s="23">
        <v>15951</v>
      </c>
      <c r="H427" s="23">
        <v>2625</v>
      </c>
      <c r="I427" s="24">
        <v>13148</v>
      </c>
      <c r="J427" s="23">
        <f>SUM(F427:I427)</f>
        <v>31724</v>
      </c>
      <c r="K427" s="25"/>
      <c r="L427" s="23"/>
      <c r="M427" s="23"/>
      <c r="N427" s="23"/>
      <c r="O427" s="25"/>
      <c r="P427" s="25"/>
      <c r="Q427" s="23">
        <v>26294</v>
      </c>
      <c r="R427" s="23">
        <v>4665</v>
      </c>
      <c r="S427" s="23">
        <v>23880</v>
      </c>
      <c r="T427" s="25">
        <f t="shared" si="21"/>
        <v>54839</v>
      </c>
      <c r="U427" s="23"/>
      <c r="V427" s="23"/>
      <c r="W427" s="23"/>
      <c r="X427" s="23"/>
      <c r="Y427" s="23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</row>
    <row r="428" spans="1:107" ht="12.75">
      <c r="A428" s="15" t="s">
        <v>552</v>
      </c>
      <c r="B428" s="16" t="s">
        <v>62</v>
      </c>
      <c r="C428" s="15" t="s">
        <v>583</v>
      </c>
      <c r="D428" s="21"/>
      <c r="E428" s="17">
        <v>9</v>
      </c>
      <c r="F428" s="23"/>
      <c r="G428" s="23"/>
      <c r="H428" s="23"/>
      <c r="I428" s="24"/>
      <c r="J428" s="23"/>
      <c r="K428" s="25"/>
      <c r="L428" s="23"/>
      <c r="M428" s="23"/>
      <c r="N428" s="23"/>
      <c r="O428" s="25"/>
      <c r="P428" s="25"/>
      <c r="Q428" s="23">
        <v>7924</v>
      </c>
      <c r="R428" s="23">
        <v>1259</v>
      </c>
      <c r="S428" s="23">
        <v>7818</v>
      </c>
      <c r="T428" s="25">
        <f t="shared" si="21"/>
        <v>17001</v>
      </c>
      <c r="U428" s="23"/>
      <c r="V428" s="23"/>
      <c r="W428" s="23"/>
      <c r="X428" s="23"/>
      <c r="Y428" s="23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</row>
    <row r="429" spans="1:107" ht="12.75">
      <c r="A429" s="15" t="s">
        <v>584</v>
      </c>
      <c r="B429" s="16" t="s">
        <v>62</v>
      </c>
      <c r="C429" s="44" t="s">
        <v>585</v>
      </c>
      <c r="D429" s="95">
        <v>218663</v>
      </c>
      <c r="E429" s="96">
        <v>1</v>
      </c>
      <c r="F429" s="23"/>
      <c r="G429" s="32">
        <v>192297</v>
      </c>
      <c r="H429" s="32">
        <v>30201</v>
      </c>
      <c r="I429" s="97">
        <v>212453</v>
      </c>
      <c r="J429" s="32">
        <f aca="true" t="shared" si="22" ref="J429:J460">SUM(F429:I429)</f>
        <v>434951</v>
      </c>
      <c r="K429" s="25"/>
      <c r="L429" s="23"/>
      <c r="M429" s="23"/>
      <c r="N429" s="23"/>
      <c r="O429" s="25"/>
      <c r="P429" s="25"/>
      <c r="Q429" s="32">
        <v>61030</v>
      </c>
      <c r="R429" s="32">
        <v>31584</v>
      </c>
      <c r="S429" s="32">
        <v>60545</v>
      </c>
      <c r="T429" s="40">
        <f t="shared" si="21"/>
        <v>153159</v>
      </c>
      <c r="U429" s="23"/>
      <c r="V429" s="23"/>
      <c r="W429" s="23"/>
      <c r="X429" s="23"/>
      <c r="Y429" s="23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</row>
    <row r="430" spans="1:107" ht="12.75">
      <c r="A430" s="15" t="s">
        <v>584</v>
      </c>
      <c r="B430" s="16" t="s">
        <v>62</v>
      </c>
      <c r="C430" s="44" t="s">
        <v>586</v>
      </c>
      <c r="D430" s="95">
        <v>217882</v>
      </c>
      <c r="E430" s="96">
        <v>2</v>
      </c>
      <c r="F430" s="23"/>
      <c r="G430" s="32">
        <v>173536</v>
      </c>
      <c r="H430" s="32">
        <v>30278</v>
      </c>
      <c r="I430" s="97">
        <v>187404</v>
      </c>
      <c r="J430" s="32">
        <f t="shared" si="22"/>
        <v>391218</v>
      </c>
      <c r="K430" s="25"/>
      <c r="L430" s="23"/>
      <c r="M430" s="23"/>
      <c r="N430" s="23"/>
      <c r="O430" s="25"/>
      <c r="P430" s="25"/>
      <c r="Q430" s="32">
        <f>20399+6186</f>
        <v>26585</v>
      </c>
      <c r="R430" s="32">
        <f>12348+3068</f>
        <v>15416</v>
      </c>
      <c r="S430" s="32">
        <f>20600+6569</f>
        <v>27169</v>
      </c>
      <c r="T430" s="40">
        <f t="shared" si="21"/>
        <v>69170</v>
      </c>
      <c r="U430" s="23"/>
      <c r="V430" s="23"/>
      <c r="W430" s="23"/>
      <c r="X430" s="23"/>
      <c r="Y430" s="23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</row>
    <row r="431" spans="1:107" ht="12.75">
      <c r="A431" s="15" t="s">
        <v>584</v>
      </c>
      <c r="B431" s="16" t="s">
        <v>62</v>
      </c>
      <c r="C431" s="44" t="s">
        <v>587</v>
      </c>
      <c r="D431" s="95">
        <v>218964</v>
      </c>
      <c r="E431" s="96">
        <v>3</v>
      </c>
      <c r="F431" s="23"/>
      <c r="G431" s="32">
        <v>51928</v>
      </c>
      <c r="H431" s="32">
        <v>6968</v>
      </c>
      <c r="I431" s="97">
        <f>114+56409</f>
        <v>56523</v>
      </c>
      <c r="J431" s="32">
        <f t="shared" si="22"/>
        <v>115419</v>
      </c>
      <c r="K431" s="25"/>
      <c r="L431" s="23"/>
      <c r="M431" s="23"/>
      <c r="N431" s="23"/>
      <c r="O431" s="25"/>
      <c r="P431" s="25"/>
      <c r="Q431" s="32">
        <v>6893</v>
      </c>
      <c r="R431" s="32">
        <v>5635</v>
      </c>
      <c r="S431" s="32">
        <v>6149</v>
      </c>
      <c r="T431" s="40">
        <f t="shared" si="21"/>
        <v>18677</v>
      </c>
      <c r="U431" s="23"/>
      <c r="V431" s="23"/>
      <c r="W431" s="23"/>
      <c r="X431" s="23"/>
      <c r="Y431" s="23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</row>
    <row r="432" spans="1:107" ht="12.75">
      <c r="A432" s="15" t="s">
        <v>584</v>
      </c>
      <c r="B432" s="16" t="s">
        <v>62</v>
      </c>
      <c r="C432" s="44" t="s">
        <v>588</v>
      </c>
      <c r="D432" s="95">
        <v>217819</v>
      </c>
      <c r="E432" s="96">
        <v>4</v>
      </c>
      <c r="F432" s="23"/>
      <c r="G432" s="32">
        <f>41+109872</f>
        <v>109913</v>
      </c>
      <c r="H432" s="32">
        <v>19328</v>
      </c>
      <c r="I432" s="97">
        <f>146+124310</f>
        <v>124456</v>
      </c>
      <c r="J432" s="32">
        <f t="shared" si="22"/>
        <v>253697</v>
      </c>
      <c r="K432" s="25"/>
      <c r="L432" s="23"/>
      <c r="M432" s="23"/>
      <c r="N432" s="23"/>
      <c r="O432" s="25"/>
      <c r="P432" s="25"/>
      <c r="Q432" s="32">
        <v>5364</v>
      </c>
      <c r="R432" s="32">
        <v>4931</v>
      </c>
      <c r="S432" s="32">
        <v>7574</v>
      </c>
      <c r="T432" s="40">
        <f t="shared" si="21"/>
        <v>17869</v>
      </c>
      <c r="U432" s="23"/>
      <c r="V432" s="23"/>
      <c r="W432" s="23"/>
      <c r="X432" s="23"/>
      <c r="Y432" s="23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</row>
    <row r="433" spans="1:107" ht="12.75">
      <c r="A433" s="15" t="s">
        <v>584</v>
      </c>
      <c r="B433" s="16" t="s">
        <v>62</v>
      </c>
      <c r="C433" s="98" t="s">
        <v>589</v>
      </c>
      <c r="D433" s="99">
        <v>217864</v>
      </c>
      <c r="E433" s="100">
        <v>4</v>
      </c>
      <c r="F433" s="23"/>
      <c r="G433" s="32">
        <v>32849</v>
      </c>
      <c r="H433" s="32">
        <v>3571</v>
      </c>
      <c r="I433" s="97">
        <v>34451</v>
      </c>
      <c r="J433" s="32">
        <f t="shared" si="22"/>
        <v>70871</v>
      </c>
      <c r="K433" s="25"/>
      <c r="L433" s="23"/>
      <c r="M433" s="23"/>
      <c r="N433" s="23"/>
      <c r="O433" s="25"/>
      <c r="P433" s="25"/>
      <c r="Q433" s="32">
        <v>9350</v>
      </c>
      <c r="R433" s="32">
        <v>12368</v>
      </c>
      <c r="S433" s="32">
        <v>8932</v>
      </c>
      <c r="T433" s="40">
        <f t="shared" si="21"/>
        <v>30650</v>
      </c>
      <c r="U433" s="23"/>
      <c r="V433" s="23"/>
      <c r="W433" s="23"/>
      <c r="X433" s="23"/>
      <c r="Y433" s="23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</row>
    <row r="434" spans="1:107" ht="12.75">
      <c r="A434" s="15" t="s">
        <v>584</v>
      </c>
      <c r="B434" s="16" t="s">
        <v>62</v>
      </c>
      <c r="C434" s="44" t="s">
        <v>590</v>
      </c>
      <c r="D434" s="95">
        <v>218061</v>
      </c>
      <c r="E434" s="96">
        <v>5</v>
      </c>
      <c r="F434" s="23"/>
      <c r="G434" s="32">
        <f>20+42238</f>
        <v>42258</v>
      </c>
      <c r="H434" s="32">
        <v>8185</v>
      </c>
      <c r="I434" s="97">
        <f>412+43209</f>
        <v>43621</v>
      </c>
      <c r="J434" s="32">
        <f t="shared" si="22"/>
        <v>94064</v>
      </c>
      <c r="K434" s="25"/>
      <c r="L434" s="23"/>
      <c r="M434" s="23"/>
      <c r="N434" s="23"/>
      <c r="O434" s="25"/>
      <c r="P434" s="25"/>
      <c r="Q434" s="32">
        <v>2085</v>
      </c>
      <c r="R434" s="32">
        <v>2934</v>
      </c>
      <c r="S434" s="32">
        <v>1933</v>
      </c>
      <c r="T434" s="40">
        <f t="shared" si="21"/>
        <v>6952</v>
      </c>
      <c r="U434" s="23"/>
      <c r="V434" s="23"/>
      <c r="W434" s="23"/>
      <c r="X434" s="23"/>
      <c r="Y434" s="23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</row>
    <row r="435" spans="1:107" ht="12.75">
      <c r="A435" s="15" t="s">
        <v>584</v>
      </c>
      <c r="B435" s="16" t="s">
        <v>62</v>
      </c>
      <c r="C435" s="44" t="s">
        <v>591</v>
      </c>
      <c r="D435" s="95">
        <v>218733</v>
      </c>
      <c r="E435" s="96">
        <v>5</v>
      </c>
      <c r="F435" s="23"/>
      <c r="G435" s="32">
        <f>442+54145</f>
        <v>54587</v>
      </c>
      <c r="H435" s="32">
        <v>10401</v>
      </c>
      <c r="I435" s="97">
        <f>1932+56684</f>
        <v>58616</v>
      </c>
      <c r="J435" s="32">
        <f t="shared" si="22"/>
        <v>123604</v>
      </c>
      <c r="K435" s="25"/>
      <c r="L435" s="23"/>
      <c r="M435" s="23"/>
      <c r="N435" s="23"/>
      <c r="O435" s="25"/>
      <c r="P435" s="25"/>
      <c r="Q435" s="32">
        <f>4226+337</f>
        <v>4563</v>
      </c>
      <c r="R435" s="32">
        <f>3317+199</f>
        <v>3516</v>
      </c>
      <c r="S435" s="32">
        <f>5147+163</f>
        <v>5310</v>
      </c>
      <c r="T435" s="40">
        <f t="shared" si="21"/>
        <v>13389</v>
      </c>
      <c r="U435" s="23"/>
      <c r="V435" s="23"/>
      <c r="W435" s="23"/>
      <c r="X435" s="23"/>
      <c r="Y435" s="23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</row>
    <row r="436" spans="1:107" ht="12.75">
      <c r="A436" s="15" t="s">
        <v>584</v>
      </c>
      <c r="B436" s="16" t="s">
        <v>62</v>
      </c>
      <c r="C436" s="44" t="s">
        <v>592</v>
      </c>
      <c r="D436" s="95">
        <v>218229</v>
      </c>
      <c r="E436" s="96">
        <v>6</v>
      </c>
      <c r="F436" s="23"/>
      <c r="G436" s="32">
        <f>89+48022</f>
        <v>48111</v>
      </c>
      <c r="H436" s="32">
        <f>21+8266</f>
        <v>8287</v>
      </c>
      <c r="I436" s="97">
        <f>528+55186</f>
        <v>55714</v>
      </c>
      <c r="J436" s="32">
        <f t="shared" si="22"/>
        <v>112112</v>
      </c>
      <c r="K436" s="25"/>
      <c r="L436" s="23"/>
      <c r="M436" s="23"/>
      <c r="N436" s="23"/>
      <c r="O436" s="25"/>
      <c r="P436" s="25"/>
      <c r="Q436" s="32">
        <v>624</v>
      </c>
      <c r="R436" s="32">
        <v>1238</v>
      </c>
      <c r="S436" s="32">
        <v>591</v>
      </c>
      <c r="T436" s="40">
        <f t="shared" si="21"/>
        <v>2453</v>
      </c>
      <c r="U436" s="23"/>
      <c r="V436" s="23"/>
      <c r="W436" s="23"/>
      <c r="X436" s="23"/>
      <c r="Y436" s="23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</row>
    <row r="437" spans="1:107" ht="12.75">
      <c r="A437" s="15" t="s">
        <v>584</v>
      </c>
      <c r="B437" s="16" t="s">
        <v>62</v>
      </c>
      <c r="C437" s="98" t="s">
        <v>593</v>
      </c>
      <c r="D437" s="99">
        <v>218645</v>
      </c>
      <c r="E437" s="100">
        <v>6</v>
      </c>
      <c r="F437" s="23"/>
      <c r="G437" s="32">
        <f>84+29091</f>
        <v>29175</v>
      </c>
      <c r="H437" s="32">
        <f>42+5088</f>
        <v>5130</v>
      </c>
      <c r="I437" s="97">
        <f>324+31986</f>
        <v>32310</v>
      </c>
      <c r="J437" s="32">
        <f t="shared" si="22"/>
        <v>66615</v>
      </c>
      <c r="K437" s="25"/>
      <c r="L437" s="23"/>
      <c r="M437" s="23"/>
      <c r="N437" s="23"/>
      <c r="O437" s="25"/>
      <c r="P437" s="25"/>
      <c r="Q437" s="32">
        <v>738</v>
      </c>
      <c r="R437" s="32">
        <v>1989</v>
      </c>
      <c r="S437" s="32">
        <v>723</v>
      </c>
      <c r="T437" s="40">
        <f t="shared" si="21"/>
        <v>3450</v>
      </c>
      <c r="U437" s="23"/>
      <c r="V437" s="23"/>
      <c r="W437" s="23"/>
      <c r="X437" s="23"/>
      <c r="Y437" s="23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</row>
    <row r="438" spans="1:107" ht="12.75">
      <c r="A438" s="15" t="s">
        <v>584</v>
      </c>
      <c r="B438" s="16" t="s">
        <v>62</v>
      </c>
      <c r="C438" s="44" t="s">
        <v>594</v>
      </c>
      <c r="D438" s="95">
        <v>218724</v>
      </c>
      <c r="E438" s="96">
        <v>6</v>
      </c>
      <c r="F438" s="23"/>
      <c r="G438" s="32">
        <f>536+30685</f>
        <v>31221</v>
      </c>
      <c r="H438" s="32">
        <f>222+6490</f>
        <v>6712</v>
      </c>
      <c r="I438" s="97">
        <v>34339</v>
      </c>
      <c r="J438" s="32">
        <f t="shared" si="22"/>
        <v>72272</v>
      </c>
      <c r="K438" s="25"/>
      <c r="L438" s="23"/>
      <c r="M438" s="23"/>
      <c r="N438" s="23"/>
      <c r="O438" s="25"/>
      <c r="P438" s="25"/>
      <c r="Q438" s="32">
        <v>174</v>
      </c>
      <c r="R438" s="32">
        <v>447</v>
      </c>
      <c r="S438" s="32">
        <v>156</v>
      </c>
      <c r="T438" s="40">
        <f t="shared" si="21"/>
        <v>777</v>
      </c>
      <c r="U438" s="23"/>
      <c r="V438" s="23"/>
      <c r="W438" s="23"/>
      <c r="X438" s="23"/>
      <c r="Y438" s="23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</row>
    <row r="439" spans="1:107" ht="12.75">
      <c r="A439" s="15" t="s">
        <v>584</v>
      </c>
      <c r="B439" s="16" t="s">
        <v>62</v>
      </c>
      <c r="C439" s="44" t="s">
        <v>595</v>
      </c>
      <c r="D439" s="95">
        <v>218742</v>
      </c>
      <c r="E439" s="96">
        <v>6</v>
      </c>
      <c r="F439" s="23"/>
      <c r="G439" s="32">
        <f>230+34193</f>
        <v>34423</v>
      </c>
      <c r="H439" s="32">
        <f>96+8124</f>
        <v>8220</v>
      </c>
      <c r="I439" s="97">
        <f>687+38173</f>
        <v>38860</v>
      </c>
      <c r="J439" s="32">
        <f t="shared" si="22"/>
        <v>81503</v>
      </c>
      <c r="K439" s="25"/>
      <c r="L439" s="23"/>
      <c r="M439" s="23"/>
      <c r="N439" s="23"/>
      <c r="O439" s="25"/>
      <c r="P439" s="25"/>
      <c r="Q439" s="32">
        <v>651</v>
      </c>
      <c r="R439" s="32">
        <v>693</v>
      </c>
      <c r="S439" s="32">
        <v>813</v>
      </c>
      <c r="T439" s="40">
        <f t="shared" si="21"/>
        <v>2157</v>
      </c>
      <c r="U439" s="23"/>
      <c r="V439" s="23"/>
      <c r="W439" s="23"/>
      <c r="X439" s="23"/>
      <c r="Y439" s="23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</row>
    <row r="440" spans="1:107" ht="12.75">
      <c r="A440" s="15" t="s">
        <v>584</v>
      </c>
      <c r="B440" s="16" t="s">
        <v>62</v>
      </c>
      <c r="C440" s="44" t="s">
        <v>596</v>
      </c>
      <c r="D440" s="95">
        <v>217615</v>
      </c>
      <c r="E440" s="96">
        <v>7</v>
      </c>
      <c r="F440" s="23"/>
      <c r="G440" s="32">
        <v>19305</v>
      </c>
      <c r="H440" s="32">
        <v>8994</v>
      </c>
      <c r="I440" s="97">
        <v>19645</v>
      </c>
      <c r="J440" s="32">
        <f t="shared" si="22"/>
        <v>47944</v>
      </c>
      <c r="K440" s="25"/>
      <c r="L440" s="23"/>
      <c r="M440" s="23"/>
      <c r="N440" s="23"/>
      <c r="O440" s="25"/>
      <c r="P440" s="25"/>
      <c r="Q440" s="23"/>
      <c r="R440" s="23"/>
      <c r="S440" s="23"/>
      <c r="T440" s="40">
        <f t="shared" si="21"/>
        <v>0</v>
      </c>
      <c r="U440" s="23"/>
      <c r="V440" s="23"/>
      <c r="W440" s="23"/>
      <c r="X440" s="23"/>
      <c r="Y440" s="23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</row>
    <row r="441" spans="1:107" ht="12.75">
      <c r="A441" s="15" t="s">
        <v>584</v>
      </c>
      <c r="B441" s="16" t="s">
        <v>62</v>
      </c>
      <c r="C441" s="44" t="s">
        <v>597</v>
      </c>
      <c r="D441" s="95">
        <v>218858</v>
      </c>
      <c r="E441" s="96">
        <v>7</v>
      </c>
      <c r="F441" s="23"/>
      <c r="G441" s="32">
        <v>18452</v>
      </c>
      <c r="H441" s="32">
        <v>7919</v>
      </c>
      <c r="I441" s="97">
        <v>20751</v>
      </c>
      <c r="J441" s="32">
        <f t="shared" si="22"/>
        <v>47122</v>
      </c>
      <c r="K441" s="25"/>
      <c r="L441" s="23"/>
      <c r="M441" s="23"/>
      <c r="N441" s="23"/>
      <c r="O441" s="25"/>
      <c r="P441" s="25"/>
      <c r="Q441" s="23"/>
      <c r="R441" s="23"/>
      <c r="S441" s="23"/>
      <c r="T441" s="40">
        <f t="shared" si="21"/>
        <v>0</v>
      </c>
      <c r="U441" s="23"/>
      <c r="V441" s="23"/>
      <c r="W441" s="23"/>
      <c r="X441" s="23"/>
      <c r="Y441" s="23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</row>
    <row r="442" spans="1:107" ht="12.75">
      <c r="A442" s="15" t="s">
        <v>584</v>
      </c>
      <c r="B442" s="16" t="s">
        <v>62</v>
      </c>
      <c r="C442" s="44" t="s">
        <v>598</v>
      </c>
      <c r="D442" s="95">
        <v>217837</v>
      </c>
      <c r="E442" s="96">
        <v>7</v>
      </c>
      <c r="F442" s="23"/>
      <c r="G442" s="32">
        <v>7583</v>
      </c>
      <c r="H442" s="32">
        <v>4810</v>
      </c>
      <c r="I442" s="97">
        <v>8721</v>
      </c>
      <c r="J442" s="32">
        <f t="shared" si="22"/>
        <v>21114</v>
      </c>
      <c r="K442" s="25"/>
      <c r="L442" s="23"/>
      <c r="M442" s="23"/>
      <c r="N442" s="23"/>
      <c r="O442" s="25"/>
      <c r="P442" s="25"/>
      <c r="Q442" s="23"/>
      <c r="R442" s="23"/>
      <c r="S442" s="23"/>
      <c r="T442" s="40">
        <f t="shared" si="21"/>
        <v>0</v>
      </c>
      <c r="U442" s="23"/>
      <c r="V442" s="23"/>
      <c r="W442" s="23"/>
      <c r="X442" s="23"/>
      <c r="Y442" s="23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</row>
    <row r="443" spans="1:107" ht="12.75">
      <c r="A443" s="15" t="s">
        <v>584</v>
      </c>
      <c r="B443" s="16" t="s">
        <v>62</v>
      </c>
      <c r="C443" s="44" t="s">
        <v>599</v>
      </c>
      <c r="D443" s="95">
        <v>217989</v>
      </c>
      <c r="E443" s="96">
        <v>7</v>
      </c>
      <c r="F443" s="23"/>
      <c r="G443" s="32">
        <v>9642</v>
      </c>
      <c r="H443" s="32">
        <v>1776</v>
      </c>
      <c r="I443" s="97">
        <v>10406</v>
      </c>
      <c r="J443" s="32">
        <f t="shared" si="22"/>
        <v>21824</v>
      </c>
      <c r="K443" s="25"/>
      <c r="L443" s="23"/>
      <c r="M443" s="23"/>
      <c r="N443" s="23"/>
      <c r="O443" s="25"/>
      <c r="P443" s="25"/>
      <c r="Q443" s="23"/>
      <c r="R443" s="23"/>
      <c r="S443" s="23"/>
      <c r="T443" s="40">
        <f t="shared" si="21"/>
        <v>0</v>
      </c>
      <c r="U443" s="23"/>
      <c r="V443" s="23"/>
      <c r="W443" s="23"/>
      <c r="X443" s="23"/>
      <c r="Y443" s="23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</row>
    <row r="444" spans="1:107" ht="12.75">
      <c r="A444" s="15" t="s">
        <v>584</v>
      </c>
      <c r="B444" s="16" t="s">
        <v>62</v>
      </c>
      <c r="C444" s="44" t="s">
        <v>600</v>
      </c>
      <c r="D444" s="95">
        <v>218025</v>
      </c>
      <c r="E444" s="96">
        <v>7</v>
      </c>
      <c r="F444" s="23"/>
      <c r="G444" s="32">
        <v>29563</v>
      </c>
      <c r="H444" s="32">
        <v>13894</v>
      </c>
      <c r="I444" s="97">
        <v>29290</v>
      </c>
      <c r="J444" s="32">
        <f t="shared" si="22"/>
        <v>72747</v>
      </c>
      <c r="K444" s="25"/>
      <c r="L444" s="23"/>
      <c r="M444" s="23"/>
      <c r="N444" s="23"/>
      <c r="O444" s="25"/>
      <c r="P444" s="25"/>
      <c r="Q444" s="23"/>
      <c r="R444" s="23"/>
      <c r="S444" s="23"/>
      <c r="T444" s="40">
        <f t="shared" si="21"/>
        <v>0</v>
      </c>
      <c r="U444" s="23"/>
      <c r="V444" s="23"/>
      <c r="W444" s="23"/>
      <c r="X444" s="23"/>
      <c r="Y444" s="23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</row>
    <row r="445" spans="1:107" ht="12.75">
      <c r="A445" s="15" t="s">
        <v>584</v>
      </c>
      <c r="B445" s="16" t="s">
        <v>62</v>
      </c>
      <c r="C445" s="44" t="s">
        <v>601</v>
      </c>
      <c r="D445" s="95">
        <v>218113</v>
      </c>
      <c r="E445" s="96">
        <v>7</v>
      </c>
      <c r="F445" s="23"/>
      <c r="G445" s="32">
        <v>74795</v>
      </c>
      <c r="H445" s="32">
        <v>32723</v>
      </c>
      <c r="I445" s="97">
        <v>80506</v>
      </c>
      <c r="J445" s="32">
        <f t="shared" si="22"/>
        <v>188024</v>
      </c>
      <c r="K445" s="25"/>
      <c r="L445" s="23"/>
      <c r="M445" s="23"/>
      <c r="N445" s="23"/>
      <c r="O445" s="25"/>
      <c r="P445" s="25"/>
      <c r="Q445" s="23"/>
      <c r="R445" s="23"/>
      <c r="S445" s="23"/>
      <c r="T445" s="40">
        <f t="shared" si="21"/>
        <v>0</v>
      </c>
      <c r="U445" s="23"/>
      <c r="V445" s="23"/>
      <c r="W445" s="23"/>
      <c r="X445" s="23"/>
      <c r="Y445" s="23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</row>
    <row r="446" spans="1:107" ht="12.75">
      <c r="A446" s="15" t="s">
        <v>584</v>
      </c>
      <c r="B446" s="16" t="s">
        <v>62</v>
      </c>
      <c r="C446" s="44" t="s">
        <v>602</v>
      </c>
      <c r="D446" s="95">
        <v>218140</v>
      </c>
      <c r="E446" s="96">
        <v>7</v>
      </c>
      <c r="F446" s="23"/>
      <c r="G446" s="32">
        <v>29454</v>
      </c>
      <c r="H446" s="32">
        <v>9388</v>
      </c>
      <c r="I446" s="97">
        <v>32785</v>
      </c>
      <c r="J446" s="32">
        <f t="shared" si="22"/>
        <v>71627</v>
      </c>
      <c r="K446" s="25"/>
      <c r="L446" s="23"/>
      <c r="M446" s="23"/>
      <c r="N446" s="23"/>
      <c r="O446" s="25"/>
      <c r="P446" s="25"/>
      <c r="Q446" s="23"/>
      <c r="R446" s="23"/>
      <c r="S446" s="23"/>
      <c r="T446" s="40">
        <f t="shared" si="21"/>
        <v>0</v>
      </c>
      <c r="U446" s="23"/>
      <c r="V446" s="23"/>
      <c r="W446" s="23"/>
      <c r="X446" s="23"/>
      <c r="Y446" s="23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</row>
    <row r="447" spans="1:107" ht="12.75">
      <c r="A447" s="15" t="s">
        <v>584</v>
      </c>
      <c r="B447" s="16" t="s">
        <v>62</v>
      </c>
      <c r="C447" s="44" t="s">
        <v>603</v>
      </c>
      <c r="D447" s="95">
        <v>218353</v>
      </c>
      <c r="E447" s="96">
        <v>7</v>
      </c>
      <c r="F447" s="23"/>
      <c r="G447" s="32">
        <v>85838</v>
      </c>
      <c r="H447" s="32">
        <v>34160</v>
      </c>
      <c r="I447" s="97">
        <v>89835</v>
      </c>
      <c r="J447" s="32">
        <f t="shared" si="22"/>
        <v>209833</v>
      </c>
      <c r="K447" s="25"/>
      <c r="L447" s="23"/>
      <c r="M447" s="23"/>
      <c r="N447" s="23"/>
      <c r="O447" s="25"/>
      <c r="P447" s="25"/>
      <c r="Q447" s="23"/>
      <c r="R447" s="23"/>
      <c r="S447" s="23"/>
      <c r="T447" s="40">
        <f t="shared" si="21"/>
        <v>0</v>
      </c>
      <c r="U447" s="23"/>
      <c r="V447" s="23"/>
      <c r="W447" s="23"/>
      <c r="X447" s="23"/>
      <c r="Y447" s="23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</row>
    <row r="448" spans="1:107" ht="12.75">
      <c r="A448" s="15" t="s">
        <v>584</v>
      </c>
      <c r="B448" s="16" t="s">
        <v>62</v>
      </c>
      <c r="C448" s="44" t="s">
        <v>604</v>
      </c>
      <c r="D448" s="95">
        <v>218487</v>
      </c>
      <c r="E448" s="96">
        <v>7</v>
      </c>
      <c r="F448" s="23"/>
      <c r="G448" s="32">
        <v>18811</v>
      </c>
      <c r="H448" s="32">
        <v>9580</v>
      </c>
      <c r="I448" s="97">
        <v>18623</v>
      </c>
      <c r="J448" s="32">
        <f t="shared" si="22"/>
        <v>47014</v>
      </c>
      <c r="K448" s="25"/>
      <c r="L448" s="23"/>
      <c r="M448" s="23"/>
      <c r="N448" s="23"/>
      <c r="O448" s="25"/>
      <c r="P448" s="25"/>
      <c r="Q448" s="23"/>
      <c r="R448" s="23"/>
      <c r="S448" s="23"/>
      <c r="T448" s="40">
        <f t="shared" si="21"/>
        <v>0</v>
      </c>
      <c r="U448" s="23"/>
      <c r="V448" s="23"/>
      <c r="W448" s="23"/>
      <c r="X448" s="23"/>
      <c r="Y448" s="23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</row>
    <row r="449" spans="1:107" ht="12.75">
      <c r="A449" s="15" t="s">
        <v>584</v>
      </c>
      <c r="B449" s="16" t="s">
        <v>62</v>
      </c>
      <c r="C449" s="44" t="s">
        <v>605</v>
      </c>
      <c r="D449" s="95">
        <v>218520</v>
      </c>
      <c r="E449" s="96">
        <v>7</v>
      </c>
      <c r="F449" s="23"/>
      <c r="G449" s="32">
        <v>26285</v>
      </c>
      <c r="H449" s="32">
        <v>12575</v>
      </c>
      <c r="I449" s="97">
        <v>29304</v>
      </c>
      <c r="J449" s="32">
        <f t="shared" si="22"/>
        <v>68164</v>
      </c>
      <c r="K449" s="25"/>
      <c r="L449" s="23"/>
      <c r="M449" s="23"/>
      <c r="N449" s="23"/>
      <c r="O449" s="25"/>
      <c r="P449" s="25"/>
      <c r="Q449" s="23"/>
      <c r="R449" s="23"/>
      <c r="S449" s="23"/>
      <c r="T449" s="40">
        <f t="shared" si="21"/>
        <v>0</v>
      </c>
      <c r="U449" s="23"/>
      <c r="V449" s="23"/>
      <c r="W449" s="23"/>
      <c r="X449" s="23"/>
      <c r="Y449" s="23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</row>
    <row r="450" spans="1:107" ht="12.75">
      <c r="A450" s="15" t="s">
        <v>584</v>
      </c>
      <c r="B450" s="16" t="s">
        <v>62</v>
      </c>
      <c r="C450" s="44" t="s">
        <v>606</v>
      </c>
      <c r="D450" s="95">
        <v>218830</v>
      </c>
      <c r="E450" s="96">
        <v>7</v>
      </c>
      <c r="F450" s="23"/>
      <c r="G450" s="32">
        <v>23475</v>
      </c>
      <c r="H450" s="32">
        <v>9378</v>
      </c>
      <c r="I450" s="97">
        <v>25913</v>
      </c>
      <c r="J450" s="32">
        <f t="shared" si="22"/>
        <v>58766</v>
      </c>
      <c r="K450" s="25"/>
      <c r="L450" s="23"/>
      <c r="M450" s="23"/>
      <c r="N450" s="23"/>
      <c r="O450" s="25"/>
      <c r="P450" s="25"/>
      <c r="Q450" s="23"/>
      <c r="R450" s="23"/>
      <c r="S450" s="23"/>
      <c r="T450" s="40">
        <f t="shared" si="21"/>
        <v>0</v>
      </c>
      <c r="U450" s="23"/>
      <c r="V450" s="23"/>
      <c r="W450" s="23"/>
      <c r="X450" s="23"/>
      <c r="Y450" s="23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</row>
    <row r="451" spans="1:107" ht="12.75">
      <c r="A451" s="15" t="s">
        <v>584</v>
      </c>
      <c r="B451" s="16" t="s">
        <v>62</v>
      </c>
      <c r="C451" s="44" t="s">
        <v>607</v>
      </c>
      <c r="D451" s="95">
        <v>217712</v>
      </c>
      <c r="E451" s="96">
        <v>7</v>
      </c>
      <c r="F451" s="23"/>
      <c r="G451" s="32">
        <v>11045</v>
      </c>
      <c r="H451" s="32">
        <v>5071</v>
      </c>
      <c r="I451" s="97">
        <v>11553</v>
      </c>
      <c r="J451" s="32">
        <f t="shared" si="22"/>
        <v>27669</v>
      </c>
      <c r="K451" s="25"/>
      <c r="L451" s="23"/>
      <c r="M451" s="23"/>
      <c r="N451" s="23"/>
      <c r="O451" s="25"/>
      <c r="P451" s="25"/>
      <c r="Q451" s="23"/>
      <c r="R451" s="23"/>
      <c r="S451" s="23"/>
      <c r="T451" s="40">
        <f t="shared" si="21"/>
        <v>0</v>
      </c>
      <c r="U451" s="23"/>
      <c r="V451" s="23"/>
      <c r="W451" s="23"/>
      <c r="X451" s="23"/>
      <c r="Y451" s="23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</row>
    <row r="452" spans="1:107" ht="12.75">
      <c r="A452" s="15" t="s">
        <v>584</v>
      </c>
      <c r="B452" s="16" t="s">
        <v>62</v>
      </c>
      <c r="C452" s="44" t="s">
        <v>608</v>
      </c>
      <c r="D452" s="95">
        <v>218885</v>
      </c>
      <c r="E452" s="96">
        <v>7</v>
      </c>
      <c r="F452" s="23"/>
      <c r="G452" s="32">
        <v>27357</v>
      </c>
      <c r="H452" s="32">
        <v>12390</v>
      </c>
      <c r="I452" s="97">
        <v>31806</v>
      </c>
      <c r="J452" s="32">
        <f t="shared" si="22"/>
        <v>71553</v>
      </c>
      <c r="K452" s="25"/>
      <c r="L452" s="23"/>
      <c r="M452" s="23"/>
      <c r="N452" s="23"/>
      <c r="O452" s="25"/>
      <c r="P452" s="25"/>
      <c r="Q452" s="23"/>
      <c r="R452" s="23"/>
      <c r="S452" s="23"/>
      <c r="T452" s="40">
        <f t="shared" si="21"/>
        <v>0</v>
      </c>
      <c r="U452" s="23"/>
      <c r="V452" s="23"/>
      <c r="W452" s="23"/>
      <c r="X452" s="23"/>
      <c r="Y452" s="23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</row>
    <row r="453" spans="1:107" ht="12.75">
      <c r="A453" s="15" t="s">
        <v>584</v>
      </c>
      <c r="B453" s="16" t="s">
        <v>62</v>
      </c>
      <c r="C453" s="44" t="s">
        <v>609</v>
      </c>
      <c r="D453" s="95">
        <v>218894</v>
      </c>
      <c r="E453" s="96">
        <v>7</v>
      </c>
      <c r="F453" s="23"/>
      <c r="G453" s="32">
        <v>75463</v>
      </c>
      <c r="H453" s="32">
        <v>40120</v>
      </c>
      <c r="I453" s="97">
        <v>83955</v>
      </c>
      <c r="J453" s="32">
        <f t="shared" si="22"/>
        <v>199538</v>
      </c>
      <c r="K453" s="25"/>
      <c r="L453" s="23"/>
      <c r="M453" s="23"/>
      <c r="N453" s="23"/>
      <c r="O453" s="25"/>
      <c r="P453" s="25"/>
      <c r="Q453" s="23"/>
      <c r="R453" s="23"/>
      <c r="S453" s="23"/>
      <c r="T453" s="40">
        <f t="shared" si="21"/>
        <v>0</v>
      </c>
      <c r="U453" s="23"/>
      <c r="V453" s="23"/>
      <c r="W453" s="23"/>
      <c r="X453" s="23"/>
      <c r="Y453" s="23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</row>
    <row r="454" spans="1:107" ht="12.75">
      <c r="A454" s="15" t="s">
        <v>584</v>
      </c>
      <c r="B454" s="16" t="s">
        <v>62</v>
      </c>
      <c r="C454" s="44" t="s">
        <v>610</v>
      </c>
      <c r="D454" s="95">
        <v>218654</v>
      </c>
      <c r="E454" s="96">
        <v>7</v>
      </c>
      <c r="F454" s="23"/>
      <c r="G454" s="32">
        <f>200+7681</f>
        <v>7881</v>
      </c>
      <c r="H454" s="32">
        <f>63+1781</f>
        <v>1844</v>
      </c>
      <c r="I454" s="97">
        <f>516+7748</f>
        <v>8264</v>
      </c>
      <c r="J454" s="32">
        <f t="shared" si="22"/>
        <v>17989</v>
      </c>
      <c r="K454" s="25"/>
      <c r="L454" s="23"/>
      <c r="M454" s="23"/>
      <c r="N454" s="23"/>
      <c r="O454" s="25"/>
      <c r="P454" s="25"/>
      <c r="Q454" s="23"/>
      <c r="R454" s="23"/>
      <c r="S454" s="23"/>
      <c r="T454" s="40">
        <f t="shared" si="21"/>
        <v>0</v>
      </c>
      <c r="U454" s="23"/>
      <c r="V454" s="23"/>
      <c r="W454" s="23"/>
      <c r="X454" s="23"/>
      <c r="Y454" s="23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</row>
    <row r="455" spans="1:107" ht="12.75">
      <c r="A455" s="15" t="s">
        <v>584</v>
      </c>
      <c r="B455" s="16" t="s">
        <v>62</v>
      </c>
      <c r="C455" s="44" t="s">
        <v>611</v>
      </c>
      <c r="D455" s="95">
        <v>218672</v>
      </c>
      <c r="E455" s="96">
        <v>7</v>
      </c>
      <c r="F455" s="23"/>
      <c r="G455" s="32">
        <f>65+8775</f>
        <v>8840</v>
      </c>
      <c r="H455" s="32">
        <v>1105</v>
      </c>
      <c r="I455" s="97">
        <f>366+9092</f>
        <v>9458</v>
      </c>
      <c r="J455" s="32">
        <f t="shared" si="22"/>
        <v>19403</v>
      </c>
      <c r="K455" s="25"/>
      <c r="L455" s="23"/>
      <c r="M455" s="23"/>
      <c r="N455" s="23"/>
      <c r="O455" s="25"/>
      <c r="P455" s="25"/>
      <c r="Q455" s="23"/>
      <c r="R455" s="23"/>
      <c r="S455" s="23"/>
      <c r="T455" s="40">
        <f t="shared" si="21"/>
        <v>0</v>
      </c>
      <c r="U455" s="23"/>
      <c r="V455" s="23"/>
      <c r="W455" s="23"/>
      <c r="X455" s="23"/>
      <c r="Y455" s="23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</row>
    <row r="456" spans="1:107" ht="12.75">
      <c r="A456" s="15" t="s">
        <v>584</v>
      </c>
      <c r="B456" s="16" t="s">
        <v>62</v>
      </c>
      <c r="C456" s="44" t="s">
        <v>612</v>
      </c>
      <c r="D456" s="95">
        <v>218681</v>
      </c>
      <c r="E456" s="96">
        <v>7</v>
      </c>
      <c r="F456" s="23"/>
      <c r="G456" s="32">
        <f>18+6272</f>
        <v>6290</v>
      </c>
      <c r="H456" s="32">
        <f>6+1367</f>
        <v>1373</v>
      </c>
      <c r="I456" s="97">
        <f>387+6550</f>
        <v>6937</v>
      </c>
      <c r="J456" s="32">
        <f t="shared" si="22"/>
        <v>14600</v>
      </c>
      <c r="K456" s="25"/>
      <c r="L456" s="23"/>
      <c r="M456" s="23"/>
      <c r="N456" s="23"/>
      <c r="O456" s="25"/>
      <c r="P456" s="25"/>
      <c r="Q456" s="23"/>
      <c r="R456" s="23"/>
      <c r="S456" s="23"/>
      <c r="T456" s="40">
        <f t="shared" si="21"/>
        <v>0</v>
      </c>
      <c r="U456" s="23"/>
      <c r="V456" s="23"/>
      <c r="W456" s="23"/>
      <c r="X456" s="23"/>
      <c r="Y456" s="23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</row>
    <row r="457" spans="1:107" ht="12.75">
      <c r="A457" s="15" t="s">
        <v>584</v>
      </c>
      <c r="B457" s="16" t="s">
        <v>62</v>
      </c>
      <c r="C457" s="44" t="s">
        <v>613</v>
      </c>
      <c r="D457" s="95">
        <v>218690</v>
      </c>
      <c r="E457" s="96">
        <v>7</v>
      </c>
      <c r="F457" s="23"/>
      <c r="G457" s="32">
        <f>387+11177</f>
        <v>11564</v>
      </c>
      <c r="H457" s="32">
        <f>111+3197</f>
        <v>3308</v>
      </c>
      <c r="I457" s="97">
        <f>795+12010</f>
        <v>12805</v>
      </c>
      <c r="J457" s="32">
        <f t="shared" si="22"/>
        <v>27677</v>
      </c>
      <c r="K457" s="25"/>
      <c r="L457" s="23"/>
      <c r="M457" s="23"/>
      <c r="N457" s="23"/>
      <c r="O457" s="25"/>
      <c r="P457" s="25"/>
      <c r="Q457" s="23"/>
      <c r="R457" s="23"/>
      <c r="S457" s="23"/>
      <c r="T457" s="40">
        <f aca="true" t="shared" si="23" ref="T457:T488">SUM(P457:S457)</f>
        <v>0</v>
      </c>
      <c r="U457" s="23"/>
      <c r="V457" s="23"/>
      <c r="W457" s="23"/>
      <c r="X457" s="23"/>
      <c r="Y457" s="23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</row>
    <row r="458" spans="1:107" ht="12.75">
      <c r="A458" s="15" t="s">
        <v>584</v>
      </c>
      <c r="B458" s="16" t="s">
        <v>62</v>
      </c>
      <c r="C458" s="44" t="s">
        <v>614</v>
      </c>
      <c r="D458" s="95">
        <v>218706</v>
      </c>
      <c r="E458" s="96">
        <v>7</v>
      </c>
      <c r="F458" s="23"/>
      <c r="G458" s="32">
        <f>38+2350</f>
        <v>2388</v>
      </c>
      <c r="H458" s="32">
        <v>260</v>
      </c>
      <c r="I458" s="97">
        <f>186+2480</f>
        <v>2666</v>
      </c>
      <c r="J458" s="32">
        <f t="shared" si="22"/>
        <v>5314</v>
      </c>
      <c r="K458" s="25"/>
      <c r="L458" s="23"/>
      <c r="M458" s="23"/>
      <c r="N458" s="23"/>
      <c r="O458" s="25"/>
      <c r="P458" s="25"/>
      <c r="Q458" s="23"/>
      <c r="R458" s="23"/>
      <c r="S458" s="23"/>
      <c r="T458" s="40">
        <f t="shared" si="23"/>
        <v>0</v>
      </c>
      <c r="U458" s="23"/>
      <c r="V458" s="23"/>
      <c r="W458" s="23"/>
      <c r="X458" s="23"/>
      <c r="Y458" s="23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</row>
    <row r="459" spans="1:107" ht="12.75">
      <c r="A459" s="15" t="s">
        <v>584</v>
      </c>
      <c r="B459" s="16" t="s">
        <v>62</v>
      </c>
      <c r="C459" s="44" t="s">
        <v>615</v>
      </c>
      <c r="D459" s="95">
        <v>218955</v>
      </c>
      <c r="E459" s="96">
        <v>7</v>
      </c>
      <c r="F459" s="23"/>
      <c r="G459" s="32">
        <v>5615</v>
      </c>
      <c r="H459" s="32">
        <v>4471</v>
      </c>
      <c r="I459" s="97">
        <v>5277</v>
      </c>
      <c r="J459" s="32">
        <f t="shared" si="22"/>
        <v>15363</v>
      </c>
      <c r="K459" s="25"/>
      <c r="L459" s="23"/>
      <c r="M459" s="23"/>
      <c r="N459" s="23"/>
      <c r="O459" s="25"/>
      <c r="P459" s="25"/>
      <c r="Q459" s="23"/>
      <c r="R459" s="23"/>
      <c r="S459" s="23"/>
      <c r="T459" s="40">
        <f t="shared" si="23"/>
        <v>0</v>
      </c>
      <c r="U459" s="23"/>
      <c r="V459" s="23"/>
      <c r="W459" s="23"/>
      <c r="X459" s="23"/>
      <c r="Y459" s="23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</row>
    <row r="460" spans="1:107" ht="12.75">
      <c r="A460" s="15" t="s">
        <v>584</v>
      </c>
      <c r="B460" s="16" t="s">
        <v>62</v>
      </c>
      <c r="C460" s="44" t="s">
        <v>616</v>
      </c>
      <c r="D460" s="95">
        <v>218991</v>
      </c>
      <c r="E460" s="96">
        <v>7</v>
      </c>
      <c r="F460" s="23"/>
      <c r="G460" s="32">
        <v>30100</v>
      </c>
      <c r="H460" s="32">
        <v>11507</v>
      </c>
      <c r="I460" s="97">
        <v>33439</v>
      </c>
      <c r="J460" s="32">
        <f t="shared" si="22"/>
        <v>75046</v>
      </c>
      <c r="K460" s="25"/>
      <c r="L460" s="23"/>
      <c r="M460" s="23"/>
      <c r="N460" s="23"/>
      <c r="O460" s="25"/>
      <c r="P460" s="25"/>
      <c r="Q460" s="23"/>
      <c r="R460" s="23"/>
      <c r="S460" s="23"/>
      <c r="T460" s="40">
        <f t="shared" si="23"/>
        <v>0</v>
      </c>
      <c r="U460" s="23"/>
      <c r="V460" s="23"/>
      <c r="W460" s="23"/>
      <c r="X460" s="23"/>
      <c r="Y460" s="23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</row>
    <row r="461" spans="1:107" ht="12.75">
      <c r="A461" s="15" t="s">
        <v>584</v>
      </c>
      <c r="B461" s="16" t="s">
        <v>62</v>
      </c>
      <c r="C461" s="44" t="s">
        <v>617</v>
      </c>
      <c r="D461" s="95">
        <v>218335</v>
      </c>
      <c r="E461" s="96">
        <v>9</v>
      </c>
      <c r="F461" s="23"/>
      <c r="G461" s="32">
        <v>16051</v>
      </c>
      <c r="H461" s="32">
        <v>4000</v>
      </c>
      <c r="I461" s="97">
        <v>12435</v>
      </c>
      <c r="J461" s="32">
        <f aca="true" t="shared" si="24" ref="J461:J492">SUM(F461:I461)</f>
        <v>32486</v>
      </c>
      <c r="K461" s="25"/>
      <c r="L461" s="23"/>
      <c r="M461" s="23"/>
      <c r="N461" s="23"/>
      <c r="O461" s="25"/>
      <c r="P461" s="25"/>
      <c r="Q461" s="32">
        <f>2241+3895+2382</f>
        <v>8518</v>
      </c>
      <c r="R461" s="32">
        <f>220+3122+2086</f>
        <v>5428</v>
      </c>
      <c r="S461" s="32">
        <f>4128+1137+1721</f>
        <v>6986</v>
      </c>
      <c r="T461" s="40">
        <f t="shared" si="23"/>
        <v>20932</v>
      </c>
      <c r="U461" s="23"/>
      <c r="V461" s="23"/>
      <c r="W461" s="23"/>
      <c r="X461" s="23"/>
      <c r="Y461" s="23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</row>
    <row r="462" spans="1:107" ht="12.75">
      <c r="A462" s="15" t="s">
        <v>618</v>
      </c>
      <c r="B462" s="16" t="s">
        <v>62</v>
      </c>
      <c r="C462" s="101" t="s">
        <v>619</v>
      </c>
      <c r="D462" s="102">
        <v>221759</v>
      </c>
      <c r="E462" s="103">
        <v>1</v>
      </c>
      <c r="F462" s="23"/>
      <c r="G462" s="23">
        <v>225043</v>
      </c>
      <c r="H462" s="23">
        <v>41484</v>
      </c>
      <c r="I462" s="97">
        <v>248676</v>
      </c>
      <c r="J462" s="32">
        <f t="shared" si="24"/>
        <v>515203</v>
      </c>
      <c r="K462" s="104"/>
      <c r="L462" s="51"/>
      <c r="M462" s="51"/>
      <c r="N462" s="23"/>
      <c r="O462" s="25">
        <f aca="true" t="shared" si="25" ref="O462:O493">SUM(K462:N462)</f>
        <v>0</v>
      </c>
      <c r="P462" s="25"/>
      <c r="Q462" s="23">
        <f>45206+6583</f>
        <v>51789</v>
      </c>
      <c r="R462" s="23">
        <f>24588+347</f>
        <v>24935</v>
      </c>
      <c r="S462" s="23">
        <f>47194+6698</f>
        <v>53892</v>
      </c>
      <c r="T462" s="40">
        <f t="shared" si="23"/>
        <v>130616</v>
      </c>
      <c r="U462" s="105"/>
      <c r="V462" s="105"/>
      <c r="W462" s="105"/>
      <c r="X462" s="105"/>
      <c r="Y462" s="105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</row>
    <row r="463" spans="1:107" ht="12.75">
      <c r="A463" s="15" t="s">
        <v>618</v>
      </c>
      <c r="B463" s="16" t="s">
        <v>62</v>
      </c>
      <c r="C463" s="101" t="s">
        <v>620</v>
      </c>
      <c r="D463" s="102">
        <v>220862</v>
      </c>
      <c r="E463" s="103">
        <v>2</v>
      </c>
      <c r="F463" s="23"/>
      <c r="G463" s="23">
        <v>168937</v>
      </c>
      <c r="H463" s="23">
        <v>43133</v>
      </c>
      <c r="I463" s="97">
        <v>176207.5</v>
      </c>
      <c r="J463" s="32">
        <f t="shared" si="24"/>
        <v>388277.5</v>
      </c>
      <c r="K463" s="104"/>
      <c r="L463" s="51"/>
      <c r="M463" s="51"/>
      <c r="N463" s="23"/>
      <c r="O463" s="25">
        <f t="shared" si="25"/>
        <v>0</v>
      </c>
      <c r="P463" s="25"/>
      <c r="Q463" s="23">
        <f>31221+6667</f>
        <v>37888</v>
      </c>
      <c r="R463" s="23">
        <f>15016+792</f>
        <v>15808</v>
      </c>
      <c r="S463" s="23">
        <f>32520+6528</f>
        <v>39048</v>
      </c>
      <c r="T463" s="40">
        <f t="shared" si="23"/>
        <v>92744</v>
      </c>
      <c r="U463" s="105"/>
      <c r="V463" s="105"/>
      <c r="W463" s="105"/>
      <c r="X463" s="105"/>
      <c r="Y463" s="105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</row>
    <row r="464" spans="1:107" ht="12.75">
      <c r="A464" s="15" t="s">
        <v>618</v>
      </c>
      <c r="B464" s="16" t="s">
        <v>62</v>
      </c>
      <c r="C464" s="101" t="s">
        <v>621</v>
      </c>
      <c r="D464" s="102">
        <v>220075</v>
      </c>
      <c r="E464" s="103">
        <v>3</v>
      </c>
      <c r="F464" s="23"/>
      <c r="G464" s="23">
        <f>107618</f>
        <v>107618</v>
      </c>
      <c r="H464" s="23">
        <f>23078</f>
        <v>23078</v>
      </c>
      <c r="I464" s="97">
        <v>121070</v>
      </c>
      <c r="J464" s="32">
        <f t="shared" si="24"/>
        <v>251766</v>
      </c>
      <c r="K464" s="104"/>
      <c r="L464" s="51"/>
      <c r="M464" s="51"/>
      <c r="N464" s="23"/>
      <c r="O464" s="25">
        <f t="shared" si="25"/>
        <v>0</v>
      </c>
      <c r="P464" s="25"/>
      <c r="Q464" s="23">
        <f>11741</f>
        <v>11741</v>
      </c>
      <c r="R464" s="23">
        <v>7191</v>
      </c>
      <c r="S464" s="23">
        <v>13572</v>
      </c>
      <c r="T464" s="40">
        <f t="shared" si="23"/>
        <v>32504</v>
      </c>
      <c r="U464" s="105"/>
      <c r="V464" s="105"/>
      <c r="W464" s="105"/>
      <c r="X464" s="105"/>
      <c r="Y464" s="105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</row>
    <row r="465" spans="1:107" ht="9" customHeight="1">
      <c r="A465" s="15" t="s">
        <v>618</v>
      </c>
      <c r="B465" s="16" t="s">
        <v>62</v>
      </c>
      <c r="C465" s="43" t="s">
        <v>622</v>
      </c>
      <c r="D465" s="50">
        <v>220978</v>
      </c>
      <c r="E465" s="106">
        <v>3</v>
      </c>
      <c r="F465" s="25"/>
      <c r="G465" s="23">
        <f>184425</f>
        <v>184425</v>
      </c>
      <c r="H465" s="23">
        <v>41800</v>
      </c>
      <c r="I465" s="24">
        <v>208063</v>
      </c>
      <c r="J465" s="24">
        <f t="shared" si="24"/>
        <v>434288</v>
      </c>
      <c r="K465" s="104"/>
      <c r="L465" s="51"/>
      <c r="M465" s="51"/>
      <c r="N465" s="24"/>
      <c r="O465" s="24">
        <f t="shared" si="25"/>
        <v>0</v>
      </c>
      <c r="P465" s="25"/>
      <c r="Q465" s="23">
        <v>12333</v>
      </c>
      <c r="R465" s="23">
        <v>8334</v>
      </c>
      <c r="S465" s="24">
        <v>12546</v>
      </c>
      <c r="T465" s="24">
        <f t="shared" si="23"/>
        <v>33213</v>
      </c>
      <c r="U465" s="15"/>
      <c r="V465" s="15"/>
      <c r="W465" s="15"/>
      <c r="X465" s="15"/>
      <c r="Y465" s="15"/>
      <c r="Z465" s="35"/>
      <c r="AA465" s="35"/>
      <c r="AB465" s="35"/>
      <c r="AC465" s="35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</row>
    <row r="466" spans="1:107" ht="9" customHeight="1">
      <c r="A466" s="15" t="s">
        <v>618</v>
      </c>
      <c r="B466" s="16" t="s">
        <v>62</v>
      </c>
      <c r="C466" s="43" t="s">
        <v>623</v>
      </c>
      <c r="D466" s="50">
        <v>221838</v>
      </c>
      <c r="E466" s="106">
        <v>3</v>
      </c>
      <c r="F466" s="104"/>
      <c r="G466" s="23">
        <v>84914</v>
      </c>
      <c r="H466" s="23">
        <v>14418</v>
      </c>
      <c r="I466" s="24">
        <v>92646</v>
      </c>
      <c r="J466" s="24">
        <f t="shared" si="24"/>
        <v>191978</v>
      </c>
      <c r="K466" s="104"/>
      <c r="L466" s="51"/>
      <c r="M466" s="51"/>
      <c r="N466" s="24"/>
      <c r="O466" s="24">
        <f t="shared" si="25"/>
        <v>0</v>
      </c>
      <c r="P466" s="25"/>
      <c r="Q466" s="23">
        <v>9576</v>
      </c>
      <c r="R466" s="23">
        <v>5795</v>
      </c>
      <c r="S466" s="24">
        <v>9962</v>
      </c>
      <c r="T466" s="24">
        <f t="shared" si="23"/>
        <v>25333</v>
      </c>
      <c r="U466" s="15"/>
      <c r="V466" s="15"/>
      <c r="W466" s="15"/>
      <c r="X466" s="15"/>
      <c r="Y466" s="15"/>
      <c r="Z466" s="35"/>
      <c r="AA466" s="35"/>
      <c r="AB466" s="35"/>
      <c r="AC466" s="35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</row>
    <row r="467" spans="1:107" ht="9" customHeight="1">
      <c r="A467" s="15" t="s">
        <v>618</v>
      </c>
      <c r="B467" s="16" t="s">
        <v>62</v>
      </c>
      <c r="C467" s="43" t="s">
        <v>624</v>
      </c>
      <c r="D467" s="50">
        <v>219602</v>
      </c>
      <c r="E467" s="106">
        <v>4</v>
      </c>
      <c r="F467" s="104"/>
      <c r="G467" s="23">
        <v>70334</v>
      </c>
      <c r="H467" s="23">
        <f>21962</f>
        <v>21962</v>
      </c>
      <c r="I467" s="24">
        <f>86139</f>
        <v>86139</v>
      </c>
      <c r="J467" s="24">
        <f t="shared" si="24"/>
        <v>178435</v>
      </c>
      <c r="K467" s="104"/>
      <c r="L467" s="51"/>
      <c r="M467" s="51"/>
      <c r="N467" s="24"/>
      <c r="O467" s="24">
        <f t="shared" si="25"/>
        <v>0</v>
      </c>
      <c r="P467" s="25"/>
      <c r="Q467" s="23">
        <f>2866</f>
        <v>2866</v>
      </c>
      <c r="R467" s="23">
        <f>1514</f>
        <v>1514</v>
      </c>
      <c r="S467" s="24">
        <f>3951</f>
        <v>3951</v>
      </c>
      <c r="T467" s="24">
        <f t="shared" si="23"/>
        <v>8331</v>
      </c>
      <c r="U467" s="15"/>
      <c r="V467" s="15"/>
      <c r="W467" s="15"/>
      <c r="X467" s="15"/>
      <c r="Y467" s="15"/>
      <c r="Z467" s="35"/>
      <c r="AA467" s="35"/>
      <c r="AB467" s="35"/>
      <c r="AC467" s="35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</row>
    <row r="468" spans="1:107" ht="9" customHeight="1">
      <c r="A468" s="15" t="s">
        <v>618</v>
      </c>
      <c r="B468" s="16" t="s">
        <v>62</v>
      </c>
      <c r="C468" s="43" t="s">
        <v>625</v>
      </c>
      <c r="D468" s="50">
        <v>221847</v>
      </c>
      <c r="E468" s="106">
        <v>4</v>
      </c>
      <c r="F468" s="104"/>
      <c r="G468" s="23">
        <v>92219</v>
      </c>
      <c r="H468" s="23">
        <v>13810</v>
      </c>
      <c r="I468" s="24">
        <v>99501</v>
      </c>
      <c r="J468" s="24">
        <f t="shared" si="24"/>
        <v>205530</v>
      </c>
      <c r="K468" s="104"/>
      <c r="L468" s="51"/>
      <c r="M468" s="51"/>
      <c r="N468" s="24"/>
      <c r="O468" s="24">
        <f t="shared" si="25"/>
        <v>0</v>
      </c>
      <c r="P468" s="25"/>
      <c r="Q468" s="23">
        <v>6584</v>
      </c>
      <c r="R468" s="23">
        <v>4793</v>
      </c>
      <c r="S468" s="24">
        <v>7154</v>
      </c>
      <c r="T468" s="24">
        <f t="shared" si="23"/>
        <v>18531</v>
      </c>
      <c r="U468" s="15"/>
      <c r="V468" s="15"/>
      <c r="W468" s="15"/>
      <c r="X468" s="15"/>
      <c r="Y468" s="15"/>
      <c r="Z468" s="35"/>
      <c r="AA468" s="35"/>
      <c r="AB468" s="35"/>
      <c r="AC468" s="35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</row>
    <row r="469" spans="1:107" ht="9" customHeight="1">
      <c r="A469" s="15" t="s">
        <v>618</v>
      </c>
      <c r="B469" s="16" t="s">
        <v>62</v>
      </c>
      <c r="C469" s="43" t="s">
        <v>626</v>
      </c>
      <c r="D469" s="50">
        <v>221740</v>
      </c>
      <c r="E469" s="106">
        <v>4</v>
      </c>
      <c r="F469" s="25"/>
      <c r="G469" s="23">
        <v>82665</v>
      </c>
      <c r="H469" s="23">
        <v>20563</v>
      </c>
      <c r="I469" s="24">
        <v>89629</v>
      </c>
      <c r="J469" s="24">
        <f t="shared" si="24"/>
        <v>192857</v>
      </c>
      <c r="K469" s="104"/>
      <c r="L469" s="51"/>
      <c r="M469" s="51"/>
      <c r="N469" s="24"/>
      <c r="O469" s="24">
        <f t="shared" si="25"/>
        <v>0</v>
      </c>
      <c r="P469" s="25"/>
      <c r="Q469" s="23">
        <v>7010</v>
      </c>
      <c r="R469" s="23">
        <v>4775</v>
      </c>
      <c r="S469" s="24">
        <v>7595</v>
      </c>
      <c r="T469" s="24">
        <f t="shared" si="23"/>
        <v>19380</v>
      </c>
      <c r="U469" s="15"/>
      <c r="V469" s="15"/>
      <c r="W469" s="15"/>
      <c r="X469" s="15"/>
      <c r="Y469" s="15"/>
      <c r="Z469" s="35"/>
      <c r="AA469" s="35"/>
      <c r="AB469" s="35"/>
      <c r="AC469" s="35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</row>
    <row r="470" spans="1:107" ht="9" customHeight="1">
      <c r="A470" s="15" t="s">
        <v>618</v>
      </c>
      <c r="B470" s="16" t="s">
        <v>62</v>
      </c>
      <c r="C470" s="43" t="s">
        <v>627</v>
      </c>
      <c r="D470" s="50">
        <v>221768</v>
      </c>
      <c r="E470" s="106">
        <v>5</v>
      </c>
      <c r="F470" s="25"/>
      <c r="G470" s="23">
        <v>70982</v>
      </c>
      <c r="H470" s="23">
        <v>12216</v>
      </c>
      <c r="I470" s="24">
        <v>78313</v>
      </c>
      <c r="J470" s="24">
        <f t="shared" si="24"/>
        <v>161511</v>
      </c>
      <c r="K470" s="104"/>
      <c r="L470" s="51"/>
      <c r="M470" s="51"/>
      <c r="N470" s="24"/>
      <c r="O470" s="24">
        <f t="shared" si="25"/>
        <v>0</v>
      </c>
      <c r="P470" s="25"/>
      <c r="Q470" s="23">
        <f>1566</f>
        <v>1566</v>
      </c>
      <c r="R470" s="23">
        <v>1772</v>
      </c>
      <c r="S470" s="24">
        <v>1863</v>
      </c>
      <c r="T470" s="24">
        <f t="shared" si="23"/>
        <v>5201</v>
      </c>
      <c r="U470" s="15"/>
      <c r="V470" s="15"/>
      <c r="W470" s="15"/>
      <c r="X470" s="15"/>
      <c r="Y470" s="15"/>
      <c r="Z470" s="35"/>
      <c r="AA470" s="35"/>
      <c r="AB470" s="35"/>
      <c r="AC470" s="35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</row>
    <row r="471" spans="1:107" ht="9" customHeight="1">
      <c r="A471" s="15" t="s">
        <v>618</v>
      </c>
      <c r="B471" s="16" t="s">
        <v>62</v>
      </c>
      <c r="C471" s="43" t="s">
        <v>628</v>
      </c>
      <c r="D471" s="50">
        <v>219824</v>
      </c>
      <c r="E471" s="106">
        <v>7</v>
      </c>
      <c r="F471" s="25"/>
      <c r="G471" s="23">
        <v>66809</v>
      </c>
      <c r="H471" s="23">
        <v>16758</v>
      </c>
      <c r="I471" s="24">
        <v>81398</v>
      </c>
      <c r="J471" s="24">
        <f t="shared" si="24"/>
        <v>164965</v>
      </c>
      <c r="K471" s="104"/>
      <c r="L471" s="51"/>
      <c r="M471" s="51"/>
      <c r="N471" s="24"/>
      <c r="O471" s="24">
        <f t="shared" si="25"/>
        <v>0</v>
      </c>
      <c r="P471" s="25"/>
      <c r="Q471" s="23"/>
      <c r="R471" s="23"/>
      <c r="S471" s="24"/>
      <c r="T471" s="24">
        <f t="shared" si="23"/>
        <v>0</v>
      </c>
      <c r="U471" s="15"/>
      <c r="V471" s="15"/>
      <c r="W471" s="15"/>
      <c r="X471" s="15"/>
      <c r="Y471" s="15"/>
      <c r="Z471" s="35"/>
      <c r="AA471" s="35"/>
      <c r="AB471" s="35"/>
      <c r="AC471" s="35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</row>
    <row r="472" spans="1:107" ht="9" customHeight="1">
      <c r="A472" s="15" t="s">
        <v>618</v>
      </c>
      <c r="B472" s="16" t="s">
        <v>62</v>
      </c>
      <c r="C472" s="43" t="s">
        <v>629</v>
      </c>
      <c r="D472" s="50">
        <v>219879</v>
      </c>
      <c r="E472" s="106">
        <v>7</v>
      </c>
      <c r="F472" s="104"/>
      <c r="G472" s="23">
        <v>26261</v>
      </c>
      <c r="H472" s="23">
        <v>4876</v>
      </c>
      <c r="I472" s="24">
        <v>31667</v>
      </c>
      <c r="J472" s="24">
        <f t="shared" si="24"/>
        <v>62804</v>
      </c>
      <c r="K472" s="104"/>
      <c r="L472" s="51"/>
      <c r="M472" s="51"/>
      <c r="N472" s="24"/>
      <c r="O472" s="24">
        <f t="shared" si="25"/>
        <v>0</v>
      </c>
      <c r="P472" s="25"/>
      <c r="Q472" s="23"/>
      <c r="R472" s="23"/>
      <c r="S472" s="24"/>
      <c r="T472" s="24">
        <f t="shared" si="23"/>
        <v>0</v>
      </c>
      <c r="U472" s="15"/>
      <c r="V472" s="15"/>
      <c r="W472" s="15"/>
      <c r="X472" s="15"/>
      <c r="Y472" s="15"/>
      <c r="Z472" s="35"/>
      <c r="AA472" s="35"/>
      <c r="AB472" s="35"/>
      <c r="AC472" s="35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</row>
    <row r="473" spans="1:107" ht="9" customHeight="1">
      <c r="A473" s="15" t="s">
        <v>618</v>
      </c>
      <c r="B473" s="16" t="s">
        <v>62</v>
      </c>
      <c r="C473" s="43" t="s">
        <v>630</v>
      </c>
      <c r="D473" s="50">
        <v>219888</v>
      </c>
      <c r="E473" s="106">
        <v>7</v>
      </c>
      <c r="F473" s="104"/>
      <c r="G473" s="23">
        <v>33202</v>
      </c>
      <c r="H473" s="23">
        <v>6082</v>
      </c>
      <c r="I473" s="24">
        <v>39591</v>
      </c>
      <c r="J473" s="24">
        <f t="shared" si="24"/>
        <v>78875</v>
      </c>
      <c r="K473" s="104"/>
      <c r="L473" s="51"/>
      <c r="M473" s="51"/>
      <c r="N473" s="24"/>
      <c r="O473" s="24">
        <f t="shared" si="25"/>
        <v>0</v>
      </c>
      <c r="P473" s="25"/>
      <c r="Q473" s="23"/>
      <c r="R473" s="23"/>
      <c r="S473" s="24"/>
      <c r="T473" s="24">
        <f t="shared" si="23"/>
        <v>0</v>
      </c>
      <c r="U473" s="15"/>
      <c r="V473" s="15"/>
      <c r="W473" s="15"/>
      <c r="X473" s="15"/>
      <c r="Y473" s="15"/>
      <c r="Z473" s="35"/>
      <c r="AA473" s="35"/>
      <c r="AB473" s="35"/>
      <c r="AC473" s="35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</row>
    <row r="474" spans="1:107" ht="9" customHeight="1">
      <c r="A474" s="15" t="s">
        <v>618</v>
      </c>
      <c r="B474" s="16" t="s">
        <v>62</v>
      </c>
      <c r="C474" s="43" t="s">
        <v>631</v>
      </c>
      <c r="D474" s="50">
        <v>220057</v>
      </c>
      <c r="E474" s="106">
        <v>7</v>
      </c>
      <c r="F474" s="25"/>
      <c r="G474" s="23">
        <v>19715</v>
      </c>
      <c r="H474" s="23">
        <v>2648</v>
      </c>
      <c r="I474" s="24">
        <v>22965</v>
      </c>
      <c r="J474" s="24">
        <f t="shared" si="24"/>
        <v>45328</v>
      </c>
      <c r="K474" s="104"/>
      <c r="L474" s="51"/>
      <c r="M474" s="51"/>
      <c r="N474" s="24"/>
      <c r="O474" s="24">
        <f t="shared" si="25"/>
        <v>0</v>
      </c>
      <c r="P474" s="25"/>
      <c r="Q474" s="23"/>
      <c r="R474" s="23"/>
      <c r="S474" s="24"/>
      <c r="T474" s="24">
        <f t="shared" si="23"/>
        <v>0</v>
      </c>
      <c r="U474" s="15"/>
      <c r="V474" s="15"/>
      <c r="W474" s="15"/>
      <c r="X474" s="15"/>
      <c r="Y474" s="15"/>
      <c r="Z474" s="35"/>
      <c r="AA474" s="35"/>
      <c r="AB474" s="35"/>
      <c r="AC474" s="35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</row>
    <row r="475" spans="1:107" ht="9" customHeight="1">
      <c r="A475" s="15" t="s">
        <v>618</v>
      </c>
      <c r="B475" s="16" t="s">
        <v>62</v>
      </c>
      <c r="C475" s="43" t="s">
        <v>632</v>
      </c>
      <c r="D475" s="50">
        <v>220400</v>
      </c>
      <c r="E475" s="106">
        <v>7</v>
      </c>
      <c r="F475" s="104"/>
      <c r="G475" s="23">
        <v>27524</v>
      </c>
      <c r="H475" s="23">
        <v>8236</v>
      </c>
      <c r="I475" s="24">
        <v>33344</v>
      </c>
      <c r="J475" s="24">
        <f t="shared" si="24"/>
        <v>69104</v>
      </c>
      <c r="K475" s="104"/>
      <c r="L475" s="51"/>
      <c r="M475" s="51"/>
      <c r="N475" s="24"/>
      <c r="O475" s="24">
        <f t="shared" si="25"/>
        <v>0</v>
      </c>
      <c r="P475" s="25"/>
      <c r="Q475" s="23"/>
      <c r="R475" s="23"/>
      <c r="S475" s="24"/>
      <c r="T475" s="24">
        <f t="shared" si="23"/>
        <v>0</v>
      </c>
      <c r="U475" s="15"/>
      <c r="V475" s="15"/>
      <c r="W475" s="15"/>
      <c r="X475" s="15"/>
      <c r="Y475" s="15"/>
      <c r="Z475" s="35"/>
      <c r="AA475" s="35"/>
      <c r="AB475" s="35"/>
      <c r="AC475" s="35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</row>
    <row r="476" spans="1:107" ht="9" customHeight="1">
      <c r="A476" s="15" t="s">
        <v>618</v>
      </c>
      <c r="B476" s="16" t="s">
        <v>62</v>
      </c>
      <c r="C476" s="43" t="s">
        <v>633</v>
      </c>
      <c r="D476" s="50">
        <v>221096</v>
      </c>
      <c r="E476" s="106">
        <v>7</v>
      </c>
      <c r="F476" s="104"/>
      <c r="G476" s="23">
        <v>28523</v>
      </c>
      <c r="H476" s="23">
        <v>4111</v>
      </c>
      <c r="I476" s="24">
        <v>31737</v>
      </c>
      <c r="J476" s="24">
        <f t="shared" si="24"/>
        <v>64371</v>
      </c>
      <c r="K476" s="104"/>
      <c r="L476" s="51"/>
      <c r="M476" s="51"/>
      <c r="N476" s="24"/>
      <c r="O476" s="24">
        <f t="shared" si="25"/>
        <v>0</v>
      </c>
      <c r="P476" s="25"/>
      <c r="Q476" s="23"/>
      <c r="R476" s="23"/>
      <c r="S476" s="24"/>
      <c r="T476" s="24">
        <f t="shared" si="23"/>
        <v>0</v>
      </c>
      <c r="U476" s="15"/>
      <c r="V476" s="15"/>
      <c r="W476" s="15"/>
      <c r="X476" s="15"/>
      <c r="Y476" s="15"/>
      <c r="Z476" s="35"/>
      <c r="AA476" s="35"/>
      <c r="AB476" s="35"/>
      <c r="AC476" s="35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</row>
    <row r="477" spans="1:107" ht="9" customHeight="1">
      <c r="A477" s="15" t="s">
        <v>618</v>
      </c>
      <c r="B477" s="16" t="s">
        <v>62</v>
      </c>
      <c r="C477" s="43" t="s">
        <v>634</v>
      </c>
      <c r="D477" s="50">
        <v>221184</v>
      </c>
      <c r="E477" s="106">
        <v>7</v>
      </c>
      <c r="F477" s="104"/>
      <c r="G477" s="23">
        <v>42088.5</v>
      </c>
      <c r="H477" s="23">
        <v>11611</v>
      </c>
      <c r="I477" s="24">
        <v>46677</v>
      </c>
      <c r="J477" s="24">
        <f t="shared" si="24"/>
        <v>100376.5</v>
      </c>
      <c r="K477" s="104"/>
      <c r="L477" s="51"/>
      <c r="M477" s="51"/>
      <c r="N477" s="24"/>
      <c r="O477" s="24">
        <f t="shared" si="25"/>
        <v>0</v>
      </c>
      <c r="P477" s="25"/>
      <c r="Q477" s="23"/>
      <c r="R477" s="23"/>
      <c r="S477" s="24"/>
      <c r="T477" s="24">
        <f t="shared" si="23"/>
        <v>0</v>
      </c>
      <c r="U477" s="15"/>
      <c r="V477" s="15"/>
      <c r="W477" s="15"/>
      <c r="X477" s="15"/>
      <c r="Y477" s="15"/>
      <c r="Z477" s="35"/>
      <c r="AA477" s="35"/>
      <c r="AB477" s="35"/>
      <c r="AC477" s="35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</row>
    <row r="478" spans="1:107" ht="9" customHeight="1">
      <c r="A478" s="15" t="s">
        <v>618</v>
      </c>
      <c r="B478" s="16" t="s">
        <v>62</v>
      </c>
      <c r="C478" s="43" t="s">
        <v>635</v>
      </c>
      <c r="D478" s="50">
        <v>221908</v>
      </c>
      <c r="E478" s="106">
        <v>7</v>
      </c>
      <c r="F478" s="104"/>
      <c r="G478" s="51">
        <v>33040</v>
      </c>
      <c r="H478" s="51">
        <v>5979</v>
      </c>
      <c r="I478" s="52">
        <v>36891</v>
      </c>
      <c r="J478" s="24">
        <f t="shared" si="24"/>
        <v>75910</v>
      </c>
      <c r="K478" s="104"/>
      <c r="L478" s="51"/>
      <c r="M478" s="51"/>
      <c r="N478" s="24"/>
      <c r="O478" s="24">
        <f t="shared" si="25"/>
        <v>0</v>
      </c>
      <c r="P478" s="104"/>
      <c r="Q478" s="51"/>
      <c r="R478" s="51"/>
      <c r="S478" s="24"/>
      <c r="T478" s="24">
        <f t="shared" si="23"/>
        <v>0</v>
      </c>
      <c r="U478" s="15"/>
      <c r="V478" s="15"/>
      <c r="W478" s="15"/>
      <c r="X478" s="15"/>
      <c r="Y478" s="15"/>
      <c r="Z478" s="35"/>
      <c r="AA478" s="35"/>
      <c r="AB478" s="35"/>
      <c r="AC478" s="35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</row>
    <row r="479" spans="1:107" ht="9" customHeight="1">
      <c r="A479" s="15" t="s">
        <v>618</v>
      </c>
      <c r="B479" s="16" t="s">
        <v>62</v>
      </c>
      <c r="C479" s="43" t="s">
        <v>636</v>
      </c>
      <c r="D479" s="50">
        <v>221642</v>
      </c>
      <c r="E479" s="106">
        <v>7</v>
      </c>
      <c r="F479" s="104"/>
      <c r="G479" s="51">
        <v>65732</v>
      </c>
      <c r="H479" s="51">
        <v>11203</v>
      </c>
      <c r="I479" s="52">
        <v>75044</v>
      </c>
      <c r="J479" s="24">
        <f t="shared" si="24"/>
        <v>151979</v>
      </c>
      <c r="K479" s="104"/>
      <c r="L479" s="51"/>
      <c r="M479" s="51"/>
      <c r="N479" s="24"/>
      <c r="O479" s="24">
        <f t="shared" si="25"/>
        <v>0</v>
      </c>
      <c r="P479" s="104"/>
      <c r="Q479" s="51"/>
      <c r="R479" s="51"/>
      <c r="S479" s="24"/>
      <c r="T479" s="24">
        <f t="shared" si="23"/>
        <v>0</v>
      </c>
      <c r="U479" s="15"/>
      <c r="V479" s="15"/>
      <c r="W479" s="15"/>
      <c r="X479" s="15"/>
      <c r="Y479" s="15"/>
      <c r="Z479" s="35"/>
      <c r="AA479" s="35"/>
      <c r="AB479" s="35"/>
      <c r="AC479" s="35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</row>
    <row r="480" spans="1:107" ht="9" customHeight="1">
      <c r="A480" s="15" t="s">
        <v>618</v>
      </c>
      <c r="B480" s="16" t="s">
        <v>62</v>
      </c>
      <c r="C480" s="43" t="s">
        <v>637</v>
      </c>
      <c r="D480" s="50">
        <v>221397</v>
      </c>
      <c r="E480" s="106">
        <v>7</v>
      </c>
      <c r="F480" s="104"/>
      <c r="G480" s="51">
        <v>47999</v>
      </c>
      <c r="H480" s="51">
        <v>7033</v>
      </c>
      <c r="I480" s="52">
        <v>55319</v>
      </c>
      <c r="J480" s="24">
        <f t="shared" si="24"/>
        <v>110351</v>
      </c>
      <c r="K480" s="104"/>
      <c r="L480" s="51"/>
      <c r="M480" s="51"/>
      <c r="N480" s="24"/>
      <c r="O480" s="24">
        <f t="shared" si="25"/>
        <v>0</v>
      </c>
      <c r="P480" s="104"/>
      <c r="Q480" s="51"/>
      <c r="R480" s="51"/>
      <c r="S480" s="24"/>
      <c r="T480" s="24">
        <f t="shared" si="23"/>
        <v>0</v>
      </c>
      <c r="U480" s="15"/>
      <c r="V480" s="15"/>
      <c r="W480" s="15"/>
      <c r="X480" s="15"/>
      <c r="Y480" s="15"/>
      <c r="Z480" s="35"/>
      <c r="AA480" s="35"/>
      <c r="AB480" s="35"/>
      <c r="AC480" s="35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</row>
    <row r="481" spans="1:107" ht="9" customHeight="1">
      <c r="A481" s="15" t="s">
        <v>618</v>
      </c>
      <c r="B481" s="16" t="s">
        <v>62</v>
      </c>
      <c r="C481" s="43" t="s">
        <v>638</v>
      </c>
      <c r="D481" s="50">
        <v>221485</v>
      </c>
      <c r="E481" s="106">
        <v>7</v>
      </c>
      <c r="F481" s="104"/>
      <c r="G481" s="51">
        <v>53849</v>
      </c>
      <c r="H481" s="51">
        <v>23008</v>
      </c>
      <c r="I481" s="52">
        <v>56103</v>
      </c>
      <c r="J481" s="24">
        <f t="shared" si="24"/>
        <v>132960</v>
      </c>
      <c r="K481" s="104"/>
      <c r="L481" s="51"/>
      <c r="M481" s="51"/>
      <c r="N481" s="24"/>
      <c r="O481" s="24">
        <f t="shared" si="25"/>
        <v>0</v>
      </c>
      <c r="P481" s="104"/>
      <c r="Q481" s="51"/>
      <c r="R481" s="51"/>
      <c r="S481" s="24"/>
      <c r="T481" s="24">
        <f t="shared" si="23"/>
        <v>0</v>
      </c>
      <c r="U481" s="15"/>
      <c r="V481" s="15"/>
      <c r="W481" s="15"/>
      <c r="X481" s="15"/>
      <c r="Y481" s="15"/>
      <c r="Z481" s="35"/>
      <c r="AA481" s="35"/>
      <c r="AB481" s="35"/>
      <c r="AC481" s="35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</row>
    <row r="482" spans="1:107" ht="9" customHeight="1">
      <c r="A482" s="15" t="s">
        <v>618</v>
      </c>
      <c r="B482" s="16" t="s">
        <v>62</v>
      </c>
      <c r="C482" s="43" t="s">
        <v>639</v>
      </c>
      <c r="D482" s="50">
        <v>221652</v>
      </c>
      <c r="E482" s="106">
        <v>7</v>
      </c>
      <c r="F482" s="25"/>
      <c r="G482" s="51">
        <v>65402</v>
      </c>
      <c r="H482" s="51">
        <v>29341</v>
      </c>
      <c r="I482" s="52">
        <v>73499</v>
      </c>
      <c r="J482" s="24">
        <f t="shared" si="24"/>
        <v>168242</v>
      </c>
      <c r="K482" s="104"/>
      <c r="L482" s="51"/>
      <c r="M482" s="51"/>
      <c r="N482" s="24"/>
      <c r="O482" s="24">
        <f t="shared" si="25"/>
        <v>0</v>
      </c>
      <c r="P482" s="104"/>
      <c r="Q482" s="51"/>
      <c r="R482" s="51"/>
      <c r="S482" s="24"/>
      <c r="T482" s="24">
        <f t="shared" si="23"/>
        <v>0</v>
      </c>
      <c r="U482" s="15"/>
      <c r="V482" s="15"/>
      <c r="W482" s="15"/>
      <c r="X482" s="15"/>
      <c r="Y482" s="15"/>
      <c r="Z482" s="35"/>
      <c r="AA482" s="35"/>
      <c r="AB482" s="35"/>
      <c r="AC482" s="35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</row>
    <row r="483" spans="1:107" ht="9" customHeight="1">
      <c r="A483" s="15" t="s">
        <v>618</v>
      </c>
      <c r="B483" s="16" t="s">
        <v>62</v>
      </c>
      <c r="C483" s="43" t="s">
        <v>640</v>
      </c>
      <c r="D483" s="50">
        <v>222053</v>
      </c>
      <c r="E483" s="106">
        <v>7</v>
      </c>
      <c r="F483" s="25"/>
      <c r="G483" s="51">
        <v>51200</v>
      </c>
      <c r="H483" s="51">
        <v>13683</v>
      </c>
      <c r="I483" s="52">
        <v>61935</v>
      </c>
      <c r="J483" s="24">
        <f t="shared" si="24"/>
        <v>126818</v>
      </c>
      <c r="K483" s="104"/>
      <c r="L483" s="51"/>
      <c r="M483" s="51"/>
      <c r="N483" s="24"/>
      <c r="O483" s="24">
        <f t="shared" si="25"/>
        <v>0</v>
      </c>
      <c r="P483" s="104"/>
      <c r="Q483" s="51"/>
      <c r="R483" s="51"/>
      <c r="S483" s="24"/>
      <c r="T483" s="24">
        <f t="shared" si="23"/>
        <v>0</v>
      </c>
      <c r="U483" s="15"/>
      <c r="V483" s="15"/>
      <c r="W483" s="15"/>
      <c r="X483" s="15"/>
      <c r="Y483" s="15"/>
      <c r="Z483" s="35"/>
      <c r="AA483" s="35"/>
      <c r="AB483" s="35"/>
      <c r="AC483" s="35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</row>
    <row r="484" spans="1:107" ht="9" customHeight="1">
      <c r="A484" s="15" t="s">
        <v>618</v>
      </c>
      <c r="B484" s="16" t="s">
        <v>62</v>
      </c>
      <c r="C484" s="43" t="s">
        <v>641</v>
      </c>
      <c r="D484" s="50">
        <v>222062</v>
      </c>
      <c r="E484" s="106">
        <v>7</v>
      </c>
      <c r="F484" s="104"/>
      <c r="G484" s="51">
        <v>48064</v>
      </c>
      <c r="H484" s="51">
        <v>12253</v>
      </c>
      <c r="I484" s="52">
        <v>55965</v>
      </c>
      <c r="J484" s="24">
        <f t="shared" si="24"/>
        <v>116282</v>
      </c>
      <c r="K484" s="104"/>
      <c r="L484" s="51"/>
      <c r="M484" s="51"/>
      <c r="N484" s="24"/>
      <c r="O484" s="24">
        <f t="shared" si="25"/>
        <v>0</v>
      </c>
      <c r="P484" s="104"/>
      <c r="Q484" s="51"/>
      <c r="R484" s="51"/>
      <c r="S484" s="24"/>
      <c r="T484" s="24">
        <f t="shared" si="23"/>
        <v>0</v>
      </c>
      <c r="U484" s="15"/>
      <c r="V484" s="15"/>
      <c r="W484" s="15"/>
      <c r="X484" s="15"/>
      <c r="Y484" s="15"/>
      <c r="Z484" s="35"/>
      <c r="AA484" s="35"/>
      <c r="AB484" s="35"/>
      <c r="AC484" s="35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</row>
    <row r="485" spans="1:107" ht="9" customHeight="1">
      <c r="A485" s="15" t="s">
        <v>618</v>
      </c>
      <c r="B485" s="16" t="s">
        <v>62</v>
      </c>
      <c r="C485" s="43" t="s">
        <v>642</v>
      </c>
      <c r="D485" s="50">
        <v>219596</v>
      </c>
      <c r="E485" s="106">
        <v>8</v>
      </c>
      <c r="F485" s="104"/>
      <c r="G485" s="51"/>
      <c r="H485" s="51"/>
      <c r="I485" s="52"/>
      <c r="J485" s="24">
        <f t="shared" si="24"/>
        <v>0</v>
      </c>
      <c r="K485" s="104"/>
      <c r="L485" s="51">
        <v>44727</v>
      </c>
      <c r="M485" s="51">
        <v>48029</v>
      </c>
      <c r="N485" s="24">
        <v>46831</v>
      </c>
      <c r="O485" s="24">
        <f t="shared" si="25"/>
        <v>139587</v>
      </c>
      <c r="P485" s="104"/>
      <c r="Q485" s="51"/>
      <c r="R485" s="51"/>
      <c r="S485" s="24"/>
      <c r="T485" s="24">
        <f t="shared" si="23"/>
        <v>0</v>
      </c>
      <c r="U485" s="15"/>
      <c r="V485" s="15"/>
      <c r="W485" s="15"/>
      <c r="X485" s="15"/>
      <c r="Y485" s="15"/>
      <c r="Z485" s="35"/>
      <c r="AA485" s="35"/>
      <c r="AB485" s="35"/>
      <c r="AC485" s="35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</row>
    <row r="486" spans="1:107" ht="9" customHeight="1">
      <c r="A486" s="15" t="s">
        <v>618</v>
      </c>
      <c r="B486" s="16" t="s">
        <v>62</v>
      </c>
      <c r="C486" s="43" t="s">
        <v>643</v>
      </c>
      <c r="D486" s="50"/>
      <c r="E486" s="106">
        <v>8</v>
      </c>
      <c r="F486" s="104"/>
      <c r="G486" s="51"/>
      <c r="H486" s="51"/>
      <c r="I486" s="52"/>
      <c r="J486" s="24">
        <f t="shared" si="24"/>
        <v>0</v>
      </c>
      <c r="K486" s="104"/>
      <c r="L486" s="51">
        <v>187115</v>
      </c>
      <c r="M486" s="51">
        <v>77000</v>
      </c>
      <c r="N486" s="24">
        <v>191004</v>
      </c>
      <c r="O486" s="24">
        <f t="shared" si="25"/>
        <v>455119</v>
      </c>
      <c r="P486" s="104"/>
      <c r="Q486" s="51"/>
      <c r="R486" s="51"/>
      <c r="S486" s="24"/>
      <c r="T486" s="24">
        <f t="shared" si="23"/>
        <v>0</v>
      </c>
      <c r="U486" s="15"/>
      <c r="V486" s="15"/>
      <c r="W486" s="15"/>
      <c r="X486" s="15"/>
      <c r="Y486" s="15"/>
      <c r="Z486" s="35"/>
      <c r="AA486" s="35"/>
      <c r="AB486" s="35"/>
      <c r="AC486" s="35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</row>
    <row r="487" spans="1:107" ht="9" customHeight="1">
      <c r="A487" s="15" t="s">
        <v>618</v>
      </c>
      <c r="B487" s="16" t="s">
        <v>62</v>
      </c>
      <c r="C487" s="43" t="s">
        <v>644</v>
      </c>
      <c r="D487" s="50">
        <v>219921</v>
      </c>
      <c r="E487" s="106">
        <v>8</v>
      </c>
      <c r="F487" s="104"/>
      <c r="G487" s="51"/>
      <c r="H487" s="51"/>
      <c r="I487" s="52"/>
      <c r="J487" s="24">
        <f t="shared" si="24"/>
        <v>0</v>
      </c>
      <c r="K487" s="104"/>
      <c r="L487" s="51">
        <v>22952</v>
      </c>
      <c r="M487" s="51">
        <v>17800</v>
      </c>
      <c r="N487" s="24">
        <v>20451</v>
      </c>
      <c r="O487" s="24">
        <f t="shared" si="25"/>
        <v>61203</v>
      </c>
      <c r="P487" s="104"/>
      <c r="Q487" s="51"/>
      <c r="R487" s="51"/>
      <c r="S487" s="24"/>
      <c r="T487" s="24">
        <f t="shared" si="23"/>
        <v>0</v>
      </c>
      <c r="U487" s="15"/>
      <c r="V487" s="15"/>
      <c r="W487" s="15"/>
      <c r="X487" s="15"/>
      <c r="Y487" s="15"/>
      <c r="Z487" s="35"/>
      <c r="AA487" s="35"/>
      <c r="AB487" s="35"/>
      <c r="AC487" s="35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</row>
    <row r="488" spans="1:107" ht="9" customHeight="1">
      <c r="A488" s="15" t="s">
        <v>618</v>
      </c>
      <c r="B488" s="16" t="s">
        <v>62</v>
      </c>
      <c r="C488" s="43" t="s">
        <v>645</v>
      </c>
      <c r="D488" s="50">
        <v>221591</v>
      </c>
      <c r="E488" s="106">
        <v>8</v>
      </c>
      <c r="F488" s="104"/>
      <c r="G488" s="51"/>
      <c r="H488" s="51"/>
      <c r="I488" s="52"/>
      <c r="J488" s="24">
        <f t="shared" si="24"/>
        <v>0</v>
      </c>
      <c r="K488" s="104"/>
      <c r="L488" s="51">
        <v>63438</v>
      </c>
      <c r="M488" s="51">
        <v>43477</v>
      </c>
      <c r="N488" s="24">
        <v>79389</v>
      </c>
      <c r="O488" s="24">
        <f t="shared" si="25"/>
        <v>186304</v>
      </c>
      <c r="P488" s="104"/>
      <c r="Q488" s="51"/>
      <c r="R488" s="51"/>
      <c r="S488" s="24"/>
      <c r="T488" s="24">
        <f t="shared" si="23"/>
        <v>0</v>
      </c>
      <c r="U488" s="15"/>
      <c r="V488" s="15"/>
      <c r="W488" s="15"/>
      <c r="X488" s="15"/>
      <c r="Y488" s="15"/>
      <c r="Z488" s="35"/>
      <c r="AA488" s="35"/>
      <c r="AB488" s="35"/>
      <c r="AC488" s="35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</row>
    <row r="489" spans="1:107" ht="9" customHeight="1">
      <c r="A489" s="15" t="s">
        <v>618</v>
      </c>
      <c r="B489" s="16" t="s">
        <v>62</v>
      </c>
      <c r="C489" s="43" t="s">
        <v>646</v>
      </c>
      <c r="D489" s="50">
        <v>219994</v>
      </c>
      <c r="E489" s="106">
        <v>8</v>
      </c>
      <c r="F489" s="104"/>
      <c r="G489" s="51"/>
      <c r="H489" s="51"/>
      <c r="I489" s="52"/>
      <c r="J489" s="24">
        <f t="shared" si="24"/>
        <v>0</v>
      </c>
      <c r="K489" s="104"/>
      <c r="L489" s="51">
        <v>60260</v>
      </c>
      <c r="M489" s="51">
        <v>61124</v>
      </c>
      <c r="N489" s="24">
        <v>61877</v>
      </c>
      <c r="O489" s="24">
        <f t="shared" si="25"/>
        <v>183261</v>
      </c>
      <c r="P489" s="104"/>
      <c r="Q489" s="51"/>
      <c r="R489" s="51"/>
      <c r="S489" s="24"/>
      <c r="T489" s="24">
        <f aca="true" t="shared" si="26" ref="T489:T520">SUM(P489:S489)</f>
        <v>0</v>
      </c>
      <c r="U489" s="15"/>
      <c r="V489" s="15"/>
      <c r="W489" s="15"/>
      <c r="X489" s="15"/>
      <c r="Y489" s="15"/>
      <c r="Z489" s="35"/>
      <c r="AA489" s="35"/>
      <c r="AB489" s="35"/>
      <c r="AC489" s="35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</row>
    <row r="490" spans="1:107" ht="9" customHeight="1">
      <c r="A490" s="15" t="s">
        <v>618</v>
      </c>
      <c r="B490" s="16" t="s">
        <v>62</v>
      </c>
      <c r="C490" s="43" t="s">
        <v>647</v>
      </c>
      <c r="D490" s="50">
        <v>220127</v>
      </c>
      <c r="E490" s="106">
        <v>8</v>
      </c>
      <c r="F490" s="104"/>
      <c r="G490" s="51"/>
      <c r="H490" s="51"/>
      <c r="I490" s="52"/>
      <c r="J490" s="24">
        <f t="shared" si="24"/>
        <v>0</v>
      </c>
      <c r="K490" s="104"/>
      <c r="L490" s="51">
        <v>41309</v>
      </c>
      <c r="M490" s="51">
        <v>39763</v>
      </c>
      <c r="N490" s="24">
        <v>44498</v>
      </c>
      <c r="O490" s="24">
        <f t="shared" si="25"/>
        <v>125570</v>
      </c>
      <c r="P490" s="104"/>
      <c r="Q490" s="51"/>
      <c r="R490" s="51"/>
      <c r="S490" s="24"/>
      <c r="T490" s="24">
        <f t="shared" si="26"/>
        <v>0</v>
      </c>
      <c r="U490" s="15"/>
      <c r="V490" s="15"/>
      <c r="W490" s="15"/>
      <c r="X490" s="15"/>
      <c r="Y490" s="15"/>
      <c r="Z490" s="35"/>
      <c r="AA490" s="35"/>
      <c r="AB490" s="35"/>
      <c r="AC490" s="35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</row>
    <row r="491" spans="1:107" ht="9" customHeight="1">
      <c r="A491" s="15" t="s">
        <v>618</v>
      </c>
      <c r="B491" s="16" t="s">
        <v>62</v>
      </c>
      <c r="C491" s="43" t="s">
        <v>648</v>
      </c>
      <c r="D491" s="50">
        <v>220251</v>
      </c>
      <c r="E491" s="106">
        <v>8</v>
      </c>
      <c r="F491" s="104"/>
      <c r="G491" s="51"/>
      <c r="H491" s="51"/>
      <c r="I491" s="52"/>
      <c r="J491" s="24">
        <f t="shared" si="24"/>
        <v>0</v>
      </c>
      <c r="K491" s="104"/>
      <c r="L491" s="51">
        <v>45640</v>
      </c>
      <c r="M491" s="51">
        <v>40869</v>
      </c>
      <c r="N491" s="24">
        <v>49303</v>
      </c>
      <c r="O491" s="24">
        <f t="shared" si="25"/>
        <v>135812</v>
      </c>
      <c r="P491" s="104"/>
      <c r="Q491" s="51"/>
      <c r="R491" s="51"/>
      <c r="S491" s="24"/>
      <c r="T491" s="24">
        <f t="shared" si="26"/>
        <v>0</v>
      </c>
      <c r="U491" s="15"/>
      <c r="V491" s="15"/>
      <c r="W491" s="15"/>
      <c r="X491" s="15"/>
      <c r="Y491" s="15"/>
      <c r="Z491" s="35"/>
      <c r="AA491" s="35"/>
      <c r="AB491" s="35"/>
      <c r="AC491" s="35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</row>
    <row r="492" spans="1:107" ht="9" customHeight="1">
      <c r="A492" s="15" t="s">
        <v>618</v>
      </c>
      <c r="B492" s="16" t="s">
        <v>62</v>
      </c>
      <c r="C492" s="43" t="s">
        <v>649</v>
      </c>
      <c r="D492" s="50">
        <v>220279</v>
      </c>
      <c r="E492" s="106">
        <v>8</v>
      </c>
      <c r="F492" s="104"/>
      <c r="G492" s="51"/>
      <c r="H492" s="51"/>
      <c r="I492" s="52"/>
      <c r="J492" s="24">
        <f t="shared" si="24"/>
        <v>0</v>
      </c>
      <c r="K492" s="104"/>
      <c r="L492" s="51">
        <v>22030</v>
      </c>
      <c r="M492" s="51">
        <v>23474</v>
      </c>
      <c r="N492" s="24">
        <v>26345</v>
      </c>
      <c r="O492" s="24">
        <f t="shared" si="25"/>
        <v>71849</v>
      </c>
      <c r="P492" s="104"/>
      <c r="Q492" s="51"/>
      <c r="R492" s="51"/>
      <c r="S492" s="24"/>
      <c r="T492" s="24">
        <f t="shared" si="26"/>
        <v>0</v>
      </c>
      <c r="U492" s="15"/>
      <c r="V492" s="15"/>
      <c r="W492" s="15"/>
      <c r="X492" s="15"/>
      <c r="Y492" s="15"/>
      <c r="Z492" s="35"/>
      <c r="AA492" s="35"/>
      <c r="AB492" s="35"/>
      <c r="AC492" s="35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</row>
    <row r="493" spans="1:107" ht="9" customHeight="1">
      <c r="A493" s="15" t="s">
        <v>618</v>
      </c>
      <c r="B493" s="16" t="s">
        <v>62</v>
      </c>
      <c r="C493" s="43" t="s">
        <v>650</v>
      </c>
      <c r="D493" s="50">
        <v>220321</v>
      </c>
      <c r="E493" s="106">
        <v>8</v>
      </c>
      <c r="F493" s="104"/>
      <c r="G493" s="51"/>
      <c r="H493" s="51"/>
      <c r="I493" s="52"/>
      <c r="J493" s="24">
        <f aca="true" t="shared" si="27" ref="J493:J524">SUM(F493:I493)</f>
        <v>0</v>
      </c>
      <c r="K493" s="104"/>
      <c r="L493" s="51">
        <v>43438</v>
      </c>
      <c r="M493" s="51">
        <v>47735</v>
      </c>
      <c r="N493" s="24">
        <v>61336</v>
      </c>
      <c r="O493" s="24">
        <f t="shared" si="25"/>
        <v>152509</v>
      </c>
      <c r="P493" s="104"/>
      <c r="Q493" s="51"/>
      <c r="R493" s="51"/>
      <c r="S493" s="24"/>
      <c r="T493" s="24">
        <f t="shared" si="26"/>
        <v>0</v>
      </c>
      <c r="U493" s="15"/>
      <c r="V493" s="15"/>
      <c r="W493" s="15"/>
      <c r="X493" s="15"/>
      <c r="Y493" s="15"/>
      <c r="Z493" s="35"/>
      <c r="AA493" s="35"/>
      <c r="AB493" s="35"/>
      <c r="AC493" s="35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</row>
    <row r="494" spans="1:107" ht="9" customHeight="1">
      <c r="A494" s="15" t="s">
        <v>618</v>
      </c>
      <c r="B494" s="16" t="s">
        <v>62</v>
      </c>
      <c r="C494" s="43" t="s">
        <v>651</v>
      </c>
      <c r="D494" s="50">
        <v>220394</v>
      </c>
      <c r="E494" s="106">
        <v>8</v>
      </c>
      <c r="F494" s="104"/>
      <c r="G494" s="51"/>
      <c r="H494" s="51"/>
      <c r="I494" s="52"/>
      <c r="J494" s="24">
        <f t="shared" si="27"/>
        <v>0</v>
      </c>
      <c r="K494" s="104"/>
      <c r="L494" s="51">
        <v>37845</v>
      </c>
      <c r="M494" s="51">
        <v>39531</v>
      </c>
      <c r="N494" s="24">
        <v>42182</v>
      </c>
      <c r="O494" s="24">
        <f aca="true" t="shared" si="28" ref="O494:O525">SUM(K494:N494)</f>
        <v>119558</v>
      </c>
      <c r="P494" s="104"/>
      <c r="Q494" s="51"/>
      <c r="R494" s="51"/>
      <c r="S494" s="24"/>
      <c r="T494" s="24">
        <f t="shared" si="26"/>
        <v>0</v>
      </c>
      <c r="U494" s="15"/>
      <c r="V494" s="15"/>
      <c r="W494" s="15"/>
      <c r="X494" s="15"/>
      <c r="Y494" s="15"/>
      <c r="Z494" s="35"/>
      <c r="AA494" s="35"/>
      <c r="AB494" s="35"/>
      <c r="AC494" s="35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</row>
    <row r="495" spans="1:107" ht="9" customHeight="1">
      <c r="A495" s="15" t="s">
        <v>618</v>
      </c>
      <c r="B495" s="16" t="s">
        <v>62</v>
      </c>
      <c r="C495" s="43" t="s">
        <v>652</v>
      </c>
      <c r="D495" s="50">
        <v>221616</v>
      </c>
      <c r="E495" s="106">
        <v>8</v>
      </c>
      <c r="F495" s="104"/>
      <c r="G495" s="51"/>
      <c r="H495" s="51"/>
      <c r="I495" s="52"/>
      <c r="J495" s="24">
        <f t="shared" si="27"/>
        <v>0</v>
      </c>
      <c r="K495" s="104"/>
      <c r="L495" s="51">
        <v>82895</v>
      </c>
      <c r="M495" s="51">
        <v>79570</v>
      </c>
      <c r="N495" s="24">
        <v>95644</v>
      </c>
      <c r="O495" s="24">
        <f t="shared" si="28"/>
        <v>258109</v>
      </c>
      <c r="P495" s="104"/>
      <c r="Q495" s="51"/>
      <c r="R495" s="51"/>
      <c r="S495" s="24"/>
      <c r="T495" s="24">
        <f t="shared" si="26"/>
        <v>0</v>
      </c>
      <c r="U495" s="15"/>
      <c r="V495" s="15"/>
      <c r="W495" s="15"/>
      <c r="X495" s="15"/>
      <c r="Y495" s="15"/>
      <c r="Z495" s="35"/>
      <c r="AA495" s="35"/>
      <c r="AB495" s="35"/>
      <c r="AC495" s="35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</row>
    <row r="496" spans="1:107" ht="9" customHeight="1">
      <c r="A496" s="15" t="s">
        <v>618</v>
      </c>
      <c r="B496" s="16" t="s">
        <v>62</v>
      </c>
      <c r="C496" s="43" t="s">
        <v>653</v>
      </c>
      <c r="D496" s="50">
        <v>221625</v>
      </c>
      <c r="E496" s="106">
        <v>8</v>
      </c>
      <c r="F496" s="104"/>
      <c r="G496" s="51"/>
      <c r="H496" s="51"/>
      <c r="I496" s="52"/>
      <c r="J496" s="24">
        <f t="shared" si="27"/>
        <v>0</v>
      </c>
      <c r="K496" s="104"/>
      <c r="L496" s="51">
        <v>108525</v>
      </c>
      <c r="M496" s="51">
        <v>95811</v>
      </c>
      <c r="N496" s="24">
        <v>121733</v>
      </c>
      <c r="O496" s="24">
        <f t="shared" si="28"/>
        <v>326069</v>
      </c>
      <c r="P496" s="104"/>
      <c r="Q496" s="51"/>
      <c r="R496" s="51"/>
      <c r="S496" s="24"/>
      <c r="T496" s="24">
        <f t="shared" si="26"/>
        <v>0</v>
      </c>
      <c r="U496" s="15"/>
      <c r="V496" s="15"/>
      <c r="W496" s="15"/>
      <c r="X496" s="15"/>
      <c r="Y496" s="15"/>
      <c r="Z496" s="35"/>
      <c r="AA496" s="35"/>
      <c r="AB496" s="35"/>
      <c r="AC496" s="35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</row>
    <row r="497" spans="1:107" ht="9" customHeight="1">
      <c r="A497" s="15" t="s">
        <v>618</v>
      </c>
      <c r="B497" s="16" t="s">
        <v>62</v>
      </c>
      <c r="C497" s="43" t="s">
        <v>654</v>
      </c>
      <c r="D497" s="50">
        <v>220640</v>
      </c>
      <c r="E497" s="106">
        <v>8</v>
      </c>
      <c r="F497" s="104"/>
      <c r="G497" s="51"/>
      <c r="H497" s="51"/>
      <c r="I497" s="52"/>
      <c r="J497" s="24">
        <f t="shared" si="27"/>
        <v>0</v>
      </c>
      <c r="K497" s="104"/>
      <c r="L497" s="51">
        <v>77241</v>
      </c>
      <c r="M497" s="51">
        <v>83006</v>
      </c>
      <c r="N497" s="24">
        <v>92419</v>
      </c>
      <c r="O497" s="24">
        <f t="shared" si="28"/>
        <v>252666</v>
      </c>
      <c r="P497" s="104"/>
      <c r="Q497" s="51"/>
      <c r="R497" s="51"/>
      <c r="S497" s="24"/>
      <c r="T497" s="24">
        <f t="shared" si="26"/>
        <v>0</v>
      </c>
      <c r="U497" s="15"/>
      <c r="V497" s="15"/>
      <c r="W497" s="15"/>
      <c r="X497" s="15"/>
      <c r="Y497" s="15"/>
      <c r="Z497" s="35"/>
      <c r="AA497" s="35"/>
      <c r="AB497" s="35"/>
      <c r="AC497" s="35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</row>
    <row r="498" spans="1:107" ht="9" customHeight="1">
      <c r="A498" s="15" t="s">
        <v>618</v>
      </c>
      <c r="B498" s="16" t="s">
        <v>62</v>
      </c>
      <c r="C498" s="43" t="s">
        <v>655</v>
      </c>
      <c r="D498" s="50">
        <v>220756</v>
      </c>
      <c r="E498" s="106">
        <v>8</v>
      </c>
      <c r="F498" s="104"/>
      <c r="G498" s="51"/>
      <c r="H498" s="51"/>
      <c r="I498" s="52"/>
      <c r="J498" s="24">
        <f t="shared" si="27"/>
        <v>0</v>
      </c>
      <c r="K498" s="104"/>
      <c r="L498" s="51">
        <v>33313</v>
      </c>
      <c r="M498" s="51">
        <v>33235</v>
      </c>
      <c r="N498" s="24">
        <v>39373</v>
      </c>
      <c r="O498" s="24">
        <f t="shared" si="28"/>
        <v>105921</v>
      </c>
      <c r="P498" s="104"/>
      <c r="Q498" s="23"/>
      <c r="R498" s="23"/>
      <c r="S498" s="24"/>
      <c r="T498" s="24">
        <f t="shared" si="26"/>
        <v>0</v>
      </c>
      <c r="U498" s="15"/>
      <c r="V498" s="15"/>
      <c r="W498" s="15"/>
      <c r="X498" s="15"/>
      <c r="Y498" s="15"/>
      <c r="Z498" s="35"/>
      <c r="AA498" s="35"/>
      <c r="AB498" s="35"/>
      <c r="AC498" s="35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</row>
    <row r="499" spans="1:107" ht="9" customHeight="1">
      <c r="A499" s="15" t="s">
        <v>618</v>
      </c>
      <c r="B499" s="16" t="s">
        <v>62</v>
      </c>
      <c r="C499" s="43" t="s">
        <v>656</v>
      </c>
      <c r="D499" s="50">
        <v>221607</v>
      </c>
      <c r="E499" s="106">
        <v>8</v>
      </c>
      <c r="F499" s="104"/>
      <c r="G499" s="51"/>
      <c r="H499" s="51"/>
      <c r="I499" s="52"/>
      <c r="J499" s="24">
        <f t="shared" si="27"/>
        <v>0</v>
      </c>
      <c r="K499" s="104"/>
      <c r="L499" s="51">
        <v>33647</v>
      </c>
      <c r="M499" s="51">
        <v>30832</v>
      </c>
      <c r="N499" s="24">
        <v>32353</v>
      </c>
      <c r="O499" s="24">
        <f t="shared" si="28"/>
        <v>96832</v>
      </c>
      <c r="P499" s="104"/>
      <c r="Q499" s="23"/>
      <c r="R499" s="23"/>
      <c r="S499" s="24"/>
      <c r="T499" s="24">
        <f t="shared" si="26"/>
        <v>0</v>
      </c>
      <c r="U499" s="15"/>
      <c r="V499" s="15"/>
      <c r="W499" s="15"/>
      <c r="X499" s="15"/>
      <c r="Y499" s="15"/>
      <c r="Z499" s="35"/>
      <c r="AA499" s="35"/>
      <c r="AB499" s="35"/>
      <c r="AC499" s="35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</row>
    <row r="500" spans="1:107" ht="9" customHeight="1">
      <c r="A500" s="15" t="s">
        <v>618</v>
      </c>
      <c r="B500" s="16" t="s">
        <v>62</v>
      </c>
      <c r="C500" s="43" t="s">
        <v>657</v>
      </c>
      <c r="D500" s="50">
        <v>220853</v>
      </c>
      <c r="E500" s="106">
        <v>8</v>
      </c>
      <c r="F500" s="104"/>
      <c r="G500" s="51"/>
      <c r="H500" s="51"/>
      <c r="I500" s="52"/>
      <c r="J500" s="24">
        <f t="shared" si="27"/>
        <v>0</v>
      </c>
      <c r="K500" s="104"/>
      <c r="L500" s="51">
        <v>117579</v>
      </c>
      <c r="M500" s="51">
        <v>113315</v>
      </c>
      <c r="N500" s="24">
        <v>127896</v>
      </c>
      <c r="O500" s="24">
        <f t="shared" si="28"/>
        <v>358790</v>
      </c>
      <c r="P500" s="104"/>
      <c r="Q500" s="23"/>
      <c r="R500" s="23"/>
      <c r="S500" s="24"/>
      <c r="T500" s="24">
        <f t="shared" si="26"/>
        <v>0</v>
      </c>
      <c r="U500" s="15"/>
      <c r="V500" s="15"/>
      <c r="W500" s="15"/>
      <c r="X500" s="15"/>
      <c r="Y500" s="15"/>
      <c r="Z500" s="35"/>
      <c r="AA500" s="35"/>
      <c r="AB500" s="35"/>
      <c r="AC500" s="35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</row>
    <row r="501" spans="1:107" ht="9" customHeight="1">
      <c r="A501" s="15" t="s">
        <v>618</v>
      </c>
      <c r="B501" s="16" t="s">
        <v>62</v>
      </c>
      <c r="C501" s="43" t="s">
        <v>658</v>
      </c>
      <c r="D501" s="50">
        <v>221050</v>
      </c>
      <c r="E501" s="106">
        <v>8</v>
      </c>
      <c r="F501" s="104"/>
      <c r="G501" s="51"/>
      <c r="H501" s="51"/>
      <c r="I501" s="52"/>
      <c r="J501" s="24">
        <f t="shared" si="27"/>
        <v>0</v>
      </c>
      <c r="K501" s="104"/>
      <c r="L501" s="51">
        <v>122547</v>
      </c>
      <c r="M501" s="51">
        <v>106322</v>
      </c>
      <c r="N501" s="24">
        <v>121459</v>
      </c>
      <c r="O501" s="24">
        <f t="shared" si="28"/>
        <v>350328</v>
      </c>
      <c r="P501" s="104"/>
      <c r="Q501" s="23"/>
      <c r="R501" s="23"/>
      <c r="S501" s="24"/>
      <c r="T501" s="24">
        <f t="shared" si="26"/>
        <v>0</v>
      </c>
      <c r="U501" s="15"/>
      <c r="V501" s="15"/>
      <c r="W501" s="15"/>
      <c r="X501" s="15"/>
      <c r="Y501" s="15"/>
      <c r="Z501" s="35"/>
      <c r="AA501" s="35"/>
      <c r="AB501" s="35"/>
      <c r="AC501" s="35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</row>
    <row r="502" spans="1:107" ht="9" customHeight="1">
      <c r="A502" s="15" t="s">
        <v>618</v>
      </c>
      <c r="B502" s="16" t="s">
        <v>62</v>
      </c>
      <c r="C502" s="43" t="s">
        <v>659</v>
      </c>
      <c r="D502" s="50">
        <v>221102</v>
      </c>
      <c r="E502" s="106">
        <v>8</v>
      </c>
      <c r="F502" s="104"/>
      <c r="G502" s="51"/>
      <c r="H502" s="51"/>
      <c r="I502" s="52"/>
      <c r="J502" s="24">
        <f t="shared" si="27"/>
        <v>0</v>
      </c>
      <c r="K502" s="104"/>
      <c r="L502" s="51">
        <v>35581</v>
      </c>
      <c r="M502" s="51">
        <v>26664</v>
      </c>
      <c r="N502" s="24">
        <v>43603</v>
      </c>
      <c r="O502" s="24">
        <f t="shared" si="28"/>
        <v>105848</v>
      </c>
      <c r="P502" s="104"/>
      <c r="Q502" s="23"/>
      <c r="R502" s="23"/>
      <c r="S502" s="24"/>
      <c r="T502" s="24">
        <f t="shared" si="26"/>
        <v>0</v>
      </c>
      <c r="U502" s="15"/>
      <c r="V502" s="15"/>
      <c r="W502" s="15"/>
      <c r="X502" s="15"/>
      <c r="Y502" s="15"/>
      <c r="Z502" s="35"/>
      <c r="AA502" s="35"/>
      <c r="AB502" s="35"/>
      <c r="AC502" s="35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</row>
    <row r="503" spans="1:107" ht="9" customHeight="1">
      <c r="A503" s="15" t="s">
        <v>618</v>
      </c>
      <c r="B503" s="16" t="s">
        <v>62</v>
      </c>
      <c r="C503" s="43" t="s">
        <v>660</v>
      </c>
      <c r="D503" s="50">
        <v>248925</v>
      </c>
      <c r="E503" s="106">
        <v>8</v>
      </c>
      <c r="F503" s="104"/>
      <c r="G503" s="51"/>
      <c r="H503" s="51"/>
      <c r="I503" s="52"/>
      <c r="J503" s="24">
        <f t="shared" si="27"/>
        <v>0</v>
      </c>
      <c r="K503" s="104"/>
      <c r="L503" s="51">
        <v>99564</v>
      </c>
      <c r="M503" s="51">
        <v>91177</v>
      </c>
      <c r="N503" s="24">
        <v>129487</v>
      </c>
      <c r="O503" s="24">
        <f t="shared" si="28"/>
        <v>320228</v>
      </c>
      <c r="P503" s="104"/>
      <c r="Q503" s="23"/>
      <c r="R503" s="23"/>
      <c r="S503" s="24"/>
      <c r="T503" s="24">
        <f t="shared" si="26"/>
        <v>0</v>
      </c>
      <c r="U503" s="15"/>
      <c r="V503" s="15"/>
      <c r="W503" s="15"/>
      <c r="X503" s="15"/>
      <c r="Y503" s="15"/>
      <c r="Z503" s="35"/>
      <c r="AA503" s="35"/>
      <c r="AB503" s="35"/>
      <c r="AC503" s="35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</row>
    <row r="504" spans="1:107" ht="9" customHeight="1">
      <c r="A504" s="15" t="s">
        <v>618</v>
      </c>
      <c r="B504" s="16" t="s">
        <v>62</v>
      </c>
      <c r="C504" s="43" t="s">
        <v>661</v>
      </c>
      <c r="D504" s="50">
        <v>221236</v>
      </c>
      <c r="E504" s="106">
        <v>8</v>
      </c>
      <c r="F504" s="104"/>
      <c r="G504" s="51"/>
      <c r="H504" s="51"/>
      <c r="I504" s="52"/>
      <c r="J504" s="24">
        <f t="shared" si="27"/>
        <v>0</v>
      </c>
      <c r="K504" s="104"/>
      <c r="L504" s="51">
        <v>39938</v>
      </c>
      <c r="M504" s="51">
        <v>41688</v>
      </c>
      <c r="N504" s="24">
        <v>44570</v>
      </c>
      <c r="O504" s="24">
        <f t="shared" si="28"/>
        <v>126196</v>
      </c>
      <c r="P504" s="104"/>
      <c r="Q504" s="23"/>
      <c r="R504" s="23"/>
      <c r="S504" s="24"/>
      <c r="T504" s="24">
        <f t="shared" si="26"/>
        <v>0</v>
      </c>
      <c r="U504" s="15"/>
      <c r="V504" s="15"/>
      <c r="W504" s="15"/>
      <c r="X504" s="15"/>
      <c r="Y504" s="15"/>
      <c r="Z504" s="35"/>
      <c r="AA504" s="35"/>
      <c r="AB504" s="35"/>
      <c r="AC504" s="35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</row>
    <row r="505" spans="1:107" ht="9" customHeight="1">
      <c r="A505" s="15" t="s">
        <v>618</v>
      </c>
      <c r="B505" s="16" t="s">
        <v>62</v>
      </c>
      <c r="C505" s="43" t="s">
        <v>662</v>
      </c>
      <c r="D505" s="50">
        <v>221582</v>
      </c>
      <c r="E505" s="106">
        <v>8</v>
      </c>
      <c r="F505" s="104"/>
      <c r="G505" s="51"/>
      <c r="H505" s="51"/>
      <c r="I505" s="52"/>
      <c r="J505" s="24">
        <f t="shared" si="27"/>
        <v>0</v>
      </c>
      <c r="K505" s="104"/>
      <c r="L505" s="51">
        <v>32737</v>
      </c>
      <c r="M505" s="51">
        <v>26905</v>
      </c>
      <c r="N505" s="24">
        <v>36256</v>
      </c>
      <c r="O505" s="24">
        <f t="shared" si="28"/>
        <v>95898</v>
      </c>
      <c r="P505" s="104"/>
      <c r="Q505" s="23"/>
      <c r="R505" s="23"/>
      <c r="S505" s="24"/>
      <c r="T505" s="24">
        <f t="shared" si="26"/>
        <v>0</v>
      </c>
      <c r="U505" s="15"/>
      <c r="V505" s="15"/>
      <c r="W505" s="15"/>
      <c r="X505" s="15"/>
      <c r="Y505" s="15"/>
      <c r="Z505" s="35"/>
      <c r="AA505" s="35"/>
      <c r="AB505" s="35"/>
      <c r="AC505" s="35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</row>
    <row r="506" spans="1:107" ht="9" customHeight="1">
      <c r="A506" s="15" t="s">
        <v>618</v>
      </c>
      <c r="B506" s="16" t="s">
        <v>62</v>
      </c>
      <c r="C506" s="43" t="s">
        <v>663</v>
      </c>
      <c r="D506" s="50">
        <v>221281</v>
      </c>
      <c r="E506" s="106">
        <v>8</v>
      </c>
      <c r="F506" s="25"/>
      <c r="G506" s="51"/>
      <c r="H506" s="51"/>
      <c r="I506" s="52"/>
      <c r="J506" s="24">
        <f t="shared" si="27"/>
        <v>0</v>
      </c>
      <c r="K506" s="104"/>
      <c r="L506" s="51">
        <v>52074</v>
      </c>
      <c r="M506" s="51">
        <v>43503</v>
      </c>
      <c r="N506" s="24">
        <v>55236</v>
      </c>
      <c r="O506" s="24">
        <f t="shared" si="28"/>
        <v>150813</v>
      </c>
      <c r="P506" s="104"/>
      <c r="Q506" s="23"/>
      <c r="R506" s="23"/>
      <c r="S506" s="24"/>
      <c r="T506" s="24">
        <f t="shared" si="26"/>
        <v>0</v>
      </c>
      <c r="U506" s="15"/>
      <c r="V506" s="15"/>
      <c r="W506" s="15"/>
      <c r="X506" s="15"/>
      <c r="Y506" s="15"/>
      <c r="Z506" s="35"/>
      <c r="AA506" s="35"/>
      <c r="AB506" s="35"/>
      <c r="AC506" s="35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</row>
    <row r="507" spans="1:107" ht="9" customHeight="1">
      <c r="A507" s="15" t="s">
        <v>618</v>
      </c>
      <c r="B507" s="16" t="s">
        <v>62</v>
      </c>
      <c r="C507" s="43" t="s">
        <v>664</v>
      </c>
      <c r="D507" s="50">
        <v>221333</v>
      </c>
      <c r="E507" s="106">
        <v>8</v>
      </c>
      <c r="F507" s="25"/>
      <c r="G507" s="51"/>
      <c r="H507" s="51"/>
      <c r="I507" s="52"/>
      <c r="J507" s="24">
        <f t="shared" si="27"/>
        <v>0</v>
      </c>
      <c r="K507" s="104"/>
      <c r="L507" s="51">
        <v>42486</v>
      </c>
      <c r="M507" s="51">
        <v>39952</v>
      </c>
      <c r="N507" s="24">
        <v>49842</v>
      </c>
      <c r="O507" s="24">
        <f t="shared" si="28"/>
        <v>132280</v>
      </c>
      <c r="P507" s="104"/>
      <c r="Q507" s="23"/>
      <c r="R507" s="23"/>
      <c r="S507" s="24"/>
      <c r="T507" s="24">
        <f t="shared" si="26"/>
        <v>0</v>
      </c>
      <c r="U507" s="15"/>
      <c r="V507" s="15"/>
      <c r="W507" s="15"/>
      <c r="X507" s="15"/>
      <c r="Y507" s="15"/>
      <c r="Z507" s="35"/>
      <c r="AA507" s="35"/>
      <c r="AB507" s="35"/>
      <c r="AC507" s="35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</row>
    <row r="508" spans="1:107" ht="9" customHeight="1">
      <c r="A508" s="15" t="s">
        <v>618</v>
      </c>
      <c r="B508" s="16" t="s">
        <v>62</v>
      </c>
      <c r="C508" s="43" t="s">
        <v>665</v>
      </c>
      <c r="D508" s="50">
        <v>221388</v>
      </c>
      <c r="E508" s="106">
        <v>8</v>
      </c>
      <c r="F508" s="25"/>
      <c r="G508" s="51"/>
      <c r="H508" s="51"/>
      <c r="I508" s="52"/>
      <c r="J508" s="24">
        <f t="shared" si="27"/>
        <v>0</v>
      </c>
      <c r="K508" s="104"/>
      <c r="L508" s="51">
        <v>18896</v>
      </c>
      <c r="M508" s="51">
        <v>13277</v>
      </c>
      <c r="N508" s="24">
        <v>13270</v>
      </c>
      <c r="O508" s="24">
        <f t="shared" si="28"/>
        <v>45443</v>
      </c>
      <c r="P508" s="104"/>
      <c r="Q508" s="23"/>
      <c r="R508" s="23"/>
      <c r="S508" s="24"/>
      <c r="T508" s="24">
        <f t="shared" si="26"/>
        <v>0</v>
      </c>
      <c r="U508" s="15"/>
      <c r="V508" s="15"/>
      <c r="W508" s="15"/>
      <c r="X508" s="15"/>
      <c r="Y508" s="15"/>
      <c r="Z508" s="35"/>
      <c r="AA508" s="35"/>
      <c r="AB508" s="35"/>
      <c r="AC508" s="35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</row>
    <row r="509" spans="1:107" ht="9" customHeight="1">
      <c r="A509" s="15" t="s">
        <v>618</v>
      </c>
      <c r="B509" s="16" t="s">
        <v>62</v>
      </c>
      <c r="C509" s="43" t="s">
        <v>666</v>
      </c>
      <c r="D509" s="50" t="s">
        <v>667</v>
      </c>
      <c r="E509" s="106">
        <v>8</v>
      </c>
      <c r="F509" s="25"/>
      <c r="G509" s="51"/>
      <c r="H509" s="51"/>
      <c r="I509" s="52"/>
      <c r="J509" s="24">
        <f t="shared" si="27"/>
        <v>0</v>
      </c>
      <c r="K509" s="104"/>
      <c r="L509" s="51">
        <v>41148</v>
      </c>
      <c r="M509" s="51">
        <v>39771</v>
      </c>
      <c r="N509" s="24">
        <v>49083</v>
      </c>
      <c r="O509" s="24">
        <f t="shared" si="28"/>
        <v>130002</v>
      </c>
      <c r="P509" s="104"/>
      <c r="Q509" s="23"/>
      <c r="R509" s="23"/>
      <c r="S509" s="24"/>
      <c r="T509" s="24">
        <f t="shared" si="26"/>
        <v>0</v>
      </c>
      <c r="U509" s="15"/>
      <c r="V509" s="15"/>
      <c r="W509" s="15"/>
      <c r="X509" s="15"/>
      <c r="Y509" s="15"/>
      <c r="Z509" s="35"/>
      <c r="AA509" s="35"/>
      <c r="AB509" s="35"/>
      <c r="AC509" s="35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</row>
    <row r="510" spans="1:107" ht="12.75">
      <c r="A510" s="15" t="s">
        <v>618</v>
      </c>
      <c r="B510" s="16" t="s">
        <v>62</v>
      </c>
      <c r="C510" s="43" t="s">
        <v>668</v>
      </c>
      <c r="D510" s="50">
        <v>221494</v>
      </c>
      <c r="E510" s="106">
        <v>8</v>
      </c>
      <c r="F510" s="25"/>
      <c r="G510" s="51"/>
      <c r="H510" s="51"/>
      <c r="I510" s="52"/>
      <c r="J510" s="24">
        <f t="shared" si="27"/>
        <v>0</v>
      </c>
      <c r="K510" s="104"/>
      <c r="L510" s="51">
        <v>69642</v>
      </c>
      <c r="M510" s="51">
        <v>58458</v>
      </c>
      <c r="N510" s="24">
        <v>85786</v>
      </c>
      <c r="O510" s="24">
        <f t="shared" si="28"/>
        <v>213886</v>
      </c>
      <c r="P510" s="104"/>
      <c r="Q510" s="23"/>
      <c r="R510" s="23"/>
      <c r="S510" s="24"/>
      <c r="T510" s="24">
        <f t="shared" si="26"/>
        <v>0</v>
      </c>
      <c r="U510" s="15"/>
      <c r="V510" s="15"/>
      <c r="W510" s="15"/>
      <c r="X510" s="15"/>
      <c r="Y510" s="15"/>
      <c r="Z510" s="35"/>
      <c r="AA510" s="35"/>
      <c r="AB510" s="35"/>
      <c r="AC510" s="35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</row>
    <row r="511" spans="1:107" ht="12.75">
      <c r="A511" s="15" t="s">
        <v>618</v>
      </c>
      <c r="B511" s="16" t="s">
        <v>62</v>
      </c>
      <c r="C511" s="43" t="s">
        <v>669</v>
      </c>
      <c r="D511" s="50">
        <v>221634</v>
      </c>
      <c r="E511" s="106">
        <v>8</v>
      </c>
      <c r="F511" s="25"/>
      <c r="G511" s="51"/>
      <c r="H511" s="51"/>
      <c r="I511" s="52"/>
      <c r="J511" s="24">
        <f t="shared" si="27"/>
        <v>0</v>
      </c>
      <c r="K511" s="104"/>
      <c r="L511" s="51">
        <v>28117</v>
      </c>
      <c r="M511" s="51">
        <v>28840</v>
      </c>
      <c r="N511" s="24">
        <v>43835</v>
      </c>
      <c r="O511" s="24">
        <f t="shared" si="28"/>
        <v>100792</v>
      </c>
      <c r="P511" s="104"/>
      <c r="Q511" s="23"/>
      <c r="R511" s="23"/>
      <c r="S511" s="24"/>
      <c r="T511" s="24">
        <f t="shared" si="26"/>
        <v>0</v>
      </c>
      <c r="U511" s="15"/>
      <c r="V511" s="15"/>
      <c r="W511" s="15"/>
      <c r="X511" s="15"/>
      <c r="Y511" s="15"/>
      <c r="Z511" s="35"/>
      <c r="AA511" s="35"/>
      <c r="AB511" s="35"/>
      <c r="AC511" s="35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</row>
    <row r="512" spans="1:107" ht="12.75">
      <c r="A512" s="15" t="s">
        <v>618</v>
      </c>
      <c r="B512" s="16" t="s">
        <v>62</v>
      </c>
      <c r="C512" s="43" t="s">
        <v>670</v>
      </c>
      <c r="D512" s="50">
        <v>221704</v>
      </c>
      <c r="E512" s="106">
        <v>9</v>
      </c>
      <c r="F512" s="104"/>
      <c r="G512" s="51"/>
      <c r="H512" s="51"/>
      <c r="I512" s="52"/>
      <c r="J512" s="24">
        <f t="shared" si="27"/>
        <v>0</v>
      </c>
      <c r="K512" s="104"/>
      <c r="L512" s="51"/>
      <c r="M512" s="51"/>
      <c r="N512" s="24"/>
      <c r="O512" s="24">
        <f t="shared" si="28"/>
        <v>0</v>
      </c>
      <c r="P512" s="104"/>
      <c r="Q512" s="23"/>
      <c r="R512" s="23"/>
      <c r="S512" s="24"/>
      <c r="T512" s="24">
        <f t="shared" si="26"/>
        <v>0</v>
      </c>
      <c r="U512" s="15"/>
      <c r="V512" s="15"/>
      <c r="W512" s="15"/>
      <c r="X512" s="15"/>
      <c r="Y512" s="15"/>
      <c r="Z512" s="35"/>
      <c r="AA512" s="35"/>
      <c r="AB512" s="35"/>
      <c r="AC512" s="35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</row>
    <row r="513" spans="1:107" ht="12.75">
      <c r="A513" s="15" t="s">
        <v>618</v>
      </c>
      <c r="B513" s="16" t="s">
        <v>62</v>
      </c>
      <c r="C513" s="43" t="s">
        <v>671</v>
      </c>
      <c r="D513" s="50">
        <v>221704</v>
      </c>
      <c r="E513" s="106">
        <v>9</v>
      </c>
      <c r="F513" s="104"/>
      <c r="G513" s="51">
        <f>36</f>
        <v>36</v>
      </c>
      <c r="H513" s="51">
        <v>33</v>
      </c>
      <c r="I513" s="52">
        <v>0</v>
      </c>
      <c r="J513" s="24">
        <f t="shared" si="27"/>
        <v>69</v>
      </c>
      <c r="K513" s="104"/>
      <c r="L513" s="51"/>
      <c r="M513" s="51"/>
      <c r="N513" s="24"/>
      <c r="O513" s="24">
        <f t="shared" si="28"/>
        <v>0</v>
      </c>
      <c r="P513" s="104"/>
      <c r="Q513" s="23">
        <v>1268</v>
      </c>
      <c r="R513" s="23">
        <v>743</v>
      </c>
      <c r="S513" s="24">
        <v>1107</v>
      </c>
      <c r="T513" s="24">
        <f t="shared" si="26"/>
        <v>3118</v>
      </c>
      <c r="U513" s="15"/>
      <c r="V513" s="15"/>
      <c r="W513" s="15"/>
      <c r="X513" s="15"/>
      <c r="Y513" s="15"/>
      <c r="Z513" s="35"/>
      <c r="AA513" s="35"/>
      <c r="AB513" s="35"/>
      <c r="AC513" s="35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</row>
    <row r="514" spans="1:107" ht="12.75">
      <c r="A514" s="15" t="s">
        <v>618</v>
      </c>
      <c r="B514" s="16" t="s">
        <v>62</v>
      </c>
      <c r="C514" s="43" t="s">
        <v>672</v>
      </c>
      <c r="D514" s="50">
        <v>221704</v>
      </c>
      <c r="E514" s="106">
        <v>9</v>
      </c>
      <c r="F514" s="25"/>
      <c r="G514" s="51"/>
      <c r="H514" s="51"/>
      <c r="I514" s="52"/>
      <c r="J514" s="52"/>
      <c r="K514" s="104"/>
      <c r="L514" s="51"/>
      <c r="M514" s="51"/>
      <c r="N514" s="52"/>
      <c r="O514" s="107"/>
      <c r="P514" s="104"/>
      <c r="Q514" s="23"/>
      <c r="R514" s="23"/>
      <c r="S514" s="24"/>
      <c r="T514" s="107"/>
      <c r="U514" s="15"/>
      <c r="V514" s="15"/>
      <c r="W514" s="15"/>
      <c r="X514" s="15"/>
      <c r="Y514" s="15"/>
      <c r="Z514" s="35"/>
      <c r="AA514" s="35"/>
      <c r="AB514" s="35"/>
      <c r="AC514" s="35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108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</row>
    <row r="515" spans="1:107" ht="12.75">
      <c r="A515" s="15" t="s">
        <v>673</v>
      </c>
      <c r="B515" s="16" t="s">
        <v>62</v>
      </c>
      <c r="C515" s="15" t="s">
        <v>674</v>
      </c>
      <c r="D515" s="21" t="s">
        <v>675</v>
      </c>
      <c r="E515" s="22" t="s">
        <v>199</v>
      </c>
      <c r="F515" s="15"/>
      <c r="G515" s="15">
        <f>418655+8575</f>
        <v>427230</v>
      </c>
      <c r="H515" s="15">
        <f>99637+2376</f>
        <v>102013</v>
      </c>
      <c r="I515" s="24">
        <f>446392+9227</f>
        <v>455619</v>
      </c>
      <c r="J515" s="24">
        <f aca="true" t="shared" si="29" ref="J515:J546">SUM(F515:I515)</f>
        <v>984862</v>
      </c>
      <c r="K515" s="25"/>
      <c r="L515" s="23"/>
      <c r="M515" s="23"/>
      <c r="N515" s="24"/>
      <c r="O515" s="26"/>
      <c r="P515" s="25"/>
      <c r="Q515" s="15">
        <f>45837+1560</f>
        <v>47397</v>
      </c>
      <c r="R515" s="15">
        <f>22425+903</f>
        <v>23328</v>
      </c>
      <c r="S515" s="24">
        <f>49430+2343</f>
        <v>51773</v>
      </c>
      <c r="T515" s="26">
        <f aca="true" t="shared" si="30" ref="T515:T549">SUM(P515:S515)</f>
        <v>122498</v>
      </c>
      <c r="U515" s="15"/>
      <c r="V515" s="15"/>
      <c r="W515" s="15"/>
      <c r="X515" s="15"/>
      <c r="Y515" s="15"/>
      <c r="Z515" s="35"/>
      <c r="AA515" s="35"/>
      <c r="AB515" s="35"/>
      <c r="AC515" s="35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</row>
    <row r="516" spans="1:107" ht="12.75">
      <c r="A516" s="15" t="s">
        <v>673</v>
      </c>
      <c r="B516" s="16" t="s">
        <v>62</v>
      </c>
      <c r="C516" s="15" t="s">
        <v>676</v>
      </c>
      <c r="D516" s="21" t="s">
        <v>677</v>
      </c>
      <c r="E516" s="22" t="s">
        <v>199</v>
      </c>
      <c r="F516" s="15"/>
      <c r="G516" s="15">
        <f>245572+7874</f>
        <v>253446</v>
      </c>
      <c r="H516" s="15">
        <f>57151+1062</f>
        <v>58213</v>
      </c>
      <c r="I516" s="24">
        <v>274386</v>
      </c>
      <c r="J516" s="24">
        <f t="shared" si="29"/>
        <v>586045</v>
      </c>
      <c r="K516" s="25"/>
      <c r="L516" s="23"/>
      <c r="M516" s="23"/>
      <c r="N516" s="24"/>
      <c r="O516" s="26"/>
      <c r="P516" s="25"/>
      <c r="Q516" s="15">
        <v>26216</v>
      </c>
      <c r="R516" s="15">
        <v>16145</v>
      </c>
      <c r="S516" s="24">
        <v>36026</v>
      </c>
      <c r="T516" s="26">
        <f t="shared" si="30"/>
        <v>78387</v>
      </c>
      <c r="U516" s="15"/>
      <c r="V516" s="15"/>
      <c r="W516" s="15"/>
      <c r="X516" s="15"/>
      <c r="Y516" s="15"/>
      <c r="Z516" s="35"/>
      <c r="AA516" s="35"/>
      <c r="AB516" s="35"/>
      <c r="AC516" s="35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</row>
    <row r="517" spans="1:107" ht="12.75">
      <c r="A517" s="15" t="s">
        <v>673</v>
      </c>
      <c r="B517" s="16" t="s">
        <v>62</v>
      </c>
      <c r="C517" s="15" t="s">
        <v>678</v>
      </c>
      <c r="D517" s="21" t="s">
        <v>679</v>
      </c>
      <c r="E517" s="22" t="s">
        <v>199</v>
      </c>
      <c r="F517" s="15"/>
      <c r="G517" s="15">
        <f>246246+19899</f>
        <v>266145</v>
      </c>
      <c r="H517" s="15">
        <f>64739+5169</f>
        <v>69908</v>
      </c>
      <c r="I517" s="24">
        <v>266262</v>
      </c>
      <c r="J517" s="24">
        <f t="shared" si="29"/>
        <v>602315</v>
      </c>
      <c r="K517" s="25"/>
      <c r="L517" s="23"/>
      <c r="M517" s="23"/>
      <c r="N517" s="24"/>
      <c r="O517" s="26"/>
      <c r="P517" s="25"/>
      <c r="Q517" s="15">
        <v>42981</v>
      </c>
      <c r="R517" s="15">
        <v>19541</v>
      </c>
      <c r="S517" s="24">
        <v>65764</v>
      </c>
      <c r="T517" s="26">
        <f t="shared" si="30"/>
        <v>128286</v>
      </c>
      <c r="U517" s="15"/>
      <c r="V517" s="15"/>
      <c r="W517" s="15"/>
      <c r="X517" s="15"/>
      <c r="Y517" s="15"/>
      <c r="Z517" s="35"/>
      <c r="AA517" s="35"/>
      <c r="AB517" s="35"/>
      <c r="AC517" s="35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</row>
    <row r="518" spans="1:107" ht="12.75">
      <c r="A518" s="15" t="s">
        <v>673</v>
      </c>
      <c r="B518" s="16" t="s">
        <v>62</v>
      </c>
      <c r="C518" s="15" t="s">
        <v>680</v>
      </c>
      <c r="D518" s="21" t="s">
        <v>681</v>
      </c>
      <c r="E518" s="22" t="s">
        <v>199</v>
      </c>
      <c r="F518" s="15"/>
      <c r="G518" s="15">
        <v>220087</v>
      </c>
      <c r="H518" s="15">
        <v>70023</v>
      </c>
      <c r="I518" s="24">
        <v>237811</v>
      </c>
      <c r="J518" s="24">
        <f t="shared" si="29"/>
        <v>527921</v>
      </c>
      <c r="K518" s="25"/>
      <c r="L518" s="23"/>
      <c r="M518" s="23"/>
      <c r="N518" s="24"/>
      <c r="O518" s="26"/>
      <c r="P518" s="25"/>
      <c r="Q518" s="15">
        <v>32139</v>
      </c>
      <c r="R518" s="15">
        <v>20388</v>
      </c>
      <c r="S518" s="24">
        <v>31614</v>
      </c>
      <c r="T518" s="26">
        <f t="shared" si="30"/>
        <v>84141</v>
      </c>
      <c r="U518" s="15"/>
      <c r="V518" s="15"/>
      <c r="W518" s="15"/>
      <c r="X518" s="15"/>
      <c r="Y518" s="15"/>
      <c r="Z518" s="35"/>
      <c r="AA518" s="35"/>
      <c r="AB518" s="35"/>
      <c r="AC518" s="35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</row>
    <row r="519" spans="1:107" ht="12.75">
      <c r="A519" s="15" t="s">
        <v>673</v>
      </c>
      <c r="B519" s="16" t="s">
        <v>62</v>
      </c>
      <c r="C519" s="15" t="s">
        <v>682</v>
      </c>
      <c r="D519" s="21" t="s">
        <v>683</v>
      </c>
      <c r="E519" s="22" t="s">
        <v>199</v>
      </c>
      <c r="F519" s="15"/>
      <c r="G519" s="15">
        <f>420094+20751</f>
        <v>440845</v>
      </c>
      <c r="H519" s="15">
        <f>88340+3060</f>
        <v>91400</v>
      </c>
      <c r="I519" s="24">
        <v>456820</v>
      </c>
      <c r="J519" s="24">
        <f t="shared" si="29"/>
        <v>989065</v>
      </c>
      <c r="K519" s="25"/>
      <c r="L519" s="23"/>
      <c r="M519" s="23"/>
      <c r="N519" s="24"/>
      <c r="O519" s="26"/>
      <c r="P519" s="25"/>
      <c r="Q519" s="15">
        <v>89955</v>
      </c>
      <c r="R519" s="15">
        <v>26610</v>
      </c>
      <c r="S519" s="24">
        <v>114531</v>
      </c>
      <c r="T519" s="26">
        <f t="shared" si="30"/>
        <v>231096</v>
      </c>
      <c r="U519" s="15"/>
      <c r="V519" s="15"/>
      <c r="W519" s="15"/>
      <c r="X519" s="15"/>
      <c r="Y519" s="15"/>
      <c r="Z519" s="35"/>
      <c r="AA519" s="35"/>
      <c r="AB519" s="35"/>
      <c r="AC519" s="35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</row>
    <row r="520" spans="1:107" ht="12.75">
      <c r="A520" s="15" t="s">
        <v>673</v>
      </c>
      <c r="B520" s="16" t="s">
        <v>62</v>
      </c>
      <c r="C520" s="41" t="s">
        <v>684</v>
      </c>
      <c r="D520" s="57" t="s">
        <v>685</v>
      </c>
      <c r="E520" s="56" t="s">
        <v>204</v>
      </c>
      <c r="F520" s="15"/>
      <c r="G520" s="15">
        <v>63762</v>
      </c>
      <c r="H520" s="15">
        <v>21624</v>
      </c>
      <c r="I520" s="24">
        <v>67731</v>
      </c>
      <c r="J520" s="24">
        <f t="shared" si="29"/>
        <v>153117</v>
      </c>
      <c r="K520" s="25"/>
      <c r="L520" s="23"/>
      <c r="M520" s="23"/>
      <c r="N520" s="24"/>
      <c r="O520" s="26"/>
      <c r="P520" s="25"/>
      <c r="Q520" s="15">
        <v>23395</v>
      </c>
      <c r="R520" s="15">
        <v>19143</v>
      </c>
      <c r="S520" s="24">
        <v>23269</v>
      </c>
      <c r="T520" s="26">
        <f t="shared" si="30"/>
        <v>65807</v>
      </c>
      <c r="U520" s="15"/>
      <c r="V520" s="15"/>
      <c r="W520" s="15"/>
      <c r="X520" s="15"/>
      <c r="Y520" s="15"/>
      <c r="Z520" s="35"/>
      <c r="AA520" s="35"/>
      <c r="AB520" s="35"/>
      <c r="AC520" s="35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109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</row>
    <row r="521" spans="1:107" ht="12.75">
      <c r="A521" s="15" t="s">
        <v>673</v>
      </c>
      <c r="B521" s="16" t="s">
        <v>62</v>
      </c>
      <c r="C521" s="15" t="s">
        <v>686</v>
      </c>
      <c r="D521" s="21" t="s">
        <v>687</v>
      </c>
      <c r="E521" s="22" t="s">
        <v>204</v>
      </c>
      <c r="F521" s="15"/>
      <c r="G521" s="15">
        <v>170515</v>
      </c>
      <c r="H521" s="15">
        <v>54108</v>
      </c>
      <c r="I521" s="24">
        <v>176381</v>
      </c>
      <c r="J521" s="24">
        <f t="shared" si="29"/>
        <v>401004</v>
      </c>
      <c r="K521" s="25"/>
      <c r="L521" s="23"/>
      <c r="M521" s="23"/>
      <c r="N521" s="24"/>
      <c r="O521" s="26"/>
      <c r="P521" s="25"/>
      <c r="Q521" s="15">
        <v>28823</v>
      </c>
      <c r="R521" s="15">
        <v>15593</v>
      </c>
      <c r="S521" s="24">
        <v>29335</v>
      </c>
      <c r="T521" s="26">
        <f t="shared" si="30"/>
        <v>73751</v>
      </c>
      <c r="U521" s="15"/>
      <c r="V521" s="15"/>
      <c r="W521" s="15"/>
      <c r="X521" s="15"/>
      <c r="Y521" s="15"/>
      <c r="Z521" s="35"/>
      <c r="AA521" s="35"/>
      <c r="AB521" s="35"/>
      <c r="AC521" s="35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</row>
    <row r="522" spans="1:107" ht="12.75">
      <c r="A522" s="15" t="s">
        <v>673</v>
      </c>
      <c r="B522" s="16" t="s">
        <v>62</v>
      </c>
      <c r="C522" s="15" t="s">
        <v>688</v>
      </c>
      <c r="D522" s="21" t="s">
        <v>689</v>
      </c>
      <c r="E522" s="22" t="s">
        <v>204</v>
      </c>
      <c r="F522" s="15"/>
      <c r="G522" s="15">
        <v>50951</v>
      </c>
      <c r="H522" s="15">
        <v>18583</v>
      </c>
      <c r="I522" s="24">
        <v>59295</v>
      </c>
      <c r="J522" s="24">
        <f t="shared" si="29"/>
        <v>128829</v>
      </c>
      <c r="K522" s="25"/>
      <c r="L522" s="23"/>
      <c r="M522" s="23"/>
      <c r="N522" s="24"/>
      <c r="O522" s="26"/>
      <c r="P522" s="25"/>
      <c r="Q522" s="15">
        <v>20385</v>
      </c>
      <c r="R522" s="15">
        <v>12810</v>
      </c>
      <c r="S522" s="24">
        <v>23040</v>
      </c>
      <c r="T522" s="26">
        <f t="shared" si="30"/>
        <v>56235</v>
      </c>
      <c r="U522" s="15"/>
      <c r="V522" s="15"/>
      <c r="W522" s="15"/>
      <c r="X522" s="15"/>
      <c r="Y522" s="15"/>
      <c r="Z522" s="35"/>
      <c r="AA522" s="35"/>
      <c r="AB522" s="35"/>
      <c r="AC522" s="35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</row>
    <row r="523" spans="1:107" ht="12.75">
      <c r="A523" s="15" t="s">
        <v>673</v>
      </c>
      <c r="B523" s="16" t="s">
        <v>62</v>
      </c>
      <c r="C523" s="15" t="s">
        <v>690</v>
      </c>
      <c r="D523" s="21" t="s">
        <v>691</v>
      </c>
      <c r="E523" s="22" t="s">
        <v>207</v>
      </c>
      <c r="F523" s="15"/>
      <c r="G523" s="15">
        <v>75235</v>
      </c>
      <c r="H523" s="15">
        <v>28629</v>
      </c>
      <c r="I523" s="24">
        <v>84780</v>
      </c>
      <c r="J523" s="24">
        <f t="shared" si="29"/>
        <v>188644</v>
      </c>
      <c r="K523" s="25"/>
      <c r="L523" s="23"/>
      <c r="M523" s="23"/>
      <c r="N523" s="24"/>
      <c r="O523" s="26"/>
      <c r="P523" s="25"/>
      <c r="Q523" s="15">
        <v>4738</v>
      </c>
      <c r="R523" s="15">
        <v>3140</v>
      </c>
      <c r="S523" s="24">
        <v>5440</v>
      </c>
      <c r="T523" s="26">
        <f t="shared" si="30"/>
        <v>13318</v>
      </c>
      <c r="U523" s="15"/>
      <c r="V523" s="15"/>
      <c r="W523" s="15"/>
      <c r="X523" s="15"/>
      <c r="Y523" s="15"/>
      <c r="Z523" s="35"/>
      <c r="AA523" s="35"/>
      <c r="AB523" s="35"/>
      <c r="AC523" s="35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</row>
    <row r="524" spans="1:107" ht="12.75">
      <c r="A524" s="15" t="s">
        <v>673</v>
      </c>
      <c r="B524" s="16" t="s">
        <v>62</v>
      </c>
      <c r="C524" s="15" t="s">
        <v>692</v>
      </c>
      <c r="D524" s="21" t="s">
        <v>693</v>
      </c>
      <c r="E524" s="22" t="s">
        <v>207</v>
      </c>
      <c r="F524" s="15"/>
      <c r="G524" s="15">
        <v>60639</v>
      </c>
      <c r="H524" s="15">
        <v>13920</v>
      </c>
      <c r="I524" s="24">
        <v>68918</v>
      </c>
      <c r="J524" s="24">
        <f t="shared" si="29"/>
        <v>143477</v>
      </c>
      <c r="K524" s="25"/>
      <c r="L524" s="23"/>
      <c r="M524" s="23"/>
      <c r="N524" s="24"/>
      <c r="O524" s="26"/>
      <c r="P524" s="25"/>
      <c r="Q524" s="15">
        <v>7797</v>
      </c>
      <c r="R524" s="15">
        <v>5666</v>
      </c>
      <c r="S524" s="24">
        <v>7923</v>
      </c>
      <c r="T524" s="26">
        <f t="shared" si="30"/>
        <v>21386</v>
      </c>
      <c r="U524" s="15"/>
      <c r="V524" s="15"/>
      <c r="W524" s="15"/>
      <c r="X524" s="15"/>
      <c r="Y524" s="15"/>
      <c r="Z524" s="35"/>
      <c r="AA524" s="35"/>
      <c r="AB524" s="35"/>
      <c r="AC524" s="35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</row>
    <row r="525" spans="1:107" ht="12.75">
      <c r="A525" s="15" t="s">
        <v>673</v>
      </c>
      <c r="B525" s="16" t="s">
        <v>62</v>
      </c>
      <c r="C525" s="15" t="s">
        <v>694</v>
      </c>
      <c r="D525" s="21" t="s">
        <v>695</v>
      </c>
      <c r="E525" s="22" t="s">
        <v>207</v>
      </c>
      <c r="F525" s="15"/>
      <c r="G525" s="15">
        <v>130810</v>
      </c>
      <c r="H525" s="15">
        <v>36624</v>
      </c>
      <c r="I525" s="24">
        <v>145091</v>
      </c>
      <c r="J525" s="24">
        <f t="shared" si="29"/>
        <v>312525</v>
      </c>
      <c r="K525" s="25"/>
      <c r="L525" s="23"/>
      <c r="M525" s="23"/>
      <c r="N525" s="24"/>
      <c r="O525" s="26"/>
      <c r="P525" s="25"/>
      <c r="Q525" s="15">
        <v>6967</v>
      </c>
      <c r="R525" s="15">
        <v>5908</v>
      </c>
      <c r="S525" s="24">
        <v>6412</v>
      </c>
      <c r="T525" s="26">
        <f t="shared" si="30"/>
        <v>19287</v>
      </c>
      <c r="U525" s="15"/>
      <c r="V525" s="15"/>
      <c r="W525" s="15"/>
      <c r="X525" s="15"/>
      <c r="Y525" s="15"/>
      <c r="Z525" s="35"/>
      <c r="AA525" s="35"/>
      <c r="AB525" s="35"/>
      <c r="AC525" s="35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</row>
    <row r="526" spans="1:107" ht="12.75">
      <c r="A526" s="15" t="s">
        <v>673</v>
      </c>
      <c r="B526" s="16" t="s">
        <v>62</v>
      </c>
      <c r="C526" s="15" t="s">
        <v>696</v>
      </c>
      <c r="D526" s="21" t="s">
        <v>697</v>
      </c>
      <c r="E526" s="22" t="s">
        <v>207</v>
      </c>
      <c r="F526" s="15"/>
      <c r="G526" s="15">
        <v>205170</v>
      </c>
      <c r="H526" s="15">
        <v>59907</v>
      </c>
      <c r="I526" s="24">
        <v>222711</v>
      </c>
      <c r="J526" s="24">
        <f t="shared" si="29"/>
        <v>487788</v>
      </c>
      <c r="K526" s="25"/>
      <c r="L526" s="23"/>
      <c r="M526" s="23"/>
      <c r="N526" s="24"/>
      <c r="O526" s="26"/>
      <c r="P526" s="25"/>
      <c r="Q526" s="15">
        <v>14605</v>
      </c>
      <c r="R526" s="15">
        <v>10559</v>
      </c>
      <c r="S526" s="24">
        <v>16127</v>
      </c>
      <c r="T526" s="26">
        <f t="shared" si="30"/>
        <v>41291</v>
      </c>
      <c r="U526" s="15"/>
      <c r="V526" s="15"/>
      <c r="W526" s="15"/>
      <c r="X526" s="15"/>
      <c r="Y526" s="15"/>
      <c r="Z526" s="35"/>
      <c r="AA526" s="35"/>
      <c r="AB526" s="35"/>
      <c r="AC526" s="35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</row>
    <row r="527" spans="1:107" ht="12.75">
      <c r="A527" s="15" t="s">
        <v>673</v>
      </c>
      <c r="B527" s="16" t="s">
        <v>62</v>
      </c>
      <c r="C527" s="15" t="s">
        <v>698</v>
      </c>
      <c r="D527" s="21" t="s">
        <v>699</v>
      </c>
      <c r="E527" s="22" t="s">
        <v>207</v>
      </c>
      <c r="F527" s="15"/>
      <c r="G527" s="15">
        <v>126304</v>
      </c>
      <c r="H527" s="15">
        <v>42207</v>
      </c>
      <c r="I527" s="24">
        <v>137814</v>
      </c>
      <c r="J527" s="24">
        <f t="shared" si="29"/>
        <v>306325</v>
      </c>
      <c r="K527" s="25"/>
      <c r="L527" s="23"/>
      <c r="M527" s="23"/>
      <c r="N527" s="24"/>
      <c r="O527" s="26"/>
      <c r="P527" s="25"/>
      <c r="Q527" s="15">
        <v>8567</v>
      </c>
      <c r="R527" s="15">
        <v>6659</v>
      </c>
      <c r="S527" s="24">
        <v>8269</v>
      </c>
      <c r="T527" s="26">
        <f t="shared" si="30"/>
        <v>23495</v>
      </c>
      <c r="U527" s="15"/>
      <c r="V527" s="15"/>
      <c r="W527" s="15"/>
      <c r="X527" s="15"/>
      <c r="Y527" s="15"/>
      <c r="Z527" s="35"/>
      <c r="AA527" s="35"/>
      <c r="AB527" s="35"/>
      <c r="AC527" s="35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</row>
    <row r="528" spans="1:107" ht="12.75">
      <c r="A528" s="15" t="s">
        <v>673</v>
      </c>
      <c r="B528" s="16" t="s">
        <v>62</v>
      </c>
      <c r="C528" s="15" t="s">
        <v>700</v>
      </c>
      <c r="D528" s="21" t="s">
        <v>701</v>
      </c>
      <c r="E528" s="22" t="s">
        <v>207</v>
      </c>
      <c r="F528" s="15"/>
      <c r="G528" s="15">
        <v>23022</v>
      </c>
      <c r="H528" s="15">
        <v>7296</v>
      </c>
      <c r="I528" s="24">
        <v>24872</v>
      </c>
      <c r="J528" s="24">
        <f t="shared" si="29"/>
        <v>55190</v>
      </c>
      <c r="K528" s="25"/>
      <c r="L528" s="23"/>
      <c r="M528" s="23"/>
      <c r="N528" s="24"/>
      <c r="O528" s="26"/>
      <c r="P528" s="25"/>
      <c r="Q528" s="15">
        <v>3677</v>
      </c>
      <c r="R528" s="15">
        <v>3625</v>
      </c>
      <c r="S528" s="24">
        <v>3342</v>
      </c>
      <c r="T528" s="26">
        <f t="shared" si="30"/>
        <v>10644</v>
      </c>
      <c r="U528" s="15"/>
      <c r="V528" s="15"/>
      <c r="W528" s="15"/>
      <c r="X528" s="15"/>
      <c r="Y528" s="15"/>
      <c r="Z528" s="35"/>
      <c r="AA528" s="35"/>
      <c r="AB528" s="35"/>
      <c r="AC528" s="35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</row>
    <row r="529" spans="1:92" ht="12.75">
      <c r="A529" s="15" t="s">
        <v>673</v>
      </c>
      <c r="B529" s="16" t="s">
        <v>62</v>
      </c>
      <c r="C529" s="15" t="s">
        <v>702</v>
      </c>
      <c r="D529" s="21" t="s">
        <v>703</v>
      </c>
      <c r="E529" s="22" t="s">
        <v>207</v>
      </c>
      <c r="F529" s="15"/>
      <c r="G529" s="15">
        <v>60898</v>
      </c>
      <c r="H529" s="15">
        <v>18090</v>
      </c>
      <c r="I529" s="24">
        <v>65383</v>
      </c>
      <c r="J529" s="24">
        <f t="shared" si="29"/>
        <v>144371</v>
      </c>
      <c r="K529" s="25"/>
      <c r="L529" s="23"/>
      <c r="M529" s="23"/>
      <c r="N529" s="24"/>
      <c r="O529" s="26"/>
      <c r="P529" s="25"/>
      <c r="Q529" s="15">
        <v>11613</v>
      </c>
      <c r="R529" s="15">
        <v>12108</v>
      </c>
      <c r="S529" s="24">
        <v>12158</v>
      </c>
      <c r="T529" s="26">
        <f t="shared" si="30"/>
        <v>35879</v>
      </c>
      <c r="U529" s="15"/>
      <c r="V529" s="15"/>
      <c r="W529" s="15"/>
      <c r="X529" s="15"/>
      <c r="Y529" s="15"/>
      <c r="Z529" s="35"/>
      <c r="AA529" s="35"/>
      <c r="AB529" s="35"/>
      <c r="AC529" s="35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</row>
    <row r="530" spans="1:92" ht="12.75">
      <c r="A530" s="15" t="s">
        <v>673</v>
      </c>
      <c r="B530" s="16" t="s">
        <v>62</v>
      </c>
      <c r="C530" s="15" t="s">
        <v>704</v>
      </c>
      <c r="D530" s="21" t="s">
        <v>705</v>
      </c>
      <c r="E530" s="22" t="s">
        <v>207</v>
      </c>
      <c r="F530" s="15"/>
      <c r="G530" s="15">
        <v>58740</v>
      </c>
      <c r="H530" s="15">
        <v>22503</v>
      </c>
      <c r="I530" s="24">
        <v>61372</v>
      </c>
      <c r="J530" s="24">
        <f t="shared" si="29"/>
        <v>142615</v>
      </c>
      <c r="K530" s="25"/>
      <c r="L530" s="23"/>
      <c r="M530" s="23"/>
      <c r="N530" s="24"/>
      <c r="O530" s="26"/>
      <c r="P530" s="25"/>
      <c r="Q530" s="15">
        <v>5919</v>
      </c>
      <c r="R530" s="15">
        <v>4786</v>
      </c>
      <c r="S530" s="24">
        <v>5888</v>
      </c>
      <c r="T530" s="26">
        <f t="shared" si="30"/>
        <v>16593</v>
      </c>
      <c r="U530" s="15"/>
      <c r="V530" s="15"/>
      <c r="W530" s="15"/>
      <c r="X530" s="15"/>
      <c r="Y530" s="15"/>
      <c r="Z530" s="35"/>
      <c r="AA530" s="35"/>
      <c r="AB530" s="35"/>
      <c r="AC530" s="35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</row>
    <row r="531" spans="1:92" ht="9" customHeight="1">
      <c r="A531" s="15" t="s">
        <v>673</v>
      </c>
      <c r="B531" s="16" t="s">
        <v>62</v>
      </c>
      <c r="C531" s="15" t="s">
        <v>706</v>
      </c>
      <c r="D531" s="21" t="s">
        <v>707</v>
      </c>
      <c r="E531" s="22" t="s">
        <v>207</v>
      </c>
      <c r="F531" s="15"/>
      <c r="G531" s="15">
        <f>88494+7055</f>
        <v>95549</v>
      </c>
      <c r="H531" s="15">
        <f>16778+1250</f>
        <v>18028</v>
      </c>
      <c r="I531" s="24">
        <v>78077</v>
      </c>
      <c r="J531" s="24">
        <f t="shared" si="29"/>
        <v>191654</v>
      </c>
      <c r="K531" s="25"/>
      <c r="L531" s="23"/>
      <c r="M531" s="23"/>
      <c r="N531" s="24"/>
      <c r="O531" s="26"/>
      <c r="P531" s="25"/>
      <c r="Q531" s="15">
        <v>6504</v>
      </c>
      <c r="R531" s="15">
        <v>3049</v>
      </c>
      <c r="S531" s="24">
        <v>15400</v>
      </c>
      <c r="T531" s="26">
        <f t="shared" si="30"/>
        <v>24953</v>
      </c>
      <c r="U531" s="15"/>
      <c r="V531" s="15"/>
      <c r="W531" s="15"/>
      <c r="X531" s="15"/>
      <c r="Y531" s="15"/>
      <c r="Z531" s="35"/>
      <c r="AA531" s="35"/>
      <c r="AB531" s="35"/>
      <c r="AC531" s="35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</row>
    <row r="532" spans="1:92" ht="9" customHeight="1">
      <c r="A532" s="15" t="s">
        <v>673</v>
      </c>
      <c r="B532" s="16" t="s">
        <v>62</v>
      </c>
      <c r="C532" s="15" t="s">
        <v>708</v>
      </c>
      <c r="D532" s="21" t="s">
        <v>709</v>
      </c>
      <c r="E532" s="22" t="s">
        <v>207</v>
      </c>
      <c r="F532" s="15"/>
      <c r="G532" s="15">
        <v>36149</v>
      </c>
      <c r="H532" s="15">
        <v>12105</v>
      </c>
      <c r="I532" s="24">
        <v>36317</v>
      </c>
      <c r="J532" s="24">
        <f t="shared" si="29"/>
        <v>84571</v>
      </c>
      <c r="K532" s="25"/>
      <c r="L532" s="23"/>
      <c r="M532" s="23"/>
      <c r="N532" s="24"/>
      <c r="O532" s="26"/>
      <c r="P532" s="25"/>
      <c r="Q532" s="15">
        <v>17690</v>
      </c>
      <c r="R532" s="15">
        <v>9505</v>
      </c>
      <c r="S532" s="24">
        <v>18160</v>
      </c>
      <c r="T532" s="26">
        <f t="shared" si="30"/>
        <v>45355</v>
      </c>
      <c r="U532" s="15"/>
      <c r="V532" s="15"/>
      <c r="W532" s="15"/>
      <c r="X532" s="15"/>
      <c r="Y532" s="15"/>
      <c r="Z532" s="35"/>
      <c r="AA532" s="35"/>
      <c r="AB532" s="35"/>
      <c r="AC532" s="35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</row>
    <row r="533" spans="1:92" ht="9" customHeight="1">
      <c r="A533" s="15" t="s">
        <v>673</v>
      </c>
      <c r="B533" s="16" t="s">
        <v>62</v>
      </c>
      <c r="C533" s="15" t="s">
        <v>710</v>
      </c>
      <c r="D533" s="21" t="s">
        <v>711</v>
      </c>
      <c r="E533" s="22" t="s">
        <v>207</v>
      </c>
      <c r="F533" s="15"/>
      <c r="G533" s="15">
        <v>146366</v>
      </c>
      <c r="H533" s="15">
        <v>38102</v>
      </c>
      <c r="I533" s="24">
        <v>153154</v>
      </c>
      <c r="J533" s="24">
        <f t="shared" si="29"/>
        <v>337622</v>
      </c>
      <c r="K533" s="25"/>
      <c r="L533" s="23"/>
      <c r="M533" s="23"/>
      <c r="N533" s="24"/>
      <c r="O533" s="26"/>
      <c r="P533" s="25"/>
      <c r="Q533" s="15">
        <v>10914</v>
      </c>
      <c r="R533" s="15">
        <v>5014</v>
      </c>
      <c r="S533" s="24">
        <v>10781</v>
      </c>
      <c r="T533" s="26">
        <f t="shared" si="30"/>
        <v>26709</v>
      </c>
      <c r="U533" s="15"/>
      <c r="V533" s="15"/>
      <c r="W533" s="15"/>
      <c r="X533" s="15"/>
      <c r="Y533" s="15"/>
      <c r="Z533" s="35"/>
      <c r="AA533" s="35"/>
      <c r="AB533" s="35"/>
      <c r="AC533" s="35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</row>
    <row r="534" spans="1:92" ht="9" customHeight="1">
      <c r="A534" s="15" t="s">
        <v>673</v>
      </c>
      <c r="B534" s="16" t="s">
        <v>62</v>
      </c>
      <c r="C534" s="15" t="s">
        <v>712</v>
      </c>
      <c r="D534" s="21" t="s">
        <v>713</v>
      </c>
      <c r="E534" s="22" t="s">
        <v>207</v>
      </c>
      <c r="F534" s="15"/>
      <c r="G534" s="15">
        <v>151721</v>
      </c>
      <c r="H534" s="15">
        <v>48099</v>
      </c>
      <c r="I534" s="24">
        <v>165653</v>
      </c>
      <c r="J534" s="24">
        <f t="shared" si="29"/>
        <v>365473</v>
      </c>
      <c r="K534" s="25"/>
      <c r="L534" s="23"/>
      <c r="M534" s="23"/>
      <c r="N534" s="24"/>
      <c r="O534" s="26"/>
      <c r="P534" s="25"/>
      <c r="Q534" s="15">
        <v>11362</v>
      </c>
      <c r="R534" s="15">
        <v>6357</v>
      </c>
      <c r="S534" s="24">
        <v>12915</v>
      </c>
      <c r="T534" s="26">
        <f t="shared" si="30"/>
        <v>30634</v>
      </c>
      <c r="U534" s="15"/>
      <c r="V534" s="15"/>
      <c r="W534" s="15"/>
      <c r="X534" s="15"/>
      <c r="Y534" s="15"/>
      <c r="Z534" s="35"/>
      <c r="AA534" s="35"/>
      <c r="AB534" s="35"/>
      <c r="AC534" s="35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</row>
    <row r="535" spans="1:92" ht="9" customHeight="1">
      <c r="A535" s="15" t="s">
        <v>673</v>
      </c>
      <c r="B535" s="16" t="s">
        <v>62</v>
      </c>
      <c r="C535" s="15" t="s">
        <v>714</v>
      </c>
      <c r="D535" s="21" t="s">
        <v>715</v>
      </c>
      <c r="E535" s="22" t="s">
        <v>207</v>
      </c>
      <c r="F535" s="15"/>
      <c r="G535" s="15">
        <v>25398</v>
      </c>
      <c r="H535" s="15">
        <v>8509</v>
      </c>
      <c r="I535" s="24">
        <v>25593</v>
      </c>
      <c r="J535" s="24">
        <f t="shared" si="29"/>
        <v>59500</v>
      </c>
      <c r="K535" s="25"/>
      <c r="L535" s="23"/>
      <c r="M535" s="23"/>
      <c r="N535" s="24"/>
      <c r="O535" s="26"/>
      <c r="P535" s="25"/>
      <c r="Q535" s="15">
        <v>4821</v>
      </c>
      <c r="R535" s="15">
        <v>3386</v>
      </c>
      <c r="S535" s="24">
        <v>3961</v>
      </c>
      <c r="T535" s="26">
        <f t="shared" si="30"/>
        <v>12168</v>
      </c>
      <c r="U535" s="15"/>
      <c r="V535" s="15"/>
      <c r="W535" s="15"/>
      <c r="X535" s="15"/>
      <c r="Y535" s="15"/>
      <c r="Z535" s="35"/>
      <c r="AA535" s="35"/>
      <c r="AB535" s="35"/>
      <c r="AC535" s="35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</row>
    <row r="536" spans="1:92" ht="9" customHeight="1">
      <c r="A536" s="15" t="s">
        <v>673</v>
      </c>
      <c r="B536" s="16" t="s">
        <v>62</v>
      </c>
      <c r="C536" s="15" t="s">
        <v>716</v>
      </c>
      <c r="D536" s="21" t="s">
        <v>717</v>
      </c>
      <c r="E536" s="22" t="s">
        <v>207</v>
      </c>
      <c r="F536" s="15"/>
      <c r="G536" s="15">
        <v>63016</v>
      </c>
      <c r="H536" s="15">
        <v>14753</v>
      </c>
      <c r="I536" s="24">
        <v>68854</v>
      </c>
      <c r="J536" s="24">
        <f t="shared" si="29"/>
        <v>146623</v>
      </c>
      <c r="K536" s="25"/>
      <c r="L536" s="23"/>
      <c r="M536" s="23"/>
      <c r="N536" s="24"/>
      <c r="O536" s="26"/>
      <c r="P536" s="25"/>
      <c r="Q536" s="15">
        <v>5004</v>
      </c>
      <c r="R536" s="15">
        <v>3742</v>
      </c>
      <c r="S536" s="24">
        <v>4735</v>
      </c>
      <c r="T536" s="26">
        <f t="shared" si="30"/>
        <v>13481</v>
      </c>
      <c r="U536" s="15"/>
      <c r="V536" s="15"/>
      <c r="W536" s="15"/>
      <c r="X536" s="15"/>
      <c r="Y536" s="15"/>
      <c r="Z536" s="35"/>
      <c r="AA536" s="35"/>
      <c r="AB536" s="35"/>
      <c r="AC536" s="35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</row>
    <row r="537" spans="1:92" ht="12.75">
      <c r="A537" s="15" t="s">
        <v>673</v>
      </c>
      <c r="B537" s="16" t="s">
        <v>62</v>
      </c>
      <c r="C537" s="15" t="s">
        <v>718</v>
      </c>
      <c r="D537" s="21" t="s">
        <v>719</v>
      </c>
      <c r="E537" s="22" t="s">
        <v>207</v>
      </c>
      <c r="F537" s="15"/>
      <c r="G537" s="15">
        <v>41826</v>
      </c>
      <c r="H537" s="15">
        <v>17432</v>
      </c>
      <c r="I537" s="24">
        <v>47415</v>
      </c>
      <c r="J537" s="24">
        <f t="shared" si="29"/>
        <v>106673</v>
      </c>
      <c r="K537" s="25"/>
      <c r="L537" s="23"/>
      <c r="M537" s="23"/>
      <c r="N537" s="24"/>
      <c r="O537" s="26"/>
      <c r="P537" s="25"/>
      <c r="Q537" s="15">
        <v>7770</v>
      </c>
      <c r="R537" s="15">
        <v>5835</v>
      </c>
      <c r="S537" s="24">
        <v>7139</v>
      </c>
      <c r="T537" s="26">
        <f t="shared" si="30"/>
        <v>20744</v>
      </c>
      <c r="U537" s="15"/>
      <c r="V537" s="15"/>
      <c r="W537" s="15"/>
      <c r="X537" s="15"/>
      <c r="Y537" s="15"/>
      <c r="Z537" s="35"/>
      <c r="AA537" s="35"/>
      <c r="AB537" s="35"/>
      <c r="AC537" s="35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</row>
    <row r="538" spans="1:92" ht="12.75">
      <c r="A538" s="15" t="s">
        <v>673</v>
      </c>
      <c r="B538" s="16" t="s">
        <v>62</v>
      </c>
      <c r="C538" s="110" t="s">
        <v>720</v>
      </c>
      <c r="D538" s="111" t="s">
        <v>721</v>
      </c>
      <c r="E538" s="112" t="s">
        <v>210</v>
      </c>
      <c r="F538" s="15"/>
      <c r="G538" s="15">
        <v>64084</v>
      </c>
      <c r="H538" s="15">
        <v>18981</v>
      </c>
      <c r="I538" s="24">
        <v>72659</v>
      </c>
      <c r="J538" s="24">
        <f t="shared" si="29"/>
        <v>155724</v>
      </c>
      <c r="K538" s="25"/>
      <c r="L538" s="23"/>
      <c r="M538" s="23"/>
      <c r="N538" s="24"/>
      <c r="O538" s="26"/>
      <c r="P538" s="25"/>
      <c r="Q538" s="15">
        <v>2074</v>
      </c>
      <c r="R538" s="15">
        <v>2031</v>
      </c>
      <c r="S538" s="24">
        <v>2179</v>
      </c>
      <c r="T538" s="26">
        <f t="shared" si="30"/>
        <v>6284</v>
      </c>
      <c r="U538" s="15"/>
      <c r="V538" s="15"/>
      <c r="W538" s="15"/>
      <c r="X538" s="15"/>
      <c r="Y538" s="15"/>
      <c r="Z538" s="35"/>
      <c r="AA538" s="35"/>
      <c r="AB538" s="35"/>
      <c r="AC538" s="35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</row>
    <row r="539" spans="1:92" ht="12.75">
      <c r="A539" s="15" t="s">
        <v>673</v>
      </c>
      <c r="B539" s="16" t="s">
        <v>62</v>
      </c>
      <c r="C539" s="15" t="s">
        <v>722</v>
      </c>
      <c r="D539" s="21" t="s">
        <v>723</v>
      </c>
      <c r="E539" s="22" t="s">
        <v>210</v>
      </c>
      <c r="F539" s="15"/>
      <c r="G539" s="15">
        <v>56514</v>
      </c>
      <c r="H539" s="15">
        <v>15530</v>
      </c>
      <c r="I539" s="24">
        <v>58390</v>
      </c>
      <c r="J539" s="24">
        <f t="shared" si="29"/>
        <v>130434</v>
      </c>
      <c r="K539" s="25"/>
      <c r="L539" s="23"/>
      <c r="M539" s="23"/>
      <c r="N539" s="24"/>
      <c r="O539" s="26"/>
      <c r="P539" s="25"/>
      <c r="Q539" s="15">
        <v>3106</v>
      </c>
      <c r="R539" s="15">
        <v>1828</v>
      </c>
      <c r="S539" s="24">
        <v>3027</v>
      </c>
      <c r="T539" s="26">
        <f t="shared" si="30"/>
        <v>7961</v>
      </c>
      <c r="U539" s="15"/>
      <c r="V539" s="15"/>
      <c r="W539" s="15"/>
      <c r="X539" s="15"/>
      <c r="Y539" s="15"/>
      <c r="Z539" s="35"/>
      <c r="AA539" s="35"/>
      <c r="AB539" s="35"/>
      <c r="AC539" s="35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</row>
    <row r="540" spans="1:92" ht="12.75">
      <c r="A540" s="15" t="s">
        <v>673</v>
      </c>
      <c r="B540" s="16" t="s">
        <v>62</v>
      </c>
      <c r="C540" s="15" t="s">
        <v>724</v>
      </c>
      <c r="D540" s="21" t="s">
        <v>725</v>
      </c>
      <c r="E540" s="22" t="s">
        <v>210</v>
      </c>
      <c r="F540" s="15"/>
      <c r="G540" s="15">
        <v>67853</v>
      </c>
      <c r="H540" s="15">
        <v>19428</v>
      </c>
      <c r="I540" s="24">
        <v>73719</v>
      </c>
      <c r="J540" s="24">
        <f t="shared" si="29"/>
        <v>161000</v>
      </c>
      <c r="K540" s="25"/>
      <c r="L540" s="23"/>
      <c r="M540" s="23"/>
      <c r="N540" s="24"/>
      <c r="O540" s="26"/>
      <c r="P540" s="25"/>
      <c r="Q540" s="15">
        <v>3894</v>
      </c>
      <c r="R540" s="15">
        <v>4403</v>
      </c>
      <c r="S540" s="24">
        <v>3510</v>
      </c>
      <c r="T540" s="26">
        <f t="shared" si="30"/>
        <v>11807</v>
      </c>
      <c r="U540" s="15"/>
      <c r="V540" s="15"/>
      <c r="W540" s="15"/>
      <c r="X540" s="15"/>
      <c r="Y540" s="15"/>
      <c r="Z540" s="35"/>
      <c r="AA540" s="35"/>
      <c r="AB540" s="35"/>
      <c r="AC540" s="35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</row>
    <row r="541" spans="1:92" ht="12.75">
      <c r="A541" s="15" t="s">
        <v>673</v>
      </c>
      <c r="B541" s="16" t="s">
        <v>62</v>
      </c>
      <c r="C541" s="15" t="s">
        <v>726</v>
      </c>
      <c r="D541" s="21" t="s">
        <v>727</v>
      </c>
      <c r="E541" s="22" t="s">
        <v>210</v>
      </c>
      <c r="F541" s="15"/>
      <c r="G541" s="15">
        <v>17501</v>
      </c>
      <c r="H541" s="15">
        <v>8476</v>
      </c>
      <c r="I541" s="24">
        <v>19636</v>
      </c>
      <c r="J541" s="24">
        <f t="shared" si="29"/>
        <v>45613</v>
      </c>
      <c r="K541" s="25"/>
      <c r="L541" s="23"/>
      <c r="M541" s="23"/>
      <c r="N541" s="24"/>
      <c r="O541" s="26"/>
      <c r="P541" s="25"/>
      <c r="Q541" s="15">
        <v>3954</v>
      </c>
      <c r="R541" s="15">
        <v>2871</v>
      </c>
      <c r="S541" s="24">
        <v>4015</v>
      </c>
      <c r="T541" s="26">
        <f t="shared" si="30"/>
        <v>10840</v>
      </c>
      <c r="U541" s="15"/>
      <c r="V541" s="15"/>
      <c r="W541" s="15"/>
      <c r="X541" s="15"/>
      <c r="Y541" s="15"/>
      <c r="Z541" s="35"/>
      <c r="AA541" s="35"/>
      <c r="AB541" s="35"/>
      <c r="AC541" s="35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</row>
    <row r="542" spans="1:92" ht="12.75">
      <c r="A542" s="15" t="s">
        <v>673</v>
      </c>
      <c r="B542" s="16" t="s">
        <v>62</v>
      </c>
      <c r="C542" s="15" t="s">
        <v>728</v>
      </c>
      <c r="D542" s="21" t="s">
        <v>729</v>
      </c>
      <c r="E542" s="22" t="s">
        <v>210</v>
      </c>
      <c r="F542" s="15"/>
      <c r="G542" s="15">
        <v>17055</v>
      </c>
      <c r="H542" s="15">
        <v>5878</v>
      </c>
      <c r="I542" s="24">
        <v>18005</v>
      </c>
      <c r="J542" s="24">
        <f t="shared" si="29"/>
        <v>40938</v>
      </c>
      <c r="K542" s="25"/>
      <c r="L542" s="23"/>
      <c r="M542" s="23"/>
      <c r="N542" s="24"/>
      <c r="O542" s="26"/>
      <c r="P542" s="25"/>
      <c r="Q542" s="15">
        <v>2512</v>
      </c>
      <c r="R542" s="15">
        <v>1587</v>
      </c>
      <c r="S542" s="24">
        <v>2264</v>
      </c>
      <c r="T542" s="26">
        <f t="shared" si="30"/>
        <v>6363</v>
      </c>
      <c r="U542" s="15"/>
      <c r="V542" s="15"/>
      <c r="W542" s="15"/>
      <c r="X542" s="15"/>
      <c r="Y542" s="15"/>
      <c r="Z542" s="35"/>
      <c r="AA542" s="35"/>
      <c r="AB542" s="35"/>
      <c r="AC542" s="35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</row>
    <row r="543" spans="1:92" ht="12.75">
      <c r="A543" s="15" t="s">
        <v>673</v>
      </c>
      <c r="B543" s="16" t="s">
        <v>62</v>
      </c>
      <c r="C543" s="15" t="s">
        <v>730</v>
      </c>
      <c r="D543" s="21" t="s">
        <v>731</v>
      </c>
      <c r="E543" s="22" t="s">
        <v>210</v>
      </c>
      <c r="F543" s="15"/>
      <c r="G543" s="15">
        <v>126151</v>
      </c>
      <c r="H543" s="15">
        <v>56061</v>
      </c>
      <c r="I543" s="24">
        <v>128778</v>
      </c>
      <c r="J543" s="24">
        <f t="shared" si="29"/>
        <v>310990</v>
      </c>
      <c r="K543" s="25"/>
      <c r="L543" s="23"/>
      <c r="M543" s="23"/>
      <c r="N543" s="24"/>
      <c r="O543" s="26"/>
      <c r="P543" s="25"/>
      <c r="Q543" s="15">
        <v>4902</v>
      </c>
      <c r="R543" s="15">
        <v>4597</v>
      </c>
      <c r="S543" s="24">
        <v>5353</v>
      </c>
      <c r="T543" s="26">
        <f t="shared" si="30"/>
        <v>14852</v>
      </c>
      <c r="U543" s="15"/>
      <c r="V543" s="15"/>
      <c r="W543" s="15"/>
      <c r="X543" s="15"/>
      <c r="Y543" s="15"/>
      <c r="Z543" s="35"/>
      <c r="AA543" s="35"/>
      <c r="AB543" s="35"/>
      <c r="AC543" s="35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</row>
    <row r="544" spans="1:92" ht="12.75">
      <c r="A544" s="15" t="s">
        <v>673</v>
      </c>
      <c r="B544" s="16" t="s">
        <v>62</v>
      </c>
      <c r="C544" s="15" t="s">
        <v>732</v>
      </c>
      <c r="D544" s="30" t="s">
        <v>733</v>
      </c>
      <c r="E544" s="22" t="s">
        <v>219</v>
      </c>
      <c r="F544" s="15"/>
      <c r="G544" s="15">
        <v>4335</v>
      </c>
      <c r="H544" s="15">
        <v>3105</v>
      </c>
      <c r="I544" s="24">
        <v>4917</v>
      </c>
      <c r="J544" s="24">
        <f t="shared" si="29"/>
        <v>12357</v>
      </c>
      <c r="K544" s="25"/>
      <c r="L544" s="23"/>
      <c r="M544" s="23"/>
      <c r="N544" s="24"/>
      <c r="O544" s="26"/>
      <c r="P544" s="25"/>
      <c r="Q544" s="15">
        <v>1155</v>
      </c>
      <c r="R544" s="15">
        <v>1260</v>
      </c>
      <c r="S544" s="24">
        <v>1128</v>
      </c>
      <c r="T544" s="26">
        <f t="shared" si="30"/>
        <v>3543</v>
      </c>
      <c r="U544" s="15"/>
      <c r="V544" s="15"/>
      <c r="W544" s="15"/>
      <c r="X544" s="15"/>
      <c r="Y544" s="15"/>
      <c r="Z544" s="35"/>
      <c r="AA544" s="35"/>
      <c r="AB544" s="35"/>
      <c r="AC544" s="35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</row>
    <row r="545" spans="1:108" ht="12.75">
      <c r="A545" s="15" t="s">
        <v>673</v>
      </c>
      <c r="B545" s="16" t="s">
        <v>62</v>
      </c>
      <c r="C545" s="15" t="s">
        <v>734</v>
      </c>
      <c r="D545" s="21" t="s">
        <v>735</v>
      </c>
      <c r="E545" s="22" t="s">
        <v>219</v>
      </c>
      <c r="F545" s="15"/>
      <c r="G545" s="15">
        <v>6860</v>
      </c>
      <c r="H545" s="15">
        <v>3382</v>
      </c>
      <c r="I545" s="24">
        <v>6834</v>
      </c>
      <c r="J545" s="24">
        <f t="shared" si="29"/>
        <v>17076</v>
      </c>
      <c r="K545" s="25"/>
      <c r="L545" s="23"/>
      <c r="M545" s="23"/>
      <c r="N545" s="24"/>
      <c r="O545" s="26"/>
      <c r="P545" s="25"/>
      <c r="Q545" s="15">
        <v>1464</v>
      </c>
      <c r="R545" s="15">
        <v>1381</v>
      </c>
      <c r="S545" s="24">
        <v>1578</v>
      </c>
      <c r="T545" s="26">
        <f t="shared" si="30"/>
        <v>4423</v>
      </c>
      <c r="U545" s="15"/>
      <c r="V545" s="15"/>
      <c r="W545" s="15"/>
      <c r="X545" s="15"/>
      <c r="Y545" s="15"/>
      <c r="Z545" s="35"/>
      <c r="AA545" s="35"/>
      <c r="AB545" s="35"/>
      <c r="AC545" s="35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</row>
    <row r="546" spans="1:108" ht="12.75">
      <c r="A546" s="15" t="s">
        <v>673</v>
      </c>
      <c r="B546" s="16" t="s">
        <v>62</v>
      </c>
      <c r="C546" s="15" t="s">
        <v>736</v>
      </c>
      <c r="D546" s="21" t="s">
        <v>737</v>
      </c>
      <c r="E546" s="22" t="s">
        <v>219</v>
      </c>
      <c r="F546" s="15"/>
      <c r="G546" s="15">
        <v>7530</v>
      </c>
      <c r="H546" s="15">
        <v>3511</v>
      </c>
      <c r="I546" s="24">
        <v>7290</v>
      </c>
      <c r="J546" s="24">
        <f t="shared" si="29"/>
        <v>18331</v>
      </c>
      <c r="K546" s="25"/>
      <c r="L546" s="23"/>
      <c r="M546" s="23"/>
      <c r="N546" s="24"/>
      <c r="O546" s="26"/>
      <c r="P546" s="25"/>
      <c r="Q546" s="15">
        <v>3017</v>
      </c>
      <c r="R546" s="15">
        <v>2816</v>
      </c>
      <c r="S546" s="24">
        <v>3991</v>
      </c>
      <c r="T546" s="26">
        <f t="shared" si="30"/>
        <v>9824</v>
      </c>
      <c r="U546" s="15"/>
      <c r="V546" s="15"/>
      <c r="W546" s="15"/>
      <c r="X546" s="15"/>
      <c r="Y546" s="15"/>
      <c r="Z546" s="35"/>
      <c r="AA546" s="35"/>
      <c r="AB546" s="35"/>
      <c r="AC546" s="35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</row>
    <row r="547" spans="1:108" ht="12.75">
      <c r="A547" s="15" t="s">
        <v>673</v>
      </c>
      <c r="B547" s="16" t="s">
        <v>62</v>
      </c>
      <c r="C547" s="15" t="s">
        <v>738</v>
      </c>
      <c r="D547" s="21" t="s">
        <v>739</v>
      </c>
      <c r="E547" s="22" t="s">
        <v>219</v>
      </c>
      <c r="F547" s="15"/>
      <c r="G547" s="15">
        <v>15329</v>
      </c>
      <c r="H547" s="15">
        <v>6889</v>
      </c>
      <c r="I547" s="24">
        <v>14872</v>
      </c>
      <c r="J547" s="24">
        <f aca="true" t="shared" si="31" ref="J547:J578">SUM(F547:I547)</f>
        <v>37090</v>
      </c>
      <c r="K547" s="25"/>
      <c r="L547" s="23"/>
      <c r="M547" s="23"/>
      <c r="N547" s="24"/>
      <c r="O547" s="26"/>
      <c r="P547" s="25"/>
      <c r="Q547" s="15">
        <v>2876</v>
      </c>
      <c r="R547" s="15">
        <v>2306</v>
      </c>
      <c r="S547" s="24">
        <v>3146</v>
      </c>
      <c r="T547" s="26">
        <f t="shared" si="30"/>
        <v>8328</v>
      </c>
      <c r="U547" s="15"/>
      <c r="V547" s="15"/>
      <c r="W547" s="15"/>
      <c r="X547" s="15"/>
      <c r="Y547" s="15"/>
      <c r="Z547" s="35"/>
      <c r="AA547" s="35"/>
      <c r="AB547" s="35"/>
      <c r="AC547" s="35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</row>
    <row r="548" spans="1:108" ht="12.75">
      <c r="A548" s="15" t="s">
        <v>673</v>
      </c>
      <c r="B548" s="16" t="s">
        <v>62</v>
      </c>
      <c r="C548" s="15" t="s">
        <v>740</v>
      </c>
      <c r="D548" s="21" t="s">
        <v>741</v>
      </c>
      <c r="E548" s="22" t="s">
        <v>232</v>
      </c>
      <c r="F548" s="15"/>
      <c r="G548" s="15">
        <v>15591</v>
      </c>
      <c r="H548" s="15">
        <v>2522</v>
      </c>
      <c r="I548" s="24">
        <v>16776</v>
      </c>
      <c r="J548" s="24">
        <f t="shared" si="31"/>
        <v>34889</v>
      </c>
      <c r="K548" s="25"/>
      <c r="L548" s="23"/>
      <c r="M548" s="23"/>
      <c r="N548" s="24"/>
      <c r="O548" s="26"/>
      <c r="P548" s="25"/>
      <c r="Q548" s="15">
        <v>0</v>
      </c>
      <c r="R548" s="15">
        <v>0</v>
      </c>
      <c r="S548" s="24">
        <v>0</v>
      </c>
      <c r="T548" s="26">
        <f t="shared" si="30"/>
        <v>0</v>
      </c>
      <c r="U548" s="15"/>
      <c r="V548" s="15"/>
      <c r="W548" s="15"/>
      <c r="X548" s="15"/>
      <c r="Y548" s="15"/>
      <c r="Z548" s="35"/>
      <c r="AA548" s="35"/>
      <c r="AB548" s="35"/>
      <c r="AC548" s="35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</row>
    <row r="549" spans="1:108" ht="12.75">
      <c r="A549" s="15" t="s">
        <v>673</v>
      </c>
      <c r="B549" s="16" t="s">
        <v>62</v>
      </c>
      <c r="C549" s="15" t="s">
        <v>742</v>
      </c>
      <c r="D549" s="21" t="s">
        <v>743</v>
      </c>
      <c r="E549" s="22" t="s">
        <v>232</v>
      </c>
      <c r="F549" s="15"/>
      <c r="G549" s="15">
        <v>71532</v>
      </c>
      <c r="H549" s="15">
        <v>19535</v>
      </c>
      <c r="I549" s="24">
        <v>76689</v>
      </c>
      <c r="J549" s="24">
        <f t="shared" si="31"/>
        <v>167756</v>
      </c>
      <c r="K549" s="25"/>
      <c r="L549" s="23"/>
      <c r="M549" s="23"/>
      <c r="N549" s="24"/>
      <c r="O549" s="26"/>
      <c r="P549" s="25"/>
      <c r="Q549" s="15">
        <v>0</v>
      </c>
      <c r="R549" s="15">
        <v>0</v>
      </c>
      <c r="S549" s="24">
        <v>0</v>
      </c>
      <c r="T549" s="26">
        <f t="shared" si="30"/>
        <v>0</v>
      </c>
      <c r="U549" s="15"/>
      <c r="V549" s="15"/>
      <c r="W549" s="15"/>
      <c r="X549" s="15"/>
      <c r="Y549" s="15"/>
      <c r="Z549" s="35"/>
      <c r="AA549" s="35"/>
      <c r="AB549" s="35"/>
      <c r="AC549" s="35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</row>
    <row r="550" spans="1:108" ht="12.75">
      <c r="A550" s="15" t="s">
        <v>673</v>
      </c>
      <c r="B550" s="16" t="s">
        <v>62</v>
      </c>
      <c r="C550" s="15" t="s">
        <v>744</v>
      </c>
      <c r="D550" s="21" t="s">
        <v>745</v>
      </c>
      <c r="E550" s="22" t="s">
        <v>167</v>
      </c>
      <c r="F550" s="23"/>
      <c r="G550" s="15">
        <v>35263</v>
      </c>
      <c r="H550" s="15">
        <v>17529</v>
      </c>
      <c r="I550" s="17">
        <v>36033</v>
      </c>
      <c r="J550" s="24">
        <f t="shared" si="31"/>
        <v>88825</v>
      </c>
      <c r="K550" s="15">
        <v>168</v>
      </c>
      <c r="L550" s="15">
        <v>32929</v>
      </c>
      <c r="M550" s="15">
        <v>19403</v>
      </c>
      <c r="N550" s="17">
        <v>43</v>
      </c>
      <c r="O550" s="26">
        <f aca="true" t="shared" si="32" ref="O550:O581">SUM(K550:N550)</f>
        <v>52543</v>
      </c>
      <c r="P550" s="25"/>
      <c r="Q550" s="23"/>
      <c r="R550" s="23"/>
      <c r="S550" s="24"/>
      <c r="T550" s="26"/>
      <c r="U550" s="15"/>
      <c r="V550" s="15"/>
      <c r="W550" s="15"/>
      <c r="X550" s="15"/>
      <c r="Y550" s="15"/>
      <c r="Z550" s="35"/>
      <c r="AA550" s="35"/>
      <c r="AB550" s="35"/>
      <c r="AC550" s="35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</row>
    <row r="551" spans="1:108" ht="12.75">
      <c r="A551" s="15" t="s">
        <v>673</v>
      </c>
      <c r="B551" s="16" t="s">
        <v>62</v>
      </c>
      <c r="C551" s="15" t="s">
        <v>746</v>
      </c>
      <c r="D551" s="21" t="s">
        <v>747</v>
      </c>
      <c r="E551" s="22" t="s">
        <v>167</v>
      </c>
      <c r="F551" s="23"/>
      <c r="G551" s="15">
        <f>49340+3986</f>
        <v>53326</v>
      </c>
      <c r="H551" s="15">
        <v>23726</v>
      </c>
      <c r="I551" s="17">
        <v>58019</v>
      </c>
      <c r="J551" s="24">
        <f t="shared" si="31"/>
        <v>135071</v>
      </c>
      <c r="K551" s="15">
        <v>89648</v>
      </c>
      <c r="L551" s="15">
        <v>119805</v>
      </c>
      <c r="M551" s="15">
        <v>83410</v>
      </c>
      <c r="N551" s="17">
        <v>166072</v>
      </c>
      <c r="O551" s="26">
        <f t="shared" si="32"/>
        <v>458935</v>
      </c>
      <c r="P551" s="25"/>
      <c r="Q551" s="23"/>
      <c r="R551" s="23"/>
      <c r="S551" s="24"/>
      <c r="T551" s="26"/>
      <c r="U551" s="15"/>
      <c r="V551" s="15"/>
      <c r="W551" s="15"/>
      <c r="X551" s="15"/>
      <c r="Y551" s="15"/>
      <c r="Z551" s="35"/>
      <c r="AA551" s="35"/>
      <c r="AB551" s="35"/>
      <c r="AC551" s="35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</row>
    <row r="552" spans="1:108" ht="12.75">
      <c r="A552" s="15" t="s">
        <v>673</v>
      </c>
      <c r="B552" s="16" t="s">
        <v>62</v>
      </c>
      <c r="C552" s="15" t="s">
        <v>748</v>
      </c>
      <c r="D552" s="21" t="s">
        <v>749</v>
      </c>
      <c r="E552" s="22" t="s">
        <v>167</v>
      </c>
      <c r="F552" s="23"/>
      <c r="G552" s="15">
        <v>32512</v>
      </c>
      <c r="H552" s="15">
        <v>8921</v>
      </c>
      <c r="I552" s="17">
        <v>36554</v>
      </c>
      <c r="J552" s="24">
        <f t="shared" si="31"/>
        <v>77987</v>
      </c>
      <c r="K552" s="15">
        <v>64341</v>
      </c>
      <c r="L552" s="15">
        <v>49826</v>
      </c>
      <c r="M552" s="15">
        <v>69566</v>
      </c>
      <c r="N552" s="17">
        <v>76131</v>
      </c>
      <c r="O552" s="26">
        <f t="shared" si="32"/>
        <v>259864</v>
      </c>
      <c r="P552" s="25"/>
      <c r="Q552" s="23"/>
      <c r="R552" s="23"/>
      <c r="S552" s="24"/>
      <c r="T552" s="26"/>
      <c r="U552" s="15"/>
      <c r="V552" s="15"/>
      <c r="W552" s="15"/>
      <c r="X552" s="15"/>
      <c r="Y552" s="15"/>
      <c r="Z552" s="35"/>
      <c r="AA552" s="35"/>
      <c r="AB552" s="35"/>
      <c r="AC552" s="35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</row>
    <row r="553" spans="1:108" ht="12.75">
      <c r="A553" s="15" t="s">
        <v>673</v>
      </c>
      <c r="B553" s="16" t="s">
        <v>62</v>
      </c>
      <c r="C553" s="15" t="s">
        <v>750</v>
      </c>
      <c r="D553" s="21" t="s">
        <v>751</v>
      </c>
      <c r="E553" s="22" t="s">
        <v>167</v>
      </c>
      <c r="F553" s="23"/>
      <c r="G553" s="15">
        <v>190036</v>
      </c>
      <c r="H553" s="15">
        <v>106808</v>
      </c>
      <c r="I553" s="17">
        <v>195873</v>
      </c>
      <c r="J553" s="24">
        <f t="shared" si="31"/>
        <v>492717</v>
      </c>
      <c r="K553" s="15">
        <v>104922</v>
      </c>
      <c r="L553" s="15">
        <v>101964</v>
      </c>
      <c r="M553" s="15">
        <v>74387</v>
      </c>
      <c r="N553" s="17">
        <v>135472</v>
      </c>
      <c r="O553" s="26">
        <f t="shared" si="32"/>
        <v>416745</v>
      </c>
      <c r="P553" s="25"/>
      <c r="Q553" s="23"/>
      <c r="R553" s="23"/>
      <c r="S553" s="24"/>
      <c r="T553" s="26"/>
      <c r="U553" s="15"/>
      <c r="V553" s="15"/>
      <c r="W553" s="15"/>
      <c r="X553" s="15"/>
      <c r="Y553" s="15"/>
      <c r="Z553" s="35"/>
      <c r="AA553" s="35"/>
      <c r="AB553" s="35"/>
      <c r="AC553" s="35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</row>
    <row r="554" spans="1:108" ht="12.75">
      <c r="A554" s="15" t="s">
        <v>673</v>
      </c>
      <c r="B554" s="16" t="s">
        <v>62</v>
      </c>
      <c r="C554" s="15" t="s">
        <v>752</v>
      </c>
      <c r="D554" s="21" t="s">
        <v>753</v>
      </c>
      <c r="E554" s="22" t="s">
        <v>167</v>
      </c>
      <c r="F554" s="23"/>
      <c r="G554" s="15">
        <v>26781</v>
      </c>
      <c r="H554" s="15">
        <v>11914</v>
      </c>
      <c r="I554" s="17">
        <v>28229</v>
      </c>
      <c r="J554" s="24">
        <f t="shared" si="31"/>
        <v>66924</v>
      </c>
      <c r="K554" s="15">
        <v>20925</v>
      </c>
      <c r="L554" s="15">
        <v>65394</v>
      </c>
      <c r="M554" s="15">
        <v>61840</v>
      </c>
      <c r="N554" s="17">
        <v>36287</v>
      </c>
      <c r="O554" s="26">
        <f t="shared" si="32"/>
        <v>184446</v>
      </c>
      <c r="P554" s="25"/>
      <c r="Q554" s="23"/>
      <c r="R554" s="23"/>
      <c r="S554" s="24"/>
      <c r="T554" s="26"/>
      <c r="U554" s="15"/>
      <c r="V554" s="15"/>
      <c r="W554" s="15"/>
      <c r="X554" s="15"/>
      <c r="Y554" s="15"/>
      <c r="Z554" s="35"/>
      <c r="AA554" s="35"/>
      <c r="AB554" s="35"/>
      <c r="AC554" s="35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</row>
    <row r="555" spans="1:108" ht="12.75">
      <c r="A555" s="15" t="s">
        <v>673</v>
      </c>
      <c r="B555" s="16" t="s">
        <v>62</v>
      </c>
      <c r="C555" s="15" t="s">
        <v>754</v>
      </c>
      <c r="D555" s="21" t="s">
        <v>755</v>
      </c>
      <c r="E555" s="22" t="s">
        <v>167</v>
      </c>
      <c r="F555" s="23"/>
      <c r="G555" s="15">
        <v>89983</v>
      </c>
      <c r="H555" s="15">
        <v>37834</v>
      </c>
      <c r="I555" s="17">
        <v>99485</v>
      </c>
      <c r="J555" s="24">
        <f t="shared" si="31"/>
        <v>227302</v>
      </c>
      <c r="K555" s="15">
        <v>15105</v>
      </c>
      <c r="L555" s="15">
        <v>11460</v>
      </c>
      <c r="M555" s="15">
        <v>21205</v>
      </c>
      <c r="N555" s="17">
        <v>17247</v>
      </c>
      <c r="O555" s="26">
        <f t="shared" si="32"/>
        <v>65017</v>
      </c>
      <c r="P555" s="25"/>
      <c r="Q555" s="23"/>
      <c r="R555" s="23"/>
      <c r="S555" s="24"/>
      <c r="T555" s="26"/>
      <c r="U555" s="15"/>
      <c r="V555" s="15"/>
      <c r="W555" s="15"/>
      <c r="X555" s="15"/>
      <c r="Y555" s="15"/>
      <c r="Z555" s="35"/>
      <c r="AA555" s="35"/>
      <c r="AB555" s="35"/>
      <c r="AC555" s="35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</row>
    <row r="556" spans="1:108" ht="12.75">
      <c r="A556" s="15" t="s">
        <v>673</v>
      </c>
      <c r="B556" s="16" t="s">
        <v>62</v>
      </c>
      <c r="C556" s="15" t="s">
        <v>756</v>
      </c>
      <c r="D556" s="21" t="s">
        <v>757</v>
      </c>
      <c r="E556" s="22" t="s">
        <v>167</v>
      </c>
      <c r="F556" s="23"/>
      <c r="G556" s="15">
        <v>21684</v>
      </c>
      <c r="H556" s="15">
        <v>10080</v>
      </c>
      <c r="I556" s="17">
        <v>25579</v>
      </c>
      <c r="J556" s="24">
        <f t="shared" si="31"/>
        <v>57343</v>
      </c>
      <c r="K556" s="15">
        <v>21715</v>
      </c>
      <c r="L556" s="15">
        <v>2476</v>
      </c>
      <c r="M556" s="15">
        <v>3244</v>
      </c>
      <c r="N556" s="17">
        <v>24707</v>
      </c>
      <c r="O556" s="26">
        <f t="shared" si="32"/>
        <v>52142</v>
      </c>
      <c r="P556" s="25"/>
      <c r="Q556" s="23"/>
      <c r="R556" s="23"/>
      <c r="S556" s="24"/>
      <c r="T556" s="26"/>
      <c r="U556" s="15"/>
      <c r="V556" s="15"/>
      <c r="W556" s="15"/>
      <c r="X556" s="15"/>
      <c r="Y556" s="15"/>
      <c r="Z556" s="35"/>
      <c r="AA556" s="35"/>
      <c r="AB556" s="35"/>
      <c r="AC556" s="35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</row>
    <row r="557" spans="1:108" ht="12.75">
      <c r="A557" s="15" t="s">
        <v>673</v>
      </c>
      <c r="B557" s="16" t="s">
        <v>62</v>
      </c>
      <c r="C557" s="15" t="s">
        <v>758</v>
      </c>
      <c r="D557" s="21" t="s">
        <v>759</v>
      </c>
      <c r="E557" s="22" t="s">
        <v>167</v>
      </c>
      <c r="F557" s="23"/>
      <c r="G557" s="15">
        <v>58129</v>
      </c>
      <c r="H557" s="15">
        <v>23444</v>
      </c>
      <c r="I557" s="17">
        <v>58496</v>
      </c>
      <c r="J557" s="24">
        <f t="shared" si="31"/>
        <v>140069</v>
      </c>
      <c r="K557" s="15">
        <v>59269</v>
      </c>
      <c r="L557" s="15">
        <v>54369</v>
      </c>
      <c r="M557" s="15">
        <v>58653</v>
      </c>
      <c r="N557" s="17">
        <v>108305</v>
      </c>
      <c r="O557" s="26">
        <f t="shared" si="32"/>
        <v>280596</v>
      </c>
      <c r="P557" s="25"/>
      <c r="Q557" s="23"/>
      <c r="R557" s="23"/>
      <c r="S557" s="24"/>
      <c r="T557" s="26"/>
      <c r="U557" s="15"/>
      <c r="V557" s="15"/>
      <c r="W557" s="15"/>
      <c r="X557" s="15"/>
      <c r="Y557" s="15"/>
      <c r="Z557" s="35"/>
      <c r="AA557" s="35"/>
      <c r="AB557" s="35"/>
      <c r="AC557" s="35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</row>
    <row r="558" spans="1:108" ht="12.75">
      <c r="A558" s="15" t="s">
        <v>673</v>
      </c>
      <c r="B558" s="16" t="s">
        <v>62</v>
      </c>
      <c r="C558" s="15" t="s">
        <v>760</v>
      </c>
      <c r="D558" s="21" t="s">
        <v>761</v>
      </c>
      <c r="E558" s="22" t="s">
        <v>167</v>
      </c>
      <c r="F558" s="23"/>
      <c r="G558" s="15">
        <v>20336</v>
      </c>
      <c r="H558" s="15">
        <v>7974</v>
      </c>
      <c r="I558" s="17">
        <v>23480</v>
      </c>
      <c r="J558" s="24">
        <f t="shared" si="31"/>
        <v>51790</v>
      </c>
      <c r="K558" s="15">
        <v>59336</v>
      </c>
      <c r="L558" s="15">
        <v>88643</v>
      </c>
      <c r="M558" s="15">
        <v>70300</v>
      </c>
      <c r="N558" s="17">
        <v>110944</v>
      </c>
      <c r="O558" s="26">
        <f t="shared" si="32"/>
        <v>329223</v>
      </c>
      <c r="P558" s="25"/>
      <c r="Q558" s="23"/>
      <c r="R558" s="23"/>
      <c r="S558" s="24"/>
      <c r="T558" s="26"/>
      <c r="U558" s="15"/>
      <c r="V558" s="15"/>
      <c r="W558" s="15"/>
      <c r="X558" s="15"/>
      <c r="Y558" s="15"/>
      <c r="Z558" s="35"/>
      <c r="AA558" s="35"/>
      <c r="AB558" s="35"/>
      <c r="AC558" s="35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</row>
    <row r="559" spans="1:108" ht="12.75">
      <c r="A559" s="15" t="s">
        <v>673</v>
      </c>
      <c r="B559" s="16" t="s">
        <v>62</v>
      </c>
      <c r="C559" s="15" t="s">
        <v>762</v>
      </c>
      <c r="D559" s="21" t="s">
        <v>763</v>
      </c>
      <c r="E559" s="22" t="s">
        <v>167</v>
      </c>
      <c r="F559" s="23"/>
      <c r="G559" s="15">
        <v>61987</v>
      </c>
      <c r="H559" s="15">
        <v>55779</v>
      </c>
      <c r="I559" s="17">
        <v>58346</v>
      </c>
      <c r="J559" s="24">
        <f t="shared" si="31"/>
        <v>176112</v>
      </c>
      <c r="K559" s="15">
        <v>119600</v>
      </c>
      <c r="L559" s="15">
        <v>139240</v>
      </c>
      <c r="M559" s="15">
        <v>169023</v>
      </c>
      <c r="N559" s="17">
        <v>204780</v>
      </c>
      <c r="O559" s="26">
        <f t="shared" si="32"/>
        <v>632643</v>
      </c>
      <c r="P559" s="25"/>
      <c r="Q559" s="23"/>
      <c r="R559" s="23"/>
      <c r="S559" s="24"/>
      <c r="T559" s="26"/>
      <c r="U559" s="15"/>
      <c r="V559" s="15"/>
      <c r="W559" s="15"/>
      <c r="X559" s="15"/>
      <c r="Y559" s="15"/>
      <c r="Z559" s="35"/>
      <c r="AA559" s="35"/>
      <c r="AB559" s="35"/>
      <c r="AC559" s="35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</row>
    <row r="560" spans="1:108" ht="12.75">
      <c r="A560" s="15" t="s">
        <v>673</v>
      </c>
      <c r="B560" s="16" t="s">
        <v>62</v>
      </c>
      <c r="C560" s="15" t="s">
        <v>764</v>
      </c>
      <c r="D560" s="21" t="s">
        <v>765</v>
      </c>
      <c r="E560" s="22" t="s">
        <v>167</v>
      </c>
      <c r="F560" s="23"/>
      <c r="G560" s="15">
        <v>23359</v>
      </c>
      <c r="H560" s="15">
        <v>6208</v>
      </c>
      <c r="I560" s="17">
        <v>25934</v>
      </c>
      <c r="J560" s="24">
        <f t="shared" si="31"/>
        <v>55501</v>
      </c>
      <c r="K560" s="15">
        <v>7008</v>
      </c>
      <c r="L560" s="15">
        <v>7965</v>
      </c>
      <c r="M560" s="15">
        <v>5416</v>
      </c>
      <c r="N560" s="17">
        <v>2828</v>
      </c>
      <c r="O560" s="26">
        <f t="shared" si="32"/>
        <v>23217</v>
      </c>
      <c r="P560" s="25"/>
      <c r="Q560" s="23"/>
      <c r="R560" s="23"/>
      <c r="S560" s="24"/>
      <c r="T560" s="26"/>
      <c r="U560" s="15"/>
      <c r="V560" s="15"/>
      <c r="W560" s="15"/>
      <c r="X560" s="15"/>
      <c r="Y560" s="15"/>
      <c r="Z560" s="35"/>
      <c r="AA560" s="35"/>
      <c r="AB560" s="35"/>
      <c r="AC560" s="35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86"/>
      <c r="DD560" s="86"/>
    </row>
    <row r="561" spans="1:100" ht="12.75">
      <c r="A561" s="15" t="s">
        <v>673</v>
      </c>
      <c r="B561" s="16" t="s">
        <v>62</v>
      </c>
      <c r="C561" s="15" t="s">
        <v>766</v>
      </c>
      <c r="D561" s="21" t="s">
        <v>767</v>
      </c>
      <c r="E561" s="22" t="s">
        <v>167</v>
      </c>
      <c r="F561" s="23"/>
      <c r="G561" s="15">
        <v>7533</v>
      </c>
      <c r="H561" s="15">
        <v>2340</v>
      </c>
      <c r="I561" s="17">
        <v>8023</v>
      </c>
      <c r="J561" s="24">
        <f t="shared" si="31"/>
        <v>17896</v>
      </c>
      <c r="K561" s="15">
        <v>23618</v>
      </c>
      <c r="L561" s="15">
        <v>26908</v>
      </c>
      <c r="M561" s="15">
        <v>23652</v>
      </c>
      <c r="N561" s="17">
        <v>26926</v>
      </c>
      <c r="O561" s="26">
        <f t="shared" si="32"/>
        <v>101104</v>
      </c>
      <c r="P561" s="25"/>
      <c r="Q561" s="23"/>
      <c r="R561" s="23"/>
      <c r="S561" s="24"/>
      <c r="T561" s="26"/>
      <c r="U561" s="15"/>
      <c r="V561" s="15"/>
      <c r="W561" s="15"/>
      <c r="X561" s="15"/>
      <c r="Y561" s="15"/>
      <c r="Z561" s="35"/>
      <c r="AA561" s="35"/>
      <c r="AB561" s="35"/>
      <c r="AC561" s="35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</row>
    <row r="562" spans="1:100" ht="12.75">
      <c r="A562" s="15" t="s">
        <v>673</v>
      </c>
      <c r="B562" s="16" t="s">
        <v>62</v>
      </c>
      <c r="C562" s="15" t="s">
        <v>768</v>
      </c>
      <c r="D562" s="21" t="s">
        <v>769</v>
      </c>
      <c r="E562" s="22" t="s">
        <v>167</v>
      </c>
      <c r="F562" s="23"/>
      <c r="G562" s="15">
        <v>28710</v>
      </c>
      <c r="H562" s="15">
        <v>12731</v>
      </c>
      <c r="I562" s="17">
        <v>31453</v>
      </c>
      <c r="J562" s="24">
        <f t="shared" si="31"/>
        <v>72894</v>
      </c>
      <c r="K562" s="15">
        <v>57745</v>
      </c>
      <c r="L562" s="15">
        <v>60206</v>
      </c>
      <c r="M562" s="15">
        <v>51760</v>
      </c>
      <c r="N562" s="17">
        <v>82481</v>
      </c>
      <c r="O562" s="26">
        <f t="shared" si="32"/>
        <v>252192</v>
      </c>
      <c r="P562" s="25"/>
      <c r="Q562" s="23"/>
      <c r="R562" s="23"/>
      <c r="S562" s="24"/>
      <c r="T562" s="26"/>
      <c r="U562" s="15"/>
      <c r="V562" s="15"/>
      <c r="W562" s="15"/>
      <c r="X562" s="15"/>
      <c r="Y562" s="15"/>
      <c r="Z562" s="35"/>
      <c r="AA562" s="35"/>
      <c r="AB562" s="35"/>
      <c r="AC562" s="35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</row>
    <row r="563" spans="1:100" ht="12.75">
      <c r="A563" s="15" t="s">
        <v>673</v>
      </c>
      <c r="B563" s="16" t="s">
        <v>62</v>
      </c>
      <c r="C563" s="15" t="s">
        <v>770</v>
      </c>
      <c r="D563" s="21" t="s">
        <v>771</v>
      </c>
      <c r="E563" s="22" t="s">
        <v>167</v>
      </c>
      <c r="F563" s="23"/>
      <c r="G563" s="15">
        <v>76791</v>
      </c>
      <c r="H563" s="15">
        <v>31825</v>
      </c>
      <c r="I563" s="17">
        <v>82893</v>
      </c>
      <c r="J563" s="24">
        <f t="shared" si="31"/>
        <v>191509</v>
      </c>
      <c r="K563" s="15">
        <v>74743</v>
      </c>
      <c r="L563" s="15">
        <v>61934</v>
      </c>
      <c r="M563" s="15">
        <v>78545</v>
      </c>
      <c r="N563" s="17">
        <v>102708</v>
      </c>
      <c r="O563" s="26">
        <f t="shared" si="32"/>
        <v>317930</v>
      </c>
      <c r="P563" s="25"/>
      <c r="Q563" s="23"/>
      <c r="R563" s="23"/>
      <c r="S563" s="24"/>
      <c r="T563" s="26"/>
      <c r="U563" s="15"/>
      <c r="V563" s="15"/>
      <c r="W563" s="15"/>
      <c r="X563" s="15"/>
      <c r="Y563" s="15"/>
      <c r="Z563" s="35"/>
      <c r="AA563" s="35"/>
      <c r="AB563" s="35"/>
      <c r="AC563" s="35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</row>
    <row r="564" spans="1:100" ht="12.75">
      <c r="A564" s="15" t="s">
        <v>673</v>
      </c>
      <c r="B564" s="16" t="s">
        <v>62</v>
      </c>
      <c r="C564" s="15" t="s">
        <v>772</v>
      </c>
      <c r="D564" s="21" t="s">
        <v>773</v>
      </c>
      <c r="E564" s="22" t="s">
        <v>167</v>
      </c>
      <c r="F564" s="23"/>
      <c r="G564" s="15">
        <v>84897</v>
      </c>
      <c r="H564" s="15">
        <v>32814</v>
      </c>
      <c r="I564" s="17">
        <v>90764</v>
      </c>
      <c r="J564" s="24">
        <f t="shared" si="31"/>
        <v>208475</v>
      </c>
      <c r="K564" s="15">
        <v>144442</v>
      </c>
      <c r="L564" s="15">
        <v>82527</v>
      </c>
      <c r="M564" s="15">
        <v>118846</v>
      </c>
      <c r="N564" s="17">
        <v>129770</v>
      </c>
      <c r="O564" s="26">
        <f t="shared" si="32"/>
        <v>475585</v>
      </c>
      <c r="P564" s="25"/>
      <c r="Q564" s="23"/>
      <c r="R564" s="23"/>
      <c r="S564" s="24"/>
      <c r="T564" s="26"/>
      <c r="U564" s="15"/>
      <c r="V564" s="15"/>
      <c r="W564" s="15"/>
      <c r="X564" s="15"/>
      <c r="Y564" s="15"/>
      <c r="Z564" s="35"/>
      <c r="AA564" s="35"/>
      <c r="AB564" s="35"/>
      <c r="AC564" s="35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</row>
    <row r="565" spans="1:100" ht="12.75">
      <c r="A565" s="15" t="s">
        <v>673</v>
      </c>
      <c r="B565" s="16" t="s">
        <v>62</v>
      </c>
      <c r="C565" s="15" t="s">
        <v>774</v>
      </c>
      <c r="D565" s="21" t="s">
        <v>775</v>
      </c>
      <c r="E565" s="22" t="s">
        <v>167</v>
      </c>
      <c r="F565" s="23"/>
      <c r="G565" s="15">
        <v>61824</v>
      </c>
      <c r="H565" s="15">
        <v>24225</v>
      </c>
      <c r="I565" s="17">
        <v>64561</v>
      </c>
      <c r="J565" s="24">
        <f t="shared" si="31"/>
        <v>150610</v>
      </c>
      <c r="K565" s="15">
        <v>52916</v>
      </c>
      <c r="L565" s="15">
        <v>44257</v>
      </c>
      <c r="M565" s="15">
        <v>40999</v>
      </c>
      <c r="N565" s="17">
        <v>86333</v>
      </c>
      <c r="O565" s="26">
        <f t="shared" si="32"/>
        <v>224505</v>
      </c>
      <c r="P565" s="25"/>
      <c r="Q565" s="23"/>
      <c r="R565" s="23"/>
      <c r="S565" s="24"/>
      <c r="T565" s="26"/>
      <c r="U565" s="15"/>
      <c r="V565" s="15"/>
      <c r="W565" s="15"/>
      <c r="X565" s="15"/>
      <c r="Y565" s="15"/>
      <c r="Z565" s="35"/>
      <c r="AA565" s="35"/>
      <c r="AB565" s="35"/>
      <c r="AC565" s="35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</row>
    <row r="566" spans="1:100" ht="12.75">
      <c r="A566" s="15" t="s">
        <v>673</v>
      </c>
      <c r="B566" s="16" t="s">
        <v>62</v>
      </c>
      <c r="C566" s="15" t="s">
        <v>776</v>
      </c>
      <c r="D566" s="21" t="s">
        <v>777</v>
      </c>
      <c r="E566" s="22" t="s">
        <v>167</v>
      </c>
      <c r="F566" s="23"/>
      <c r="G566" s="15">
        <v>38596</v>
      </c>
      <c r="H566" s="15">
        <v>11228</v>
      </c>
      <c r="I566" s="17">
        <v>37728</v>
      </c>
      <c r="J566" s="24">
        <f t="shared" si="31"/>
        <v>87552</v>
      </c>
      <c r="K566" s="15">
        <v>223299</v>
      </c>
      <c r="L566" s="15">
        <v>170209</v>
      </c>
      <c r="M566" s="15">
        <v>168466</v>
      </c>
      <c r="N566" s="17">
        <v>234363</v>
      </c>
      <c r="O566" s="26">
        <f t="shared" si="32"/>
        <v>796337</v>
      </c>
      <c r="P566" s="25"/>
      <c r="Q566" s="23"/>
      <c r="R566" s="23"/>
      <c r="S566" s="24"/>
      <c r="T566" s="26"/>
      <c r="U566" s="15"/>
      <c r="V566" s="15"/>
      <c r="W566" s="15"/>
      <c r="X566" s="15"/>
      <c r="Y566" s="15"/>
      <c r="Z566" s="35"/>
      <c r="AA566" s="35"/>
      <c r="AB566" s="35"/>
      <c r="AC566" s="35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</row>
    <row r="567" spans="1:100" ht="12.75">
      <c r="A567" s="15" t="s">
        <v>673</v>
      </c>
      <c r="B567" s="16" t="s">
        <v>62</v>
      </c>
      <c r="C567" s="15" t="s">
        <v>778</v>
      </c>
      <c r="D567" s="21" t="s">
        <v>779</v>
      </c>
      <c r="E567" s="22" t="s">
        <v>167</v>
      </c>
      <c r="F567" s="23"/>
      <c r="G567" s="15">
        <v>174956</v>
      </c>
      <c r="H567" s="15">
        <v>36190</v>
      </c>
      <c r="I567" s="17">
        <v>196103</v>
      </c>
      <c r="J567" s="24">
        <f t="shared" si="31"/>
        <v>407249</v>
      </c>
      <c r="K567" s="15">
        <v>196389</v>
      </c>
      <c r="L567" s="15">
        <v>186343</v>
      </c>
      <c r="M567" s="15">
        <v>144366</v>
      </c>
      <c r="N567" s="17">
        <v>257513</v>
      </c>
      <c r="O567" s="26">
        <f t="shared" si="32"/>
        <v>784611</v>
      </c>
      <c r="P567" s="25"/>
      <c r="Q567" s="23"/>
      <c r="R567" s="23"/>
      <c r="S567" s="24"/>
      <c r="T567" s="26"/>
      <c r="U567" s="15"/>
      <c r="V567" s="15"/>
      <c r="W567" s="15"/>
      <c r="X567" s="15"/>
      <c r="Y567" s="15"/>
      <c r="Z567" s="35"/>
      <c r="AA567" s="35"/>
      <c r="AB567" s="35"/>
      <c r="AC567" s="35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</row>
    <row r="568" spans="1:100" ht="12.75">
      <c r="A568" s="15" t="s">
        <v>673</v>
      </c>
      <c r="B568" s="16" t="s">
        <v>62</v>
      </c>
      <c r="C568" s="15" t="s">
        <v>780</v>
      </c>
      <c r="D568" s="21" t="s">
        <v>781</v>
      </c>
      <c r="E568" s="22" t="s">
        <v>167</v>
      </c>
      <c r="F568" s="23"/>
      <c r="G568" s="15">
        <v>9414</v>
      </c>
      <c r="H568" s="15">
        <v>2463</v>
      </c>
      <c r="I568" s="17">
        <v>9226</v>
      </c>
      <c r="J568" s="24">
        <f t="shared" si="31"/>
        <v>21103</v>
      </c>
      <c r="K568" s="15">
        <v>22856</v>
      </c>
      <c r="L568" s="15">
        <v>20441</v>
      </c>
      <c r="M568" s="15">
        <v>11523</v>
      </c>
      <c r="N568" s="17">
        <v>33331</v>
      </c>
      <c r="O568" s="26">
        <f t="shared" si="32"/>
        <v>88151</v>
      </c>
      <c r="P568" s="25"/>
      <c r="Q568" s="23"/>
      <c r="R568" s="23"/>
      <c r="S568" s="24"/>
      <c r="T568" s="26"/>
      <c r="U568" s="15"/>
      <c r="V568" s="15"/>
      <c r="W568" s="15"/>
      <c r="X568" s="15"/>
      <c r="Y568" s="15"/>
      <c r="Z568" s="35"/>
      <c r="AA568" s="35"/>
      <c r="AB568" s="35"/>
      <c r="AC568" s="35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</row>
    <row r="569" spans="1:100" ht="12.75">
      <c r="A569" s="15" t="s">
        <v>673</v>
      </c>
      <c r="B569" s="16" t="s">
        <v>62</v>
      </c>
      <c r="C569" s="15" t="s">
        <v>782</v>
      </c>
      <c r="D569" s="21" t="s">
        <v>783</v>
      </c>
      <c r="E569" s="22" t="s">
        <v>167</v>
      </c>
      <c r="F569" s="23"/>
      <c r="G569" s="15">
        <v>15174</v>
      </c>
      <c r="H569" s="15">
        <v>6898</v>
      </c>
      <c r="I569" s="17">
        <v>18423</v>
      </c>
      <c r="J569" s="24">
        <f t="shared" si="31"/>
        <v>40495</v>
      </c>
      <c r="K569" s="15">
        <v>30999</v>
      </c>
      <c r="L569" s="15">
        <v>35867</v>
      </c>
      <c r="M569" s="15">
        <v>44540</v>
      </c>
      <c r="N569" s="17">
        <v>43054</v>
      </c>
      <c r="O569" s="26">
        <f t="shared" si="32"/>
        <v>154460</v>
      </c>
      <c r="P569" s="25"/>
      <c r="Q569" s="23"/>
      <c r="R569" s="23"/>
      <c r="S569" s="24"/>
      <c r="T569" s="26"/>
      <c r="U569" s="15"/>
      <c r="V569" s="15"/>
      <c r="W569" s="15"/>
      <c r="X569" s="15"/>
      <c r="Y569" s="15"/>
      <c r="Z569" s="35"/>
      <c r="AA569" s="35"/>
      <c r="AB569" s="35"/>
      <c r="AC569" s="35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</row>
    <row r="570" spans="1:100" ht="12.75">
      <c r="A570" s="15" t="s">
        <v>673</v>
      </c>
      <c r="B570" s="16" t="s">
        <v>62</v>
      </c>
      <c r="C570" s="15" t="s">
        <v>784</v>
      </c>
      <c r="D570" s="21" t="s">
        <v>785</v>
      </c>
      <c r="E570" s="22" t="s">
        <v>167</v>
      </c>
      <c r="F570" s="23"/>
      <c r="G570" s="15">
        <v>25013</v>
      </c>
      <c r="H570" s="15">
        <v>7702</v>
      </c>
      <c r="I570" s="17">
        <v>28307</v>
      </c>
      <c r="J570" s="24">
        <f t="shared" si="31"/>
        <v>61022</v>
      </c>
      <c r="K570" s="15">
        <v>73786</v>
      </c>
      <c r="L570" s="15">
        <v>79492</v>
      </c>
      <c r="M570" s="15">
        <v>49957</v>
      </c>
      <c r="N570" s="17">
        <v>62255</v>
      </c>
      <c r="O570" s="26">
        <f t="shared" si="32"/>
        <v>265490</v>
      </c>
      <c r="P570" s="23"/>
      <c r="Q570" s="23"/>
      <c r="R570" s="23"/>
      <c r="S570" s="24"/>
      <c r="T570" s="24"/>
      <c r="U570" s="15"/>
      <c r="V570" s="15"/>
      <c r="W570" s="15"/>
      <c r="X570" s="15"/>
      <c r="Y570" s="15"/>
      <c r="Z570" s="35"/>
      <c r="AA570" s="35"/>
      <c r="AB570" s="35"/>
      <c r="AC570" s="35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0"/>
    </row>
    <row r="571" spans="1:100" ht="12.75">
      <c r="A571" s="15" t="s">
        <v>673</v>
      </c>
      <c r="B571" s="16" t="s">
        <v>62</v>
      </c>
      <c r="C571" s="15" t="s">
        <v>786</v>
      </c>
      <c r="D571" s="21" t="s">
        <v>787</v>
      </c>
      <c r="E571" s="22" t="s">
        <v>167</v>
      </c>
      <c r="F571" s="23"/>
      <c r="G571" s="15">
        <v>17001</v>
      </c>
      <c r="H571" s="15">
        <v>7546</v>
      </c>
      <c r="I571" s="17">
        <v>22194</v>
      </c>
      <c r="J571" s="24">
        <f t="shared" si="31"/>
        <v>46741</v>
      </c>
      <c r="K571" s="15">
        <v>34</v>
      </c>
      <c r="L571" s="15">
        <v>8920</v>
      </c>
      <c r="M571" s="15">
        <v>1968</v>
      </c>
      <c r="N571" s="17">
        <v>6612</v>
      </c>
      <c r="O571" s="26">
        <f t="shared" si="32"/>
        <v>17534</v>
      </c>
      <c r="P571" s="23"/>
      <c r="Q571" s="23"/>
      <c r="R571" s="23"/>
      <c r="S571" s="24"/>
      <c r="T571" s="24"/>
      <c r="U571" s="15"/>
      <c r="V571" s="15"/>
      <c r="W571" s="15"/>
      <c r="X571" s="15"/>
      <c r="Y571" s="15"/>
      <c r="Z571" s="35"/>
      <c r="AA571" s="35"/>
      <c r="AB571" s="35"/>
      <c r="AC571" s="35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</row>
    <row r="572" spans="1:100" ht="12.75">
      <c r="A572" s="15" t="s">
        <v>673</v>
      </c>
      <c r="B572" s="16" t="s">
        <v>62</v>
      </c>
      <c r="C572" s="15" t="s">
        <v>788</v>
      </c>
      <c r="D572" s="21" t="s">
        <v>789</v>
      </c>
      <c r="E572" s="22" t="s">
        <v>167</v>
      </c>
      <c r="F572" s="23"/>
      <c r="G572" s="15">
        <v>258984</v>
      </c>
      <c r="H572" s="15">
        <v>126897</v>
      </c>
      <c r="I572" s="17">
        <v>253373</v>
      </c>
      <c r="J572" s="24">
        <f t="shared" si="31"/>
        <v>639254</v>
      </c>
      <c r="K572" s="15">
        <v>935642</v>
      </c>
      <c r="L572" s="15">
        <v>773137</v>
      </c>
      <c r="M572" s="15">
        <v>810794</v>
      </c>
      <c r="N572" s="17">
        <v>422368</v>
      </c>
      <c r="O572" s="26">
        <f t="shared" si="32"/>
        <v>2941941</v>
      </c>
      <c r="P572" s="23"/>
      <c r="Q572" s="23"/>
      <c r="R572" s="23"/>
      <c r="S572" s="24"/>
      <c r="T572" s="24"/>
      <c r="U572" s="15"/>
      <c r="V572" s="15"/>
      <c r="W572" s="15"/>
      <c r="X572" s="15"/>
      <c r="Y572" s="15"/>
      <c r="Z572" s="35"/>
      <c r="AA572" s="35"/>
      <c r="AB572" s="35"/>
      <c r="AC572" s="35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</row>
    <row r="573" spans="1:100" ht="12.75">
      <c r="A573" s="15" t="s">
        <v>673</v>
      </c>
      <c r="B573" s="16" t="s">
        <v>62</v>
      </c>
      <c r="C573" s="15" t="s">
        <v>790</v>
      </c>
      <c r="D573" s="21" t="s">
        <v>791</v>
      </c>
      <c r="E573" s="22" t="s">
        <v>167</v>
      </c>
      <c r="F573" s="23"/>
      <c r="G573" s="15">
        <f>20890+1044</f>
        <v>21934</v>
      </c>
      <c r="H573" s="15">
        <v>4779</v>
      </c>
      <c r="I573" s="17">
        <f>19861+1079</f>
        <v>20940</v>
      </c>
      <c r="J573" s="24">
        <f t="shared" si="31"/>
        <v>47653</v>
      </c>
      <c r="K573" s="15">
        <v>116695</v>
      </c>
      <c r="L573" s="15">
        <v>129993</v>
      </c>
      <c r="M573" s="15">
        <v>124815</v>
      </c>
      <c r="N573" s="17">
        <v>144893</v>
      </c>
      <c r="O573" s="26">
        <f t="shared" si="32"/>
        <v>516396</v>
      </c>
      <c r="P573" s="23"/>
      <c r="Q573" s="23"/>
      <c r="R573" s="23"/>
      <c r="S573" s="24"/>
      <c r="T573" s="24"/>
      <c r="U573" s="15"/>
      <c r="V573" s="15"/>
      <c r="W573" s="15"/>
      <c r="X573" s="15"/>
      <c r="Y573" s="15"/>
      <c r="Z573" s="35"/>
      <c r="AA573" s="35"/>
      <c r="AB573" s="35"/>
      <c r="AC573" s="35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</row>
    <row r="574" spans="1:100" ht="9" customHeight="1">
      <c r="A574" s="15" t="s">
        <v>673</v>
      </c>
      <c r="B574" s="16" t="s">
        <v>62</v>
      </c>
      <c r="C574" s="15" t="s">
        <v>792</v>
      </c>
      <c r="D574" s="21" t="s">
        <v>793</v>
      </c>
      <c r="E574" s="22" t="s">
        <v>167</v>
      </c>
      <c r="F574" s="23"/>
      <c r="G574" s="15">
        <v>37650</v>
      </c>
      <c r="H574" s="15">
        <v>9451</v>
      </c>
      <c r="I574" s="17">
        <v>44890</v>
      </c>
      <c r="J574" s="24">
        <f t="shared" si="31"/>
        <v>91991</v>
      </c>
      <c r="K574" s="15">
        <v>194499</v>
      </c>
      <c r="L574" s="15">
        <v>183997</v>
      </c>
      <c r="M574" s="15">
        <v>137435</v>
      </c>
      <c r="N574" s="17">
        <v>106243</v>
      </c>
      <c r="O574" s="26">
        <f t="shared" si="32"/>
        <v>622174</v>
      </c>
      <c r="P574" s="23"/>
      <c r="Q574" s="23"/>
      <c r="R574" s="23"/>
      <c r="S574" s="24"/>
      <c r="T574" s="24"/>
      <c r="U574" s="15"/>
      <c r="V574" s="15"/>
      <c r="W574" s="15"/>
      <c r="X574" s="15"/>
      <c r="Y574" s="15"/>
      <c r="Z574" s="35"/>
      <c r="AA574" s="35"/>
      <c r="AB574" s="35"/>
      <c r="AC574" s="35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</row>
    <row r="575" spans="1:100" ht="12.75">
      <c r="A575" s="15" t="s">
        <v>673</v>
      </c>
      <c r="B575" s="16" t="s">
        <v>62</v>
      </c>
      <c r="C575" s="15" t="s">
        <v>794</v>
      </c>
      <c r="D575" s="21" t="s">
        <v>795</v>
      </c>
      <c r="E575" s="22" t="s">
        <v>167</v>
      </c>
      <c r="F575" s="23"/>
      <c r="G575" s="15">
        <v>11898</v>
      </c>
      <c r="H575" s="15">
        <v>2306</v>
      </c>
      <c r="I575" s="17">
        <v>15150</v>
      </c>
      <c r="J575" s="24">
        <f t="shared" si="31"/>
        <v>29354</v>
      </c>
      <c r="K575" s="15">
        <v>34652</v>
      </c>
      <c r="L575" s="15">
        <v>25106</v>
      </c>
      <c r="M575" s="15">
        <v>39614</v>
      </c>
      <c r="N575" s="17">
        <v>21207</v>
      </c>
      <c r="O575" s="26">
        <f t="shared" si="32"/>
        <v>120579</v>
      </c>
      <c r="P575" s="23"/>
      <c r="Q575" s="23"/>
      <c r="R575" s="23"/>
      <c r="S575" s="24"/>
      <c r="T575" s="24"/>
      <c r="U575" s="15"/>
      <c r="V575" s="15"/>
      <c r="W575" s="15"/>
      <c r="X575" s="15"/>
      <c r="Y575" s="15"/>
      <c r="Z575" s="35"/>
      <c r="AA575" s="35"/>
      <c r="AB575" s="35"/>
      <c r="AC575" s="35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</row>
    <row r="576" spans="1:100" ht="12.75">
      <c r="A576" s="15" t="s">
        <v>673</v>
      </c>
      <c r="B576" s="16" t="s">
        <v>62</v>
      </c>
      <c r="C576" s="15" t="s">
        <v>796</v>
      </c>
      <c r="D576" s="21" t="s">
        <v>797</v>
      </c>
      <c r="E576" s="22" t="s">
        <v>167</v>
      </c>
      <c r="F576" s="23"/>
      <c r="G576" s="15">
        <v>12587</v>
      </c>
      <c r="H576" s="15">
        <v>3916</v>
      </c>
      <c r="I576" s="17">
        <v>13892</v>
      </c>
      <c r="J576" s="24">
        <f t="shared" si="31"/>
        <v>30395</v>
      </c>
      <c r="K576" s="15">
        <v>0</v>
      </c>
      <c r="L576" s="15">
        <v>1062</v>
      </c>
      <c r="M576" s="15">
        <v>0</v>
      </c>
      <c r="N576" s="17">
        <v>96</v>
      </c>
      <c r="O576" s="26">
        <f t="shared" si="32"/>
        <v>1158</v>
      </c>
      <c r="P576" s="23"/>
      <c r="Q576" s="23"/>
      <c r="R576" s="23"/>
      <c r="S576" s="24"/>
      <c r="T576" s="24"/>
      <c r="U576" s="15"/>
      <c r="V576" s="15"/>
      <c r="W576" s="15"/>
      <c r="X576" s="15"/>
      <c r="Y576" s="15"/>
      <c r="Z576" s="35"/>
      <c r="AA576" s="35"/>
      <c r="AB576" s="35"/>
      <c r="AC576" s="35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</row>
    <row r="577" spans="1:29" ht="12.75">
      <c r="A577" s="15" t="s">
        <v>673</v>
      </c>
      <c r="B577" s="16" t="s">
        <v>62</v>
      </c>
      <c r="C577" s="15" t="s">
        <v>798</v>
      </c>
      <c r="D577" s="21" t="s">
        <v>799</v>
      </c>
      <c r="E577" s="22" t="s">
        <v>167</v>
      </c>
      <c r="F577" s="23"/>
      <c r="G577" s="15">
        <v>22425</v>
      </c>
      <c r="H577" s="15">
        <v>9897</v>
      </c>
      <c r="I577" s="17">
        <v>23076</v>
      </c>
      <c r="J577" s="24">
        <f t="shared" si="31"/>
        <v>55398</v>
      </c>
      <c r="K577" s="15">
        <v>1884</v>
      </c>
      <c r="L577" s="15">
        <v>2280</v>
      </c>
      <c r="M577" s="15">
        <v>288</v>
      </c>
      <c r="N577" s="17">
        <v>1719</v>
      </c>
      <c r="O577" s="26">
        <f t="shared" si="32"/>
        <v>6171</v>
      </c>
      <c r="P577" s="23"/>
      <c r="Q577" s="23"/>
      <c r="R577" s="23"/>
      <c r="S577" s="24"/>
      <c r="T577" s="24"/>
      <c r="U577" s="15"/>
      <c r="V577" s="15"/>
      <c r="W577" s="15"/>
      <c r="X577" s="15"/>
      <c r="Y577" s="15"/>
      <c r="Z577" s="35"/>
      <c r="AA577" s="35"/>
      <c r="AB577" s="35"/>
      <c r="AC577" s="35"/>
    </row>
    <row r="578" spans="1:29" ht="12.75">
      <c r="A578" s="15" t="s">
        <v>673</v>
      </c>
      <c r="B578" s="16" t="s">
        <v>62</v>
      </c>
      <c r="C578" s="15" t="s">
        <v>800</v>
      </c>
      <c r="D578" s="21" t="s">
        <v>801</v>
      </c>
      <c r="E578" s="22" t="s">
        <v>167</v>
      </c>
      <c r="F578" s="23"/>
      <c r="G578" s="15">
        <v>63782</v>
      </c>
      <c r="H578" s="15">
        <v>16809</v>
      </c>
      <c r="I578" s="17">
        <v>68846</v>
      </c>
      <c r="J578" s="24">
        <f t="shared" si="31"/>
        <v>149437</v>
      </c>
      <c r="K578" s="15">
        <v>60956</v>
      </c>
      <c r="L578" s="15">
        <v>77942</v>
      </c>
      <c r="M578" s="15">
        <v>75320</v>
      </c>
      <c r="N578" s="17">
        <v>85480</v>
      </c>
      <c r="O578" s="26">
        <f t="shared" si="32"/>
        <v>299698</v>
      </c>
      <c r="P578" s="23"/>
      <c r="Q578" s="23"/>
      <c r="R578" s="23"/>
      <c r="S578" s="24"/>
      <c r="T578" s="24"/>
      <c r="U578" s="15"/>
      <c r="V578" s="15"/>
      <c r="W578" s="15"/>
      <c r="X578" s="15"/>
      <c r="Y578" s="15"/>
      <c r="Z578" s="35"/>
      <c r="AA578" s="35"/>
      <c r="AB578" s="35"/>
      <c r="AC578" s="35"/>
    </row>
    <row r="579" spans="1:29" ht="7.5" customHeight="1">
      <c r="A579" s="15" t="s">
        <v>673</v>
      </c>
      <c r="B579" s="16" t="s">
        <v>62</v>
      </c>
      <c r="C579" s="15" t="s">
        <v>802</v>
      </c>
      <c r="D579" s="21" t="s">
        <v>803</v>
      </c>
      <c r="E579" s="22" t="s">
        <v>167</v>
      </c>
      <c r="F579" s="23"/>
      <c r="G579" s="15">
        <v>45743</v>
      </c>
      <c r="H579" s="15">
        <v>22186</v>
      </c>
      <c r="I579" s="17">
        <v>48198</v>
      </c>
      <c r="J579" s="24">
        <f aca="true" t="shared" si="33" ref="J579:J610">SUM(F579:I579)</f>
        <v>116127</v>
      </c>
      <c r="K579" s="15">
        <v>107763</v>
      </c>
      <c r="L579" s="15">
        <v>153406</v>
      </c>
      <c r="M579" s="15">
        <v>119006</v>
      </c>
      <c r="N579" s="17">
        <v>152774</v>
      </c>
      <c r="O579" s="26">
        <f t="shared" si="32"/>
        <v>532949</v>
      </c>
      <c r="P579" s="23"/>
      <c r="Q579" s="23"/>
      <c r="R579" s="23"/>
      <c r="S579" s="24"/>
      <c r="T579" s="24"/>
      <c r="U579" s="15"/>
      <c r="V579" s="15"/>
      <c r="W579" s="15"/>
      <c r="X579" s="15"/>
      <c r="Y579" s="15"/>
      <c r="Z579" s="35"/>
      <c r="AA579" s="35"/>
      <c r="AB579" s="35"/>
      <c r="AC579" s="35"/>
    </row>
    <row r="580" spans="1:29" ht="7.5" customHeight="1">
      <c r="A580" s="15" t="s">
        <v>673</v>
      </c>
      <c r="B580" s="16" t="s">
        <v>62</v>
      </c>
      <c r="C580" s="15" t="s">
        <v>804</v>
      </c>
      <c r="D580" s="21" t="s">
        <v>805</v>
      </c>
      <c r="E580" s="22" t="s">
        <v>167</v>
      </c>
      <c r="F580" s="23"/>
      <c r="G580" s="15">
        <v>47801</v>
      </c>
      <c r="H580" s="15">
        <v>23220</v>
      </c>
      <c r="I580" s="17">
        <v>52107</v>
      </c>
      <c r="J580" s="24">
        <f t="shared" si="33"/>
        <v>123128</v>
      </c>
      <c r="K580" s="15">
        <v>35260</v>
      </c>
      <c r="L580" s="15">
        <v>54653</v>
      </c>
      <c r="M580" s="15">
        <v>21017</v>
      </c>
      <c r="N580" s="17">
        <v>39387</v>
      </c>
      <c r="O580" s="26">
        <f t="shared" si="32"/>
        <v>150317</v>
      </c>
      <c r="P580" s="23"/>
      <c r="Q580" s="23"/>
      <c r="R580" s="23"/>
      <c r="S580" s="24"/>
      <c r="T580" s="24"/>
      <c r="U580" s="15"/>
      <c r="V580" s="15"/>
      <c r="W580" s="15"/>
      <c r="X580" s="15"/>
      <c r="Y580" s="15"/>
      <c r="Z580" s="35"/>
      <c r="AA580" s="35"/>
      <c r="AB580" s="35"/>
      <c r="AC580" s="35"/>
    </row>
    <row r="581" spans="1:29" ht="9" customHeight="1">
      <c r="A581" s="15" t="s">
        <v>673</v>
      </c>
      <c r="B581" s="16" t="s">
        <v>62</v>
      </c>
      <c r="C581" s="15" t="s">
        <v>806</v>
      </c>
      <c r="D581" s="21" t="s">
        <v>807</v>
      </c>
      <c r="E581" s="22" t="s">
        <v>167</v>
      </c>
      <c r="F581" s="23"/>
      <c r="G581" s="15">
        <v>30332</v>
      </c>
      <c r="H581" s="15">
        <v>8632</v>
      </c>
      <c r="I581" s="17">
        <v>32678</v>
      </c>
      <c r="J581" s="24">
        <f t="shared" si="33"/>
        <v>71642</v>
      </c>
      <c r="K581" s="15">
        <v>21280</v>
      </c>
      <c r="L581" s="15">
        <v>29398</v>
      </c>
      <c r="M581" s="15">
        <v>22139</v>
      </c>
      <c r="N581" s="17">
        <v>32802</v>
      </c>
      <c r="O581" s="26">
        <f t="shared" si="32"/>
        <v>105619</v>
      </c>
      <c r="P581" s="23"/>
      <c r="Q581" s="23"/>
      <c r="R581" s="23"/>
      <c r="S581" s="24"/>
      <c r="T581" s="24"/>
      <c r="U581" s="15"/>
      <c r="V581" s="15"/>
      <c r="W581" s="15"/>
      <c r="X581" s="15"/>
      <c r="Y581" s="15"/>
      <c r="Z581" s="35"/>
      <c r="AA581" s="35"/>
      <c r="AB581" s="35"/>
      <c r="AC581" s="35"/>
    </row>
    <row r="582" spans="1:29" ht="12.75">
      <c r="A582" s="15" t="s">
        <v>673</v>
      </c>
      <c r="B582" s="16" t="s">
        <v>62</v>
      </c>
      <c r="C582" s="15" t="s">
        <v>808</v>
      </c>
      <c r="D582" s="21" t="s">
        <v>809</v>
      </c>
      <c r="E582" s="22" t="s">
        <v>167</v>
      </c>
      <c r="F582" s="23"/>
      <c r="G582" s="15">
        <v>44849</v>
      </c>
      <c r="H582" s="15">
        <v>16510</v>
      </c>
      <c r="I582" s="17">
        <v>44608</v>
      </c>
      <c r="J582" s="24">
        <f t="shared" si="33"/>
        <v>105967</v>
      </c>
      <c r="K582" s="15">
        <v>30932</v>
      </c>
      <c r="L582" s="15">
        <v>27271</v>
      </c>
      <c r="M582" s="15">
        <v>30515</v>
      </c>
      <c r="N582" s="17">
        <v>55884</v>
      </c>
      <c r="O582" s="26">
        <f aca="true" t="shared" si="34" ref="O582:O613">SUM(K582:N582)</f>
        <v>144602</v>
      </c>
      <c r="P582" s="23"/>
      <c r="Q582" s="23"/>
      <c r="R582" s="23"/>
      <c r="S582" s="24"/>
      <c r="T582" s="24"/>
      <c r="U582" s="15"/>
      <c r="V582" s="15"/>
      <c r="W582" s="15"/>
      <c r="X582" s="15"/>
      <c r="Y582" s="15"/>
      <c r="Z582" s="35"/>
      <c r="AA582" s="35"/>
      <c r="AB582" s="35"/>
      <c r="AC582" s="35"/>
    </row>
    <row r="583" spans="1:29" ht="12.75">
      <c r="A583" s="15" t="s">
        <v>673</v>
      </c>
      <c r="B583" s="16" t="s">
        <v>62</v>
      </c>
      <c r="C583" s="15" t="s">
        <v>810</v>
      </c>
      <c r="D583" s="21" t="s">
        <v>811</v>
      </c>
      <c r="E583" s="22" t="s">
        <v>167</v>
      </c>
      <c r="F583" s="23"/>
      <c r="G583" s="15">
        <v>30847</v>
      </c>
      <c r="H583" s="15">
        <v>10809</v>
      </c>
      <c r="I583" s="17">
        <v>36125</v>
      </c>
      <c r="J583" s="24">
        <f t="shared" si="33"/>
        <v>77781</v>
      </c>
      <c r="K583" s="15">
        <v>7096</v>
      </c>
      <c r="L583" s="15">
        <v>32415</v>
      </c>
      <c r="M583" s="15">
        <v>17295</v>
      </c>
      <c r="N583" s="17">
        <v>21012</v>
      </c>
      <c r="O583" s="26">
        <f t="shared" si="34"/>
        <v>77818</v>
      </c>
      <c r="P583" s="23"/>
      <c r="Q583" s="23"/>
      <c r="R583" s="23"/>
      <c r="S583" s="24"/>
      <c r="T583" s="24"/>
      <c r="U583" s="15"/>
      <c r="V583" s="15"/>
      <c r="W583" s="15"/>
      <c r="X583" s="15"/>
      <c r="Y583" s="15"/>
      <c r="Z583" s="35"/>
      <c r="AA583" s="35"/>
      <c r="AB583" s="35"/>
      <c r="AC583" s="35"/>
    </row>
    <row r="584" spans="1:29" ht="12.75">
      <c r="A584" s="15" t="s">
        <v>673</v>
      </c>
      <c r="B584" s="16" t="s">
        <v>62</v>
      </c>
      <c r="C584" s="15" t="s">
        <v>812</v>
      </c>
      <c r="D584" s="21" t="s">
        <v>813</v>
      </c>
      <c r="E584" s="22" t="s">
        <v>167</v>
      </c>
      <c r="F584" s="23"/>
      <c r="G584" s="15">
        <v>30836</v>
      </c>
      <c r="H584" s="15">
        <v>9022</v>
      </c>
      <c r="I584" s="17">
        <v>34761</v>
      </c>
      <c r="J584" s="24">
        <f t="shared" si="33"/>
        <v>74619</v>
      </c>
      <c r="K584" s="15">
        <v>1396</v>
      </c>
      <c r="L584" s="15">
        <v>8290</v>
      </c>
      <c r="M584" s="15">
        <v>5138</v>
      </c>
      <c r="N584" s="17">
        <v>10040</v>
      </c>
      <c r="O584" s="26">
        <f t="shared" si="34"/>
        <v>24864</v>
      </c>
      <c r="P584" s="23"/>
      <c r="Q584" s="23"/>
      <c r="R584" s="23"/>
      <c r="S584" s="24"/>
      <c r="T584" s="24"/>
      <c r="U584" s="15"/>
      <c r="V584" s="15"/>
      <c r="W584" s="15"/>
      <c r="X584" s="15"/>
      <c r="Y584" s="15"/>
      <c r="Z584" s="35"/>
      <c r="AA584" s="35"/>
      <c r="AB584" s="35"/>
      <c r="AC584" s="35"/>
    </row>
    <row r="585" spans="1:29" ht="12.75">
      <c r="A585" s="15" t="s">
        <v>673</v>
      </c>
      <c r="B585" s="16" t="s">
        <v>62</v>
      </c>
      <c r="C585" s="15" t="s">
        <v>814</v>
      </c>
      <c r="D585" s="21" t="s">
        <v>815</v>
      </c>
      <c r="E585" s="22" t="s">
        <v>167</v>
      </c>
      <c r="F585" s="23"/>
      <c r="G585" s="15">
        <v>152779</v>
      </c>
      <c r="H585" s="15">
        <v>59864</v>
      </c>
      <c r="I585" s="17">
        <v>166932</v>
      </c>
      <c r="J585" s="24">
        <f t="shared" si="33"/>
        <v>379575</v>
      </c>
      <c r="K585" s="15">
        <v>67521</v>
      </c>
      <c r="L585" s="15">
        <v>70180</v>
      </c>
      <c r="M585" s="15">
        <v>82457</v>
      </c>
      <c r="N585" s="17">
        <v>120884</v>
      </c>
      <c r="O585" s="26">
        <f t="shared" si="34"/>
        <v>341042</v>
      </c>
      <c r="P585" s="23"/>
      <c r="Q585" s="23"/>
      <c r="R585" s="23"/>
      <c r="S585" s="24"/>
      <c r="T585" s="24"/>
      <c r="U585" s="15"/>
      <c r="V585" s="15"/>
      <c r="W585" s="15"/>
      <c r="X585" s="15"/>
      <c r="Y585" s="15"/>
      <c r="Z585" s="35"/>
      <c r="AA585" s="35"/>
      <c r="AB585" s="35"/>
      <c r="AC585" s="35"/>
    </row>
    <row r="586" spans="1:29" ht="12.75">
      <c r="A586" s="15" t="s">
        <v>673</v>
      </c>
      <c r="B586" s="16" t="s">
        <v>62</v>
      </c>
      <c r="C586" s="15" t="s">
        <v>816</v>
      </c>
      <c r="D586" s="21" t="s">
        <v>817</v>
      </c>
      <c r="E586" s="22" t="s">
        <v>167</v>
      </c>
      <c r="F586" s="23"/>
      <c r="G586" s="15">
        <v>44539</v>
      </c>
      <c r="H586" s="15">
        <v>20721</v>
      </c>
      <c r="I586" s="17">
        <v>43051</v>
      </c>
      <c r="J586" s="24">
        <f t="shared" si="33"/>
        <v>108311</v>
      </c>
      <c r="K586" s="15">
        <v>49112</v>
      </c>
      <c r="L586" s="15">
        <v>59071</v>
      </c>
      <c r="M586" s="15">
        <v>67304</v>
      </c>
      <c r="N586" s="17">
        <v>90140</v>
      </c>
      <c r="O586" s="26">
        <f t="shared" si="34"/>
        <v>265627</v>
      </c>
      <c r="P586" s="23"/>
      <c r="Q586" s="23"/>
      <c r="R586" s="23"/>
      <c r="S586" s="24"/>
      <c r="T586" s="24"/>
      <c r="U586" s="15"/>
      <c r="V586" s="15"/>
      <c r="W586" s="15"/>
      <c r="X586" s="15"/>
      <c r="Y586" s="15"/>
      <c r="Z586" s="35"/>
      <c r="AA586" s="35"/>
      <c r="AB586" s="35"/>
      <c r="AC586" s="35"/>
    </row>
    <row r="587" spans="1:29" ht="12.75">
      <c r="A587" s="15" t="s">
        <v>673</v>
      </c>
      <c r="B587" s="16" t="s">
        <v>62</v>
      </c>
      <c r="C587" s="15" t="s">
        <v>818</v>
      </c>
      <c r="D587" s="21" t="s">
        <v>819</v>
      </c>
      <c r="E587" s="22" t="s">
        <v>167</v>
      </c>
      <c r="F587" s="23"/>
      <c r="G587" s="15">
        <v>18667</v>
      </c>
      <c r="H587" s="15">
        <v>6291</v>
      </c>
      <c r="I587" s="17">
        <v>19847</v>
      </c>
      <c r="J587" s="24">
        <f t="shared" si="33"/>
        <v>44805</v>
      </c>
      <c r="K587" s="15">
        <v>14398</v>
      </c>
      <c r="L587" s="15">
        <v>23456</v>
      </c>
      <c r="M587" s="15">
        <v>14828</v>
      </c>
      <c r="N587" s="17">
        <v>22493</v>
      </c>
      <c r="O587" s="26">
        <f t="shared" si="34"/>
        <v>75175</v>
      </c>
      <c r="P587" s="23"/>
      <c r="Q587" s="23"/>
      <c r="R587" s="23"/>
      <c r="S587" s="24"/>
      <c r="T587" s="24"/>
      <c r="U587" s="15"/>
      <c r="V587" s="15"/>
      <c r="W587" s="15"/>
      <c r="X587" s="15"/>
      <c r="Y587" s="15"/>
      <c r="Z587" s="35"/>
      <c r="AA587" s="35"/>
      <c r="AB587" s="35"/>
      <c r="AC587" s="35"/>
    </row>
    <row r="588" spans="1:29" ht="12.75">
      <c r="A588" s="15" t="s">
        <v>673</v>
      </c>
      <c r="B588" s="16" t="s">
        <v>62</v>
      </c>
      <c r="C588" s="15" t="s">
        <v>820</v>
      </c>
      <c r="D588" s="21" t="s">
        <v>821</v>
      </c>
      <c r="E588" s="22" t="s">
        <v>167</v>
      </c>
      <c r="F588" s="23"/>
      <c r="G588" s="15">
        <v>36431</v>
      </c>
      <c r="H588" s="15">
        <v>10971</v>
      </c>
      <c r="I588" s="17">
        <v>42070</v>
      </c>
      <c r="J588" s="24">
        <f t="shared" si="33"/>
        <v>89472</v>
      </c>
      <c r="K588" s="15">
        <v>56319</v>
      </c>
      <c r="L588" s="15">
        <v>52770</v>
      </c>
      <c r="M588" s="15">
        <v>54514</v>
      </c>
      <c r="N588" s="17">
        <v>0</v>
      </c>
      <c r="O588" s="26">
        <f t="shared" si="34"/>
        <v>163603</v>
      </c>
      <c r="P588" s="23"/>
      <c r="Q588" s="23"/>
      <c r="R588" s="23"/>
      <c r="S588" s="24"/>
      <c r="T588" s="24"/>
      <c r="U588" s="15"/>
      <c r="V588" s="15"/>
      <c r="W588" s="15"/>
      <c r="X588" s="15"/>
      <c r="Y588" s="15"/>
      <c r="Z588" s="35"/>
      <c r="AA588" s="35"/>
      <c r="AB588" s="35"/>
      <c r="AC588" s="35"/>
    </row>
    <row r="589" spans="1:29" ht="12.75">
      <c r="A589" s="15" t="s">
        <v>673</v>
      </c>
      <c r="B589" s="16" t="s">
        <v>62</v>
      </c>
      <c r="C589" s="15" t="s">
        <v>822</v>
      </c>
      <c r="D589" s="21" t="s">
        <v>823</v>
      </c>
      <c r="E589" s="22" t="s">
        <v>167</v>
      </c>
      <c r="F589" s="23"/>
      <c r="G589" s="15">
        <v>58293</v>
      </c>
      <c r="H589" s="15">
        <v>17816</v>
      </c>
      <c r="I589" s="17">
        <v>63208</v>
      </c>
      <c r="J589" s="24">
        <f t="shared" si="33"/>
        <v>139317</v>
      </c>
      <c r="K589" s="15">
        <v>12774</v>
      </c>
      <c r="L589" s="15">
        <v>16974</v>
      </c>
      <c r="M589" s="15">
        <v>15188</v>
      </c>
      <c r="N589" s="17">
        <v>14079</v>
      </c>
      <c r="O589" s="26">
        <f t="shared" si="34"/>
        <v>59015</v>
      </c>
      <c r="P589" s="23"/>
      <c r="Q589" s="23"/>
      <c r="R589" s="23"/>
      <c r="S589" s="24"/>
      <c r="T589" s="24"/>
      <c r="U589" s="15"/>
      <c r="V589" s="15"/>
      <c r="W589" s="15"/>
      <c r="X589" s="15"/>
      <c r="Y589" s="15"/>
      <c r="Z589" s="35"/>
      <c r="AA589" s="35"/>
      <c r="AB589" s="35"/>
      <c r="AC589" s="35"/>
    </row>
    <row r="590" spans="1:29" ht="12.75">
      <c r="A590" s="15" t="s">
        <v>673</v>
      </c>
      <c r="B590" s="16" t="s">
        <v>62</v>
      </c>
      <c r="C590" s="15" t="s">
        <v>824</v>
      </c>
      <c r="D590" s="21" t="s">
        <v>825</v>
      </c>
      <c r="E590" s="22" t="s">
        <v>167</v>
      </c>
      <c r="F590" s="23"/>
      <c r="G590" s="15">
        <v>16309</v>
      </c>
      <c r="H590" s="15">
        <v>6099</v>
      </c>
      <c r="I590" s="17">
        <v>17840</v>
      </c>
      <c r="J590" s="24">
        <f t="shared" si="33"/>
        <v>40248</v>
      </c>
      <c r="K590" s="15">
        <v>3282</v>
      </c>
      <c r="L590" s="15">
        <v>8088</v>
      </c>
      <c r="M590" s="15">
        <v>3414</v>
      </c>
      <c r="N590" s="17">
        <v>5212</v>
      </c>
      <c r="O590" s="26">
        <f t="shared" si="34"/>
        <v>19996</v>
      </c>
      <c r="P590" s="23"/>
      <c r="Q590" s="23"/>
      <c r="R590" s="23"/>
      <c r="S590" s="24"/>
      <c r="T590" s="24"/>
      <c r="U590" s="15"/>
      <c r="V590" s="15"/>
      <c r="W590" s="15"/>
      <c r="X590" s="15"/>
      <c r="Y590" s="15"/>
      <c r="Z590" s="35"/>
      <c r="AA590" s="35"/>
      <c r="AB590" s="35"/>
      <c r="AC590" s="35"/>
    </row>
    <row r="591" spans="1:29" ht="12.75">
      <c r="A591" s="15" t="s">
        <v>673</v>
      </c>
      <c r="B591" s="16" t="s">
        <v>62</v>
      </c>
      <c r="C591" s="15" t="s">
        <v>826</v>
      </c>
      <c r="D591" s="21" t="s">
        <v>827</v>
      </c>
      <c r="E591" s="22" t="s">
        <v>167</v>
      </c>
      <c r="F591" s="23"/>
      <c r="G591" s="15">
        <v>24211</v>
      </c>
      <c r="H591" s="15">
        <v>8601</v>
      </c>
      <c r="I591" s="17">
        <v>26406</v>
      </c>
      <c r="J591" s="24">
        <f t="shared" si="33"/>
        <v>59218</v>
      </c>
      <c r="K591" s="15">
        <v>9332</v>
      </c>
      <c r="L591" s="15">
        <v>30002</v>
      </c>
      <c r="M591" s="15">
        <v>18285</v>
      </c>
      <c r="N591" s="17">
        <v>30371</v>
      </c>
      <c r="O591" s="26">
        <f t="shared" si="34"/>
        <v>87990</v>
      </c>
      <c r="P591" s="23"/>
      <c r="Q591" s="23"/>
      <c r="R591" s="23"/>
      <c r="S591" s="24"/>
      <c r="T591" s="24"/>
      <c r="U591" s="15"/>
      <c r="V591" s="15"/>
      <c r="W591" s="15"/>
      <c r="X591" s="15"/>
      <c r="Y591" s="15"/>
      <c r="Z591" s="35"/>
      <c r="AA591" s="35"/>
      <c r="AB591" s="35"/>
      <c r="AC591" s="35"/>
    </row>
    <row r="592" spans="1:29" ht="12.75">
      <c r="A592" s="15" t="s">
        <v>673</v>
      </c>
      <c r="B592" s="16" t="s">
        <v>62</v>
      </c>
      <c r="C592" s="15" t="s">
        <v>828</v>
      </c>
      <c r="D592" s="21" t="s">
        <v>829</v>
      </c>
      <c r="E592" s="22" t="s">
        <v>167</v>
      </c>
      <c r="F592" s="23"/>
      <c r="G592" s="15">
        <v>7766</v>
      </c>
      <c r="H592" s="15">
        <v>2594</v>
      </c>
      <c r="I592" s="17">
        <v>9880</v>
      </c>
      <c r="J592" s="24">
        <f t="shared" si="33"/>
        <v>20240</v>
      </c>
      <c r="K592" s="15">
        <v>7169</v>
      </c>
      <c r="L592" s="15">
        <v>8448</v>
      </c>
      <c r="M592" s="15">
        <v>9968</v>
      </c>
      <c r="N592" s="17">
        <v>8960</v>
      </c>
      <c r="O592" s="26">
        <f t="shared" si="34"/>
        <v>34545</v>
      </c>
      <c r="P592" s="23"/>
      <c r="Q592" s="23"/>
      <c r="R592" s="23"/>
      <c r="S592" s="24"/>
      <c r="T592" s="24"/>
      <c r="U592" s="15"/>
      <c r="V592" s="15"/>
      <c r="W592" s="15"/>
      <c r="X592" s="15"/>
      <c r="Y592" s="15"/>
      <c r="Z592" s="35"/>
      <c r="AA592" s="35"/>
      <c r="AB592" s="35"/>
      <c r="AC592" s="35"/>
    </row>
    <row r="593" spans="1:29" ht="12.75">
      <c r="A593" s="15" t="s">
        <v>673</v>
      </c>
      <c r="B593" s="16" t="s">
        <v>62</v>
      </c>
      <c r="C593" s="15" t="s">
        <v>830</v>
      </c>
      <c r="D593" s="21" t="s">
        <v>831</v>
      </c>
      <c r="E593" s="22" t="s">
        <v>167</v>
      </c>
      <c r="F593" s="23"/>
      <c r="G593" s="15">
        <v>89667</v>
      </c>
      <c r="H593" s="15">
        <v>42235</v>
      </c>
      <c r="I593" s="17">
        <v>92748</v>
      </c>
      <c r="J593" s="24">
        <f t="shared" si="33"/>
        <v>224650</v>
      </c>
      <c r="K593" s="15">
        <v>146313</v>
      </c>
      <c r="L593" s="15">
        <v>150067</v>
      </c>
      <c r="M593" s="15">
        <v>144650</v>
      </c>
      <c r="N593" s="17">
        <v>224513</v>
      </c>
      <c r="O593" s="26">
        <f t="shared" si="34"/>
        <v>665543</v>
      </c>
      <c r="P593" s="23"/>
      <c r="Q593" s="23"/>
      <c r="R593" s="23"/>
      <c r="S593" s="24"/>
      <c r="T593" s="24"/>
      <c r="U593" s="15"/>
      <c r="V593" s="15"/>
      <c r="W593" s="15"/>
      <c r="X593" s="15"/>
      <c r="Y593" s="15"/>
      <c r="Z593" s="35"/>
      <c r="AA593" s="35"/>
      <c r="AB593" s="35"/>
      <c r="AC593" s="35"/>
    </row>
    <row r="594" spans="1:29" ht="12.75">
      <c r="A594" s="15" t="s">
        <v>673</v>
      </c>
      <c r="B594" s="16" t="s">
        <v>62</v>
      </c>
      <c r="C594" s="31" t="s">
        <v>832</v>
      </c>
      <c r="D594" s="30" t="s">
        <v>733</v>
      </c>
      <c r="E594" s="113" t="s">
        <v>167</v>
      </c>
      <c r="F594" s="23"/>
      <c r="G594" s="15">
        <v>175544</v>
      </c>
      <c r="H594" s="15">
        <v>65062</v>
      </c>
      <c r="I594" s="17">
        <v>186634</v>
      </c>
      <c r="J594" s="24">
        <f t="shared" si="33"/>
        <v>427240</v>
      </c>
      <c r="K594" s="15">
        <v>93741</v>
      </c>
      <c r="L594" s="15">
        <v>93764</v>
      </c>
      <c r="M594" s="15">
        <v>103179</v>
      </c>
      <c r="N594" s="17">
        <v>76990</v>
      </c>
      <c r="O594" s="26">
        <f t="shared" si="34"/>
        <v>367674</v>
      </c>
      <c r="P594" s="23"/>
      <c r="Q594" s="23"/>
      <c r="R594" s="23"/>
      <c r="S594" s="24"/>
      <c r="T594" s="24"/>
      <c r="U594" s="15"/>
      <c r="V594" s="15"/>
      <c r="W594" s="15"/>
      <c r="X594" s="15"/>
      <c r="Y594" s="15"/>
      <c r="Z594" s="35"/>
      <c r="AA594" s="35"/>
      <c r="AB594" s="35"/>
      <c r="AC594" s="35"/>
    </row>
    <row r="595" spans="1:29" ht="12.75">
      <c r="A595" s="15" t="s">
        <v>673</v>
      </c>
      <c r="B595" s="16" t="s">
        <v>62</v>
      </c>
      <c r="C595" s="15" t="s">
        <v>833</v>
      </c>
      <c r="D595" s="21" t="s">
        <v>834</v>
      </c>
      <c r="E595" s="22" t="s">
        <v>167</v>
      </c>
      <c r="F595" s="23"/>
      <c r="G595" s="15">
        <f>75875+30836+36611</f>
        <v>143322</v>
      </c>
      <c r="H595" s="15">
        <v>49807</v>
      </c>
      <c r="I595" s="17">
        <f>85715+35685+41749</f>
        <v>163149</v>
      </c>
      <c r="J595" s="24">
        <f t="shared" si="33"/>
        <v>356278</v>
      </c>
      <c r="K595" s="15">
        <f>48761+3515+8448</f>
        <v>60724</v>
      </c>
      <c r="L595" s="15">
        <f>52786+4288+7112</f>
        <v>64186</v>
      </c>
      <c r="M595" s="15">
        <f>75196+15474+10225</f>
        <v>100895</v>
      </c>
      <c r="N595" s="17">
        <f>64419+34608+13821</f>
        <v>112848</v>
      </c>
      <c r="O595" s="26">
        <f t="shared" si="34"/>
        <v>338653</v>
      </c>
      <c r="P595" s="23"/>
      <c r="Q595" s="23"/>
      <c r="R595" s="23"/>
      <c r="S595" s="24"/>
      <c r="T595" s="24"/>
      <c r="U595" s="15"/>
      <c r="V595" s="15"/>
      <c r="W595" s="15"/>
      <c r="X595" s="15"/>
      <c r="Y595" s="15"/>
      <c r="Z595" s="35"/>
      <c r="AA595" s="35"/>
      <c r="AB595" s="35"/>
      <c r="AC595" s="35"/>
    </row>
    <row r="596" spans="1:29" ht="12.75">
      <c r="A596" s="15" t="s">
        <v>673</v>
      </c>
      <c r="B596" s="16" t="s">
        <v>62</v>
      </c>
      <c r="C596" s="15" t="s">
        <v>835</v>
      </c>
      <c r="D596" s="21" t="s">
        <v>836</v>
      </c>
      <c r="E596" s="22" t="s">
        <v>167</v>
      </c>
      <c r="F596" s="23"/>
      <c r="G596" s="15">
        <v>53522</v>
      </c>
      <c r="H596" s="15">
        <v>17930</v>
      </c>
      <c r="I596" s="17">
        <v>59176</v>
      </c>
      <c r="J596" s="24">
        <f t="shared" si="33"/>
        <v>130628</v>
      </c>
      <c r="K596" s="15">
        <v>22263</v>
      </c>
      <c r="L596" s="15">
        <v>28892</v>
      </c>
      <c r="M596" s="15">
        <v>19498</v>
      </c>
      <c r="N596" s="17">
        <v>18636</v>
      </c>
      <c r="O596" s="26">
        <f t="shared" si="34"/>
        <v>89289</v>
      </c>
      <c r="P596" s="23"/>
      <c r="Q596" s="23"/>
      <c r="R596" s="23"/>
      <c r="S596" s="24"/>
      <c r="T596" s="24"/>
      <c r="U596" s="15"/>
      <c r="V596" s="15"/>
      <c r="W596" s="15"/>
      <c r="X596" s="15"/>
      <c r="Y596" s="15"/>
      <c r="Z596" s="35"/>
      <c r="AA596" s="35"/>
      <c r="AB596" s="35"/>
      <c r="AC596" s="35"/>
    </row>
    <row r="597" spans="1:29" ht="12.75">
      <c r="A597" s="15" t="s">
        <v>673</v>
      </c>
      <c r="B597" s="16" t="s">
        <v>62</v>
      </c>
      <c r="C597" s="31" t="s">
        <v>837</v>
      </c>
      <c r="D597" s="30" t="s">
        <v>838</v>
      </c>
      <c r="E597" s="113" t="s">
        <v>167</v>
      </c>
      <c r="F597" s="23"/>
      <c r="G597" s="15">
        <v>33095</v>
      </c>
      <c r="H597" s="15">
        <v>23201</v>
      </c>
      <c r="I597" s="17">
        <v>48967</v>
      </c>
      <c r="J597" s="24">
        <f t="shared" si="33"/>
        <v>105263</v>
      </c>
      <c r="K597" s="15">
        <v>11345</v>
      </c>
      <c r="L597" s="15">
        <v>6579</v>
      </c>
      <c r="M597" s="15">
        <v>3893</v>
      </c>
      <c r="N597" s="17">
        <v>18628</v>
      </c>
      <c r="O597" s="26">
        <f t="shared" si="34"/>
        <v>40445</v>
      </c>
      <c r="P597" s="23"/>
      <c r="Q597" s="23"/>
      <c r="R597" s="23"/>
      <c r="S597" s="24"/>
      <c r="T597" s="24"/>
      <c r="U597" s="15"/>
      <c r="V597" s="15"/>
      <c r="W597" s="15"/>
      <c r="X597" s="15"/>
      <c r="Y597" s="15"/>
      <c r="Z597" s="35"/>
      <c r="AA597" s="35"/>
      <c r="AB597" s="35"/>
      <c r="AC597" s="35"/>
    </row>
    <row r="598" spans="1:29" ht="12.75">
      <c r="A598" s="15" t="s">
        <v>673</v>
      </c>
      <c r="B598" s="16" t="s">
        <v>62</v>
      </c>
      <c r="C598" s="15" t="s">
        <v>839</v>
      </c>
      <c r="D598" s="21" t="s">
        <v>840</v>
      </c>
      <c r="E598" s="22" t="s">
        <v>167</v>
      </c>
      <c r="F598" s="23"/>
      <c r="G598" s="15">
        <v>31054</v>
      </c>
      <c r="H598" s="15">
        <v>6086</v>
      </c>
      <c r="I598" s="17">
        <v>32643</v>
      </c>
      <c r="J598" s="24">
        <f t="shared" si="33"/>
        <v>69783</v>
      </c>
      <c r="K598" s="15">
        <v>8843</v>
      </c>
      <c r="L598" s="15">
        <v>11641</v>
      </c>
      <c r="M598" s="15">
        <v>10719</v>
      </c>
      <c r="N598" s="17">
        <v>15122</v>
      </c>
      <c r="O598" s="26">
        <f t="shared" si="34"/>
        <v>46325</v>
      </c>
      <c r="P598" s="23"/>
      <c r="Q598" s="23"/>
      <c r="R598" s="23"/>
      <c r="S598" s="24"/>
      <c r="T598" s="24"/>
      <c r="U598" s="15"/>
      <c r="V598" s="15"/>
      <c r="W598" s="15"/>
      <c r="X598" s="15"/>
      <c r="Y598" s="15"/>
      <c r="Z598" s="35"/>
      <c r="AA598" s="35"/>
      <c r="AB598" s="35"/>
      <c r="AC598" s="35"/>
    </row>
    <row r="599" spans="1:29" ht="12.75">
      <c r="A599" s="15" t="s">
        <v>673</v>
      </c>
      <c r="B599" s="16" t="s">
        <v>62</v>
      </c>
      <c r="C599" s="15" t="s">
        <v>841</v>
      </c>
      <c r="D599" s="21" t="s">
        <v>842</v>
      </c>
      <c r="E599" s="22" t="s">
        <v>167</v>
      </c>
      <c r="F599" s="23"/>
      <c r="G599" s="15">
        <v>65510</v>
      </c>
      <c r="H599" s="15">
        <v>22611</v>
      </c>
      <c r="I599" s="17">
        <v>66242</v>
      </c>
      <c r="J599" s="24">
        <f t="shared" si="33"/>
        <v>154363</v>
      </c>
      <c r="K599" s="15">
        <v>13358</v>
      </c>
      <c r="L599" s="15">
        <v>15124</v>
      </c>
      <c r="M599" s="15">
        <v>8575</v>
      </c>
      <c r="N599" s="17">
        <v>12748</v>
      </c>
      <c r="O599" s="26">
        <f t="shared" si="34"/>
        <v>49805</v>
      </c>
      <c r="P599" s="23"/>
      <c r="Q599" s="23"/>
      <c r="R599" s="23"/>
      <c r="S599" s="24"/>
      <c r="T599" s="24"/>
      <c r="U599" s="15"/>
      <c r="V599" s="15"/>
      <c r="W599" s="15"/>
      <c r="X599" s="15"/>
      <c r="Y599" s="15"/>
      <c r="Z599" s="35"/>
      <c r="AA599" s="35"/>
      <c r="AB599" s="35"/>
      <c r="AC599" s="35"/>
    </row>
    <row r="600" spans="1:29" ht="12.75">
      <c r="A600" s="15" t="s">
        <v>673</v>
      </c>
      <c r="B600" s="16" t="s">
        <v>62</v>
      </c>
      <c r="C600" s="15" t="s">
        <v>843</v>
      </c>
      <c r="D600" s="21" t="s">
        <v>844</v>
      </c>
      <c r="E600" s="22" t="s">
        <v>167</v>
      </c>
      <c r="F600" s="23"/>
      <c r="G600" s="15">
        <f>82737+29681+74091</f>
        <v>186509</v>
      </c>
      <c r="H600" s="15">
        <v>65700</v>
      </c>
      <c r="I600" s="17">
        <f>79896+31946+64618</f>
        <v>176460</v>
      </c>
      <c r="J600" s="24">
        <f t="shared" si="33"/>
        <v>428669</v>
      </c>
      <c r="K600" s="15">
        <f>24012+70757+34463</f>
        <v>129232</v>
      </c>
      <c r="L600" s="15">
        <f>29388+72074+19816</f>
        <v>121278</v>
      </c>
      <c r="M600" s="15">
        <f>29474+53850+36080</f>
        <v>119404</v>
      </c>
      <c r="N600" s="17">
        <v>37727</v>
      </c>
      <c r="O600" s="26">
        <f t="shared" si="34"/>
        <v>407641</v>
      </c>
      <c r="P600" s="23"/>
      <c r="Q600" s="23"/>
      <c r="R600" s="23"/>
      <c r="S600" s="24"/>
      <c r="T600" s="24"/>
      <c r="U600" s="15"/>
      <c r="V600" s="15"/>
      <c r="W600" s="15"/>
      <c r="X600" s="15"/>
      <c r="Y600" s="15"/>
      <c r="Z600" s="35"/>
      <c r="AA600" s="35"/>
      <c r="AB600" s="35"/>
      <c r="AC600" s="35"/>
    </row>
    <row r="601" spans="1:29" ht="12.75">
      <c r="A601" s="15" t="s">
        <v>673</v>
      </c>
      <c r="B601" s="16" t="s">
        <v>62</v>
      </c>
      <c r="C601" s="15" t="s">
        <v>845</v>
      </c>
      <c r="D601" s="21" t="s">
        <v>846</v>
      </c>
      <c r="E601" s="22" t="s">
        <v>167</v>
      </c>
      <c r="F601" s="23"/>
      <c r="G601" s="15">
        <v>21274</v>
      </c>
      <c r="H601" s="15">
        <v>7610</v>
      </c>
      <c r="I601" s="17">
        <v>23571</v>
      </c>
      <c r="J601" s="24">
        <f t="shared" si="33"/>
        <v>52455</v>
      </c>
      <c r="K601" s="15">
        <v>2963</v>
      </c>
      <c r="L601" s="15">
        <v>7631</v>
      </c>
      <c r="M601" s="15">
        <v>11990</v>
      </c>
      <c r="N601" s="17">
        <v>12136</v>
      </c>
      <c r="O601" s="26">
        <f t="shared" si="34"/>
        <v>34720</v>
      </c>
      <c r="P601" s="23"/>
      <c r="Q601" s="23"/>
      <c r="R601" s="23"/>
      <c r="S601" s="24"/>
      <c r="T601" s="24"/>
      <c r="U601" s="15"/>
      <c r="V601" s="15"/>
      <c r="W601" s="15"/>
      <c r="X601" s="15"/>
      <c r="Y601" s="15"/>
      <c r="Z601" s="35"/>
      <c r="AA601" s="35"/>
      <c r="AB601" s="35"/>
      <c r="AC601" s="35"/>
    </row>
    <row r="602" spans="1:29" ht="12.75">
      <c r="A602" s="15" t="s">
        <v>673</v>
      </c>
      <c r="B602" s="16" t="s">
        <v>62</v>
      </c>
      <c r="C602" s="15" t="s">
        <v>847</v>
      </c>
      <c r="D602" s="21" t="s">
        <v>848</v>
      </c>
      <c r="E602" s="22" t="s">
        <v>167</v>
      </c>
      <c r="F602" s="23"/>
      <c r="G602" s="15">
        <v>28785</v>
      </c>
      <c r="H602" s="15">
        <v>6887</v>
      </c>
      <c r="I602" s="17">
        <v>31781</v>
      </c>
      <c r="J602" s="24">
        <f t="shared" si="33"/>
        <v>67453</v>
      </c>
      <c r="K602" s="15">
        <v>178195</v>
      </c>
      <c r="L602" s="15">
        <v>186725</v>
      </c>
      <c r="M602" s="15">
        <v>203390</v>
      </c>
      <c r="N602" s="17">
        <v>207329</v>
      </c>
      <c r="O602" s="26">
        <f t="shared" si="34"/>
        <v>775639</v>
      </c>
      <c r="P602" s="23"/>
      <c r="Q602" s="23"/>
      <c r="R602" s="23"/>
      <c r="S602" s="24"/>
      <c r="T602" s="24"/>
      <c r="U602" s="15"/>
      <c r="V602" s="15"/>
      <c r="W602" s="15"/>
      <c r="X602" s="15"/>
      <c r="Y602" s="15"/>
      <c r="Z602" s="35"/>
      <c r="AA602" s="35"/>
      <c r="AB602" s="35"/>
      <c r="AC602" s="35"/>
    </row>
    <row r="603" spans="1:29" ht="12.75">
      <c r="A603" s="15" t="s">
        <v>673</v>
      </c>
      <c r="B603" s="16" t="s">
        <v>62</v>
      </c>
      <c r="C603" s="15" t="s">
        <v>849</v>
      </c>
      <c r="D603" s="21" t="s">
        <v>850</v>
      </c>
      <c r="E603" s="22" t="s">
        <v>167</v>
      </c>
      <c r="F603" s="23"/>
      <c r="G603" s="15">
        <v>59628</v>
      </c>
      <c r="H603" s="15">
        <v>19356</v>
      </c>
      <c r="I603" s="17">
        <v>62191</v>
      </c>
      <c r="J603" s="24">
        <f t="shared" si="33"/>
        <v>141175</v>
      </c>
      <c r="K603" s="15">
        <v>45988</v>
      </c>
      <c r="L603" s="15">
        <v>67239</v>
      </c>
      <c r="M603" s="15">
        <v>56143</v>
      </c>
      <c r="N603" s="17">
        <v>63920</v>
      </c>
      <c r="O603" s="26">
        <f t="shared" si="34"/>
        <v>233290</v>
      </c>
      <c r="P603" s="23"/>
      <c r="Q603" s="23"/>
      <c r="R603" s="23"/>
      <c r="S603" s="24"/>
      <c r="T603" s="24"/>
      <c r="U603" s="15"/>
      <c r="V603" s="15"/>
      <c r="W603" s="15"/>
      <c r="X603" s="15"/>
      <c r="Y603" s="15"/>
      <c r="Z603" s="35"/>
      <c r="AA603" s="35"/>
      <c r="AB603" s="35"/>
      <c r="AC603" s="35"/>
    </row>
    <row r="604" spans="1:29" ht="12.75">
      <c r="A604" s="15" t="s">
        <v>673</v>
      </c>
      <c r="B604" s="16" t="s">
        <v>62</v>
      </c>
      <c r="C604" s="15" t="s">
        <v>851</v>
      </c>
      <c r="D604" s="21" t="s">
        <v>852</v>
      </c>
      <c r="E604" s="22" t="s">
        <v>167</v>
      </c>
      <c r="F604" s="23"/>
      <c r="G604" s="15">
        <v>0</v>
      </c>
      <c r="H604" s="15">
        <v>0</v>
      </c>
      <c r="I604" s="17">
        <v>0</v>
      </c>
      <c r="J604" s="24">
        <f t="shared" si="33"/>
        <v>0</v>
      </c>
      <c r="K604" s="15">
        <v>0</v>
      </c>
      <c r="L604" s="15">
        <v>0</v>
      </c>
      <c r="M604" s="15">
        <v>0</v>
      </c>
      <c r="N604" s="17">
        <v>0</v>
      </c>
      <c r="O604" s="26">
        <f t="shared" si="34"/>
        <v>0</v>
      </c>
      <c r="P604" s="23"/>
      <c r="Q604" s="23"/>
      <c r="R604" s="23"/>
      <c r="S604" s="24"/>
      <c r="T604" s="24"/>
      <c r="U604" s="15"/>
      <c r="V604" s="15"/>
      <c r="W604" s="15"/>
      <c r="X604" s="15"/>
      <c r="Y604" s="15"/>
      <c r="Z604" s="35"/>
      <c r="AA604" s="35"/>
      <c r="AB604" s="35"/>
      <c r="AC604" s="35"/>
    </row>
    <row r="605" spans="1:29" ht="12.75">
      <c r="A605" s="15" t="s">
        <v>673</v>
      </c>
      <c r="B605" s="16" t="s">
        <v>62</v>
      </c>
      <c r="C605" s="15" t="s">
        <v>853</v>
      </c>
      <c r="D605" s="21" t="s">
        <v>854</v>
      </c>
      <c r="E605" s="22" t="s">
        <v>167</v>
      </c>
      <c r="F605" s="23"/>
      <c r="G605" s="15">
        <v>24646</v>
      </c>
      <c r="H605" s="15">
        <v>44087</v>
      </c>
      <c r="I605" s="17">
        <v>27924</v>
      </c>
      <c r="J605" s="24">
        <f t="shared" si="33"/>
        <v>96657</v>
      </c>
      <c r="K605" s="15">
        <v>25870</v>
      </c>
      <c r="L605" s="15">
        <v>18295</v>
      </c>
      <c r="M605" s="15">
        <v>5745</v>
      </c>
      <c r="N605" s="17">
        <v>39501</v>
      </c>
      <c r="O605" s="26">
        <f t="shared" si="34"/>
        <v>89411</v>
      </c>
      <c r="P605" s="23"/>
      <c r="Q605" s="23"/>
      <c r="R605" s="23"/>
      <c r="S605" s="24"/>
      <c r="T605" s="24"/>
      <c r="U605" s="15"/>
      <c r="V605" s="15"/>
      <c r="W605" s="15"/>
      <c r="X605" s="15"/>
      <c r="Y605" s="15"/>
      <c r="Z605" s="35"/>
      <c r="AA605" s="35"/>
      <c r="AB605" s="35"/>
      <c r="AC605" s="35"/>
    </row>
    <row r="606" spans="1:29" ht="12.75">
      <c r="A606" s="15" t="s">
        <v>673</v>
      </c>
      <c r="B606" s="16" t="s">
        <v>62</v>
      </c>
      <c r="C606" s="15" t="s">
        <v>855</v>
      </c>
      <c r="D606" s="21" t="s">
        <v>856</v>
      </c>
      <c r="E606" s="22" t="s">
        <v>167</v>
      </c>
      <c r="F606" s="23"/>
      <c r="G606" s="15">
        <v>8471</v>
      </c>
      <c r="H606" s="15">
        <v>18221</v>
      </c>
      <c r="I606" s="17">
        <v>11025</v>
      </c>
      <c r="J606" s="24">
        <f t="shared" si="33"/>
        <v>37717</v>
      </c>
      <c r="K606" s="15">
        <v>16007</v>
      </c>
      <c r="L606" s="15">
        <v>38800</v>
      </c>
      <c r="M606" s="15">
        <v>26374</v>
      </c>
      <c r="N606" s="17">
        <v>21845</v>
      </c>
      <c r="O606" s="26">
        <f t="shared" si="34"/>
        <v>103026</v>
      </c>
      <c r="P606" s="23"/>
      <c r="Q606" s="23"/>
      <c r="R606" s="23"/>
      <c r="S606" s="24"/>
      <c r="T606" s="24"/>
      <c r="U606" s="15"/>
      <c r="V606" s="15"/>
      <c r="W606" s="15"/>
      <c r="X606" s="15"/>
      <c r="Y606" s="15"/>
      <c r="Z606" s="35"/>
      <c r="AA606" s="35"/>
      <c r="AB606" s="35"/>
      <c r="AC606" s="35"/>
    </row>
    <row r="607" spans="1:29" ht="12.75">
      <c r="A607" s="15" t="s">
        <v>673</v>
      </c>
      <c r="B607" s="16" t="s">
        <v>62</v>
      </c>
      <c r="C607" s="15" t="s">
        <v>857</v>
      </c>
      <c r="D607" s="21" t="s">
        <v>858</v>
      </c>
      <c r="E607" s="22" t="s">
        <v>167</v>
      </c>
      <c r="F607" s="23"/>
      <c r="G607" s="15">
        <v>35109</v>
      </c>
      <c r="H607" s="15">
        <v>58346</v>
      </c>
      <c r="I607" s="17">
        <v>39985</v>
      </c>
      <c r="J607" s="24">
        <f t="shared" si="33"/>
        <v>133440</v>
      </c>
      <c r="K607" s="15">
        <v>9408</v>
      </c>
      <c r="L607" s="15">
        <v>10289</v>
      </c>
      <c r="M607" s="15">
        <v>7571</v>
      </c>
      <c r="N607" s="17">
        <v>18736</v>
      </c>
      <c r="O607" s="26">
        <f t="shared" si="34"/>
        <v>46004</v>
      </c>
      <c r="P607" s="23"/>
      <c r="Q607" s="23"/>
      <c r="R607" s="23"/>
      <c r="S607" s="24"/>
      <c r="T607" s="24"/>
      <c r="U607" s="15"/>
      <c r="V607" s="15"/>
      <c r="W607" s="15"/>
      <c r="X607" s="15"/>
      <c r="Y607" s="15"/>
      <c r="Z607" s="35"/>
      <c r="AA607" s="35"/>
      <c r="AB607" s="35"/>
      <c r="AC607" s="35"/>
    </row>
    <row r="608" spans="1:29" ht="12.75">
      <c r="A608" s="15" t="s">
        <v>673</v>
      </c>
      <c r="B608" s="16" t="s">
        <v>62</v>
      </c>
      <c r="C608" s="15" t="s">
        <v>859</v>
      </c>
      <c r="D608" s="21" t="s">
        <v>860</v>
      </c>
      <c r="E608" s="22" t="s">
        <v>167</v>
      </c>
      <c r="F608" s="23"/>
      <c r="G608" s="15">
        <v>38943</v>
      </c>
      <c r="H608" s="15">
        <v>13423</v>
      </c>
      <c r="I608" s="17">
        <v>42508</v>
      </c>
      <c r="J608" s="24">
        <f t="shared" si="33"/>
        <v>94874</v>
      </c>
      <c r="K608" s="15">
        <v>139333</v>
      </c>
      <c r="L608" s="15">
        <v>77908</v>
      </c>
      <c r="M608" s="15">
        <v>176911</v>
      </c>
      <c r="N608" s="17">
        <v>91370</v>
      </c>
      <c r="O608" s="26">
        <f t="shared" si="34"/>
        <v>485522</v>
      </c>
      <c r="P608" s="23"/>
      <c r="Q608" s="23"/>
      <c r="R608" s="23"/>
      <c r="S608" s="24"/>
      <c r="T608" s="24"/>
      <c r="U608" s="15"/>
      <c r="V608" s="15"/>
      <c r="W608" s="15"/>
      <c r="X608" s="15"/>
      <c r="Y608" s="15"/>
      <c r="Z608" s="35"/>
      <c r="AA608" s="35"/>
      <c r="AB608" s="35"/>
      <c r="AC608" s="35"/>
    </row>
    <row r="609" spans="1:29" ht="12.75">
      <c r="A609" s="15" t="s">
        <v>673</v>
      </c>
      <c r="B609" s="16" t="s">
        <v>62</v>
      </c>
      <c r="C609" s="15" t="s">
        <v>861</v>
      </c>
      <c r="D609" s="21" t="s">
        <v>862</v>
      </c>
      <c r="E609" s="22" t="s">
        <v>167</v>
      </c>
      <c r="F609" s="23"/>
      <c r="G609" s="15">
        <v>71507</v>
      </c>
      <c r="H609" s="15">
        <v>17274</v>
      </c>
      <c r="I609" s="17">
        <v>79306</v>
      </c>
      <c r="J609" s="24">
        <f t="shared" si="33"/>
        <v>168087</v>
      </c>
      <c r="K609" s="15">
        <v>30554</v>
      </c>
      <c r="L609" s="15">
        <v>29527</v>
      </c>
      <c r="M609" s="15">
        <v>34172</v>
      </c>
      <c r="N609" s="17">
        <v>35372</v>
      </c>
      <c r="O609" s="26">
        <f t="shared" si="34"/>
        <v>129625</v>
      </c>
      <c r="P609" s="23"/>
      <c r="Q609" s="23"/>
      <c r="R609" s="23"/>
      <c r="S609" s="24"/>
      <c r="T609" s="24"/>
      <c r="U609" s="15"/>
      <c r="V609" s="15"/>
      <c r="W609" s="15"/>
      <c r="X609" s="15"/>
      <c r="Y609" s="15"/>
      <c r="Z609" s="35"/>
      <c r="AA609" s="35"/>
      <c r="AB609" s="35"/>
      <c r="AC609" s="35"/>
    </row>
    <row r="610" spans="1:29" ht="12.75">
      <c r="A610" s="15" t="s">
        <v>673</v>
      </c>
      <c r="B610" s="16" t="s">
        <v>62</v>
      </c>
      <c r="C610" s="15" t="s">
        <v>863</v>
      </c>
      <c r="D610" s="21" t="s">
        <v>864</v>
      </c>
      <c r="E610" s="22" t="s">
        <v>167</v>
      </c>
      <c r="F610" s="23"/>
      <c r="G610" s="15">
        <v>14120</v>
      </c>
      <c r="H610" s="15">
        <v>8686</v>
      </c>
      <c r="I610" s="17">
        <v>16084</v>
      </c>
      <c r="J610" s="24">
        <f t="shared" si="33"/>
        <v>38890</v>
      </c>
      <c r="K610" s="15">
        <v>11973</v>
      </c>
      <c r="L610" s="15">
        <v>43935</v>
      </c>
      <c r="M610" s="15">
        <v>31842</v>
      </c>
      <c r="N610" s="17">
        <v>32106</v>
      </c>
      <c r="O610" s="26">
        <f t="shared" si="34"/>
        <v>119856</v>
      </c>
      <c r="P610" s="23"/>
      <c r="Q610" s="23"/>
      <c r="R610" s="23"/>
      <c r="S610" s="24"/>
      <c r="T610" s="24"/>
      <c r="U610" s="15"/>
      <c r="V610" s="15"/>
      <c r="W610" s="15"/>
      <c r="X610" s="15"/>
      <c r="Y610" s="15"/>
      <c r="Z610" s="35"/>
      <c r="AA610" s="35"/>
      <c r="AB610" s="35"/>
      <c r="AC610" s="35"/>
    </row>
    <row r="611" spans="1:29" ht="12.75">
      <c r="A611" s="15" t="s">
        <v>673</v>
      </c>
      <c r="B611" s="16" t="s">
        <v>62</v>
      </c>
      <c r="C611" s="15" t="s">
        <v>865</v>
      </c>
      <c r="D611" s="21" t="s">
        <v>866</v>
      </c>
      <c r="E611" s="22" t="s">
        <v>167</v>
      </c>
      <c r="F611" s="23"/>
      <c r="G611" s="15">
        <v>30931</v>
      </c>
      <c r="H611" s="15">
        <v>8704</v>
      </c>
      <c r="I611" s="17">
        <v>33455</v>
      </c>
      <c r="J611" s="24">
        <f aca="true" t="shared" si="35" ref="J611:J642">SUM(F611:I611)</f>
        <v>73090</v>
      </c>
      <c r="K611" s="15">
        <v>71503</v>
      </c>
      <c r="L611" s="15">
        <v>29633</v>
      </c>
      <c r="M611" s="15">
        <v>41029</v>
      </c>
      <c r="N611" s="17">
        <v>45992</v>
      </c>
      <c r="O611" s="26">
        <f t="shared" si="34"/>
        <v>188157</v>
      </c>
      <c r="P611" s="23"/>
      <c r="Q611" s="23"/>
      <c r="R611" s="23"/>
      <c r="S611" s="24"/>
      <c r="T611" s="24"/>
      <c r="U611" s="15"/>
      <c r="V611" s="15"/>
      <c r="W611" s="15"/>
      <c r="X611" s="15"/>
      <c r="Y611" s="15"/>
      <c r="Z611" s="35"/>
      <c r="AA611" s="35"/>
      <c r="AB611" s="35"/>
      <c r="AC611" s="35"/>
    </row>
    <row r="612" spans="1:29" ht="12.75">
      <c r="A612" s="15" t="s">
        <v>673</v>
      </c>
      <c r="B612" s="16" t="s">
        <v>62</v>
      </c>
      <c r="C612" s="15" t="s">
        <v>867</v>
      </c>
      <c r="D612" s="21" t="s">
        <v>868</v>
      </c>
      <c r="E612" s="22" t="s">
        <v>167</v>
      </c>
      <c r="F612" s="23"/>
      <c r="G612" s="15">
        <v>21660</v>
      </c>
      <c r="H612" s="15">
        <v>5304</v>
      </c>
      <c r="I612" s="17">
        <v>24410</v>
      </c>
      <c r="J612" s="24">
        <f t="shared" si="35"/>
        <v>51374</v>
      </c>
      <c r="K612" s="15">
        <v>9119</v>
      </c>
      <c r="L612" s="15">
        <v>35899</v>
      </c>
      <c r="M612" s="15">
        <v>37347</v>
      </c>
      <c r="N612" s="17">
        <v>48513</v>
      </c>
      <c r="O612" s="26">
        <f t="shared" si="34"/>
        <v>130878</v>
      </c>
      <c r="P612" s="23"/>
      <c r="Q612" s="23"/>
      <c r="R612" s="23"/>
      <c r="S612" s="24"/>
      <c r="T612" s="24"/>
      <c r="U612" s="15"/>
      <c r="V612" s="15"/>
      <c r="W612" s="15"/>
      <c r="X612" s="15"/>
      <c r="Y612" s="15"/>
      <c r="Z612" s="35"/>
      <c r="AA612" s="35"/>
      <c r="AB612" s="35"/>
      <c r="AC612" s="35"/>
    </row>
    <row r="613" spans="1:29" ht="12.75">
      <c r="A613" s="15" t="s">
        <v>673</v>
      </c>
      <c r="B613" s="16" t="s">
        <v>62</v>
      </c>
      <c r="C613" s="15" t="s">
        <v>869</v>
      </c>
      <c r="D613" s="21" t="s">
        <v>870</v>
      </c>
      <c r="E613" s="22" t="s">
        <v>167</v>
      </c>
      <c r="F613" s="23"/>
      <c r="G613" s="15">
        <v>9331</v>
      </c>
      <c r="H613" s="15">
        <v>3480</v>
      </c>
      <c r="I613" s="17">
        <v>9726</v>
      </c>
      <c r="J613" s="24">
        <f t="shared" si="35"/>
        <v>22537</v>
      </c>
      <c r="K613" s="15">
        <v>16116</v>
      </c>
      <c r="L613" s="15">
        <v>20911</v>
      </c>
      <c r="M613" s="15">
        <v>19432</v>
      </c>
      <c r="N613" s="17">
        <v>26332</v>
      </c>
      <c r="O613" s="26">
        <f t="shared" si="34"/>
        <v>82791</v>
      </c>
      <c r="P613" s="23"/>
      <c r="Q613" s="23"/>
      <c r="R613" s="23"/>
      <c r="S613" s="24"/>
      <c r="T613" s="24"/>
      <c r="U613" s="15"/>
      <c r="V613" s="15"/>
      <c r="W613" s="15"/>
      <c r="X613" s="15"/>
      <c r="Y613" s="15"/>
      <c r="Z613" s="35"/>
      <c r="AA613" s="35"/>
      <c r="AB613" s="35"/>
      <c r="AC613" s="35"/>
    </row>
    <row r="614" spans="1:29" ht="12.75">
      <c r="A614" s="15" t="s">
        <v>673</v>
      </c>
      <c r="B614" s="16" t="s">
        <v>62</v>
      </c>
      <c r="C614" s="15" t="s">
        <v>871</v>
      </c>
      <c r="D614" s="21" t="s">
        <v>872</v>
      </c>
      <c r="E614" s="22" t="s">
        <v>167</v>
      </c>
      <c r="F614" s="23"/>
      <c r="G614" s="15">
        <v>35673</v>
      </c>
      <c r="H614" s="15">
        <v>11603</v>
      </c>
      <c r="I614" s="17">
        <v>41527</v>
      </c>
      <c r="J614" s="24">
        <f t="shared" si="35"/>
        <v>88803</v>
      </c>
      <c r="K614" s="15">
        <v>62889</v>
      </c>
      <c r="L614" s="15">
        <v>46612</v>
      </c>
      <c r="M614" s="15">
        <v>34073</v>
      </c>
      <c r="N614" s="17">
        <v>44494</v>
      </c>
      <c r="O614" s="26">
        <f>SUM(K614:N614)</f>
        <v>188068</v>
      </c>
      <c r="P614" s="23"/>
      <c r="Q614" s="23"/>
      <c r="R614" s="23"/>
      <c r="S614" s="24"/>
      <c r="T614" s="24"/>
      <c r="U614" s="15"/>
      <c r="V614" s="15"/>
      <c r="W614" s="15"/>
      <c r="X614" s="15"/>
      <c r="Y614" s="15"/>
      <c r="Z614" s="35"/>
      <c r="AA614" s="35"/>
      <c r="AB614" s="35"/>
      <c r="AC614" s="35"/>
    </row>
    <row r="615" spans="1:29" ht="12.75">
      <c r="A615" s="15" t="s">
        <v>673</v>
      </c>
      <c r="B615" s="16" t="s">
        <v>62</v>
      </c>
      <c r="C615" s="15" t="s">
        <v>873</v>
      </c>
      <c r="D615" s="21" t="s">
        <v>874</v>
      </c>
      <c r="E615" s="22" t="s">
        <v>269</v>
      </c>
      <c r="F615" s="23"/>
      <c r="G615" s="23">
        <f>SUM(G550:G614)</f>
        <v>3350269</v>
      </c>
      <c r="H615" s="23" t="s">
        <v>875</v>
      </c>
      <c r="I615" s="24" t="s">
        <v>875</v>
      </c>
      <c r="J615" s="24">
        <f t="shared" si="35"/>
        <v>3350269</v>
      </c>
      <c r="K615" s="23"/>
      <c r="L615" s="23"/>
      <c r="M615" s="23"/>
      <c r="N615" s="24"/>
      <c r="O615" s="24"/>
      <c r="P615" s="23"/>
      <c r="Q615" s="23"/>
      <c r="R615" s="23"/>
      <c r="S615" s="24"/>
      <c r="T615" s="24"/>
      <c r="U615" s="15"/>
      <c r="V615" s="15"/>
      <c r="W615" s="15"/>
      <c r="X615" s="15"/>
      <c r="Y615" s="15"/>
      <c r="Z615" s="35"/>
      <c r="AA615" s="35"/>
      <c r="AB615" s="35"/>
      <c r="AC615" s="35"/>
    </row>
    <row r="616" spans="1:29" ht="12.75">
      <c r="A616" s="15" t="s">
        <v>673</v>
      </c>
      <c r="B616" s="16" t="s">
        <v>62</v>
      </c>
      <c r="C616" s="15" t="s">
        <v>873</v>
      </c>
      <c r="D616" s="21" t="s">
        <v>795</v>
      </c>
      <c r="E616" s="22" t="s">
        <v>269</v>
      </c>
      <c r="F616" s="23"/>
      <c r="G616" s="23">
        <v>6021</v>
      </c>
      <c r="H616" s="23">
        <v>1596</v>
      </c>
      <c r="I616" s="24">
        <v>7780</v>
      </c>
      <c r="J616" s="24">
        <f t="shared" si="35"/>
        <v>15397</v>
      </c>
      <c r="K616" s="23"/>
      <c r="L616" s="23"/>
      <c r="M616" s="23"/>
      <c r="N616" s="26"/>
      <c r="O616" s="24"/>
      <c r="P616" s="23"/>
      <c r="Q616" s="23">
        <v>2435</v>
      </c>
      <c r="R616" s="23">
        <v>1879</v>
      </c>
      <c r="S616" s="24">
        <v>3709</v>
      </c>
      <c r="T616" s="24"/>
      <c r="U616" s="15"/>
      <c r="V616" s="15"/>
      <c r="W616" s="15"/>
      <c r="X616" s="15"/>
      <c r="Y616" s="15"/>
      <c r="Z616" s="35"/>
      <c r="AA616" s="35"/>
      <c r="AB616" s="35"/>
      <c r="AC616" s="35"/>
    </row>
    <row r="617" spans="1:29" ht="12.75">
      <c r="A617" s="15" t="s">
        <v>673</v>
      </c>
      <c r="B617" s="16" t="s">
        <v>62</v>
      </c>
      <c r="C617" s="15" t="s">
        <v>876</v>
      </c>
      <c r="D617" s="21" t="s">
        <v>874</v>
      </c>
      <c r="E617" s="22" t="s">
        <v>269</v>
      </c>
      <c r="F617" s="23"/>
      <c r="G617" s="23"/>
      <c r="H617" s="23"/>
      <c r="I617" s="24"/>
      <c r="J617" s="24">
        <f t="shared" si="35"/>
        <v>0</v>
      </c>
      <c r="K617" s="23"/>
      <c r="L617" s="23"/>
      <c r="M617" s="23"/>
      <c r="N617" s="26"/>
      <c r="O617" s="24"/>
      <c r="P617" s="23"/>
      <c r="Q617" s="23"/>
      <c r="R617" s="23"/>
      <c r="S617" s="24"/>
      <c r="T617" s="24"/>
      <c r="U617" s="15"/>
      <c r="V617" s="15"/>
      <c r="W617" s="15"/>
      <c r="X617" s="15"/>
      <c r="Y617" s="15"/>
      <c r="Z617" s="35"/>
      <c r="AA617" s="35"/>
      <c r="AB617" s="35"/>
      <c r="AC617" s="35"/>
    </row>
    <row r="618" spans="1:29" ht="12.75">
      <c r="A618" s="15" t="s">
        <v>673</v>
      </c>
      <c r="B618" s="16" t="s">
        <v>62</v>
      </c>
      <c r="C618" s="15" t="s">
        <v>876</v>
      </c>
      <c r="D618" s="21" t="s">
        <v>877</v>
      </c>
      <c r="E618" s="22" t="s">
        <v>269</v>
      </c>
      <c r="F618" s="23"/>
      <c r="G618" s="23">
        <v>3568</v>
      </c>
      <c r="H618" s="23">
        <v>1392</v>
      </c>
      <c r="I618" s="24">
        <v>3625</v>
      </c>
      <c r="J618" s="24">
        <f t="shared" si="35"/>
        <v>8585</v>
      </c>
      <c r="K618" s="23"/>
      <c r="L618" s="23"/>
      <c r="M618" s="23"/>
      <c r="N618" s="26"/>
      <c r="O618" s="24"/>
      <c r="P618" s="23"/>
      <c r="Q618" s="23">
        <v>13479</v>
      </c>
      <c r="R618" s="23">
        <v>7617</v>
      </c>
      <c r="S618" s="24">
        <v>13931</v>
      </c>
      <c r="T618" s="24"/>
      <c r="U618" s="15"/>
      <c r="V618" s="15"/>
      <c r="W618" s="15"/>
      <c r="X618" s="15"/>
      <c r="Y618" s="15"/>
      <c r="Z618" s="35"/>
      <c r="AA618" s="35"/>
      <c r="AB618" s="35"/>
      <c r="AC618" s="35"/>
    </row>
    <row r="619" spans="1:29" ht="12.75">
      <c r="A619" s="15" t="s">
        <v>673</v>
      </c>
      <c r="B619" s="16" t="s">
        <v>62</v>
      </c>
      <c r="C619" s="15" t="s">
        <v>878</v>
      </c>
      <c r="D619" s="21" t="s">
        <v>874</v>
      </c>
      <c r="E619" s="22" t="s">
        <v>269</v>
      </c>
      <c r="F619" s="23"/>
      <c r="G619" s="23"/>
      <c r="H619" s="23"/>
      <c r="I619" s="24"/>
      <c r="J619" s="24">
        <f t="shared" si="35"/>
        <v>0</v>
      </c>
      <c r="K619" s="23"/>
      <c r="L619" s="23"/>
      <c r="M619" s="23"/>
      <c r="N619" s="26"/>
      <c r="O619" s="24"/>
      <c r="P619" s="23"/>
      <c r="Q619" s="23"/>
      <c r="R619" s="23"/>
      <c r="S619" s="24"/>
      <c r="T619" s="24"/>
      <c r="U619" s="15"/>
      <c r="V619" s="15"/>
      <c r="W619" s="15"/>
      <c r="X619" s="15"/>
      <c r="Y619" s="15"/>
      <c r="Z619" s="35"/>
      <c r="AA619" s="35"/>
      <c r="AB619" s="35"/>
      <c r="AC619" s="35"/>
    </row>
    <row r="620" spans="1:29" ht="12.75">
      <c r="A620" s="15" t="s">
        <v>673</v>
      </c>
      <c r="B620" s="16" t="s">
        <v>62</v>
      </c>
      <c r="C620" s="15" t="s">
        <v>878</v>
      </c>
      <c r="D620" s="21" t="s">
        <v>879</v>
      </c>
      <c r="E620" s="22" t="s">
        <v>269</v>
      </c>
      <c r="F620" s="23"/>
      <c r="G620" s="23">
        <v>11848</v>
      </c>
      <c r="H620" s="23">
        <v>2719</v>
      </c>
      <c r="I620" s="24">
        <v>10492</v>
      </c>
      <c r="J620" s="24">
        <f t="shared" si="35"/>
        <v>25059</v>
      </c>
      <c r="K620" s="23"/>
      <c r="L620" s="23"/>
      <c r="M620" s="23"/>
      <c r="N620" s="26"/>
      <c r="O620" s="24"/>
      <c r="P620" s="23"/>
      <c r="Q620" s="23">
        <v>4229</v>
      </c>
      <c r="R620" s="23">
        <v>2279</v>
      </c>
      <c r="S620" s="24">
        <v>5021</v>
      </c>
      <c r="T620" s="24"/>
      <c r="U620" s="15"/>
      <c r="V620" s="15"/>
      <c r="W620" s="15"/>
      <c r="X620" s="15"/>
      <c r="Y620" s="15"/>
      <c r="Z620" s="35"/>
      <c r="AA620" s="35"/>
      <c r="AB620" s="35"/>
      <c r="AC620" s="35"/>
    </row>
    <row r="621" spans="1:29" ht="12.75">
      <c r="A621" s="15" t="s">
        <v>673</v>
      </c>
      <c r="B621" s="16" t="s">
        <v>62</v>
      </c>
      <c r="C621" s="15" t="s">
        <v>880</v>
      </c>
      <c r="D621" s="21" t="s">
        <v>874</v>
      </c>
      <c r="E621" s="22" t="s">
        <v>269</v>
      </c>
      <c r="F621" s="23"/>
      <c r="G621" s="23"/>
      <c r="H621" s="23"/>
      <c r="I621" s="24"/>
      <c r="J621" s="24">
        <f t="shared" si="35"/>
        <v>0</v>
      </c>
      <c r="K621" s="23"/>
      <c r="L621" s="23"/>
      <c r="M621" s="23"/>
      <c r="N621" s="26"/>
      <c r="O621" s="24"/>
      <c r="P621" s="23"/>
      <c r="Q621" s="23"/>
      <c r="R621" s="23"/>
      <c r="S621" s="24"/>
      <c r="T621" s="24"/>
      <c r="U621" s="15"/>
      <c r="V621" s="15"/>
      <c r="W621" s="15"/>
      <c r="X621" s="15"/>
      <c r="Y621" s="15"/>
      <c r="Z621" s="35"/>
      <c r="AA621" s="35"/>
      <c r="AB621" s="35"/>
      <c r="AC621" s="35"/>
    </row>
    <row r="622" spans="1:29" ht="12.75">
      <c r="A622" s="15" t="s">
        <v>673</v>
      </c>
      <c r="B622" s="16" t="s">
        <v>62</v>
      </c>
      <c r="C622" s="15" t="s">
        <v>880</v>
      </c>
      <c r="D622" s="21" t="s">
        <v>881</v>
      </c>
      <c r="E622" s="22" t="s">
        <v>269</v>
      </c>
      <c r="F622" s="23"/>
      <c r="G622" s="23">
        <v>10426</v>
      </c>
      <c r="H622" s="23">
        <v>8471</v>
      </c>
      <c r="I622" s="24">
        <v>11112</v>
      </c>
      <c r="J622" s="24">
        <f t="shared" si="35"/>
        <v>30009</v>
      </c>
      <c r="K622" s="23"/>
      <c r="L622" s="23"/>
      <c r="M622" s="23"/>
      <c r="N622" s="26"/>
      <c r="O622" s="24"/>
      <c r="P622" s="23"/>
      <c r="Q622" s="23">
        <v>3782</v>
      </c>
      <c r="R622" s="23">
        <v>2807</v>
      </c>
      <c r="S622" s="24">
        <v>4575</v>
      </c>
      <c r="T622" s="24"/>
      <c r="U622" s="15"/>
      <c r="V622" s="15"/>
      <c r="W622" s="15"/>
      <c r="X622" s="15"/>
      <c r="Y622" s="15"/>
      <c r="Z622" s="35"/>
      <c r="AA622" s="35"/>
      <c r="AB622" s="35"/>
      <c r="AC622" s="35"/>
    </row>
    <row r="623" spans="1:29" ht="12.75">
      <c r="A623" s="15" t="s">
        <v>673</v>
      </c>
      <c r="B623" s="16" t="s">
        <v>62</v>
      </c>
      <c r="C623" s="15" t="s">
        <v>882</v>
      </c>
      <c r="D623" s="21" t="s">
        <v>874</v>
      </c>
      <c r="E623" s="22" t="s">
        <v>269</v>
      </c>
      <c r="F623" s="23"/>
      <c r="G623" s="23"/>
      <c r="H623" s="23"/>
      <c r="I623" s="24"/>
      <c r="J623" s="24">
        <f t="shared" si="35"/>
        <v>0</v>
      </c>
      <c r="K623" s="23"/>
      <c r="L623" s="23"/>
      <c r="M623" s="23"/>
      <c r="N623" s="26"/>
      <c r="O623" s="24"/>
      <c r="P623" s="23"/>
      <c r="Q623" s="23"/>
      <c r="R623" s="23"/>
      <c r="S623" s="24"/>
      <c r="T623" s="24"/>
      <c r="U623" s="15"/>
      <c r="V623" s="15"/>
      <c r="W623" s="15"/>
      <c r="X623" s="15"/>
      <c r="Y623" s="15"/>
      <c r="Z623" s="35"/>
      <c r="AA623" s="35"/>
      <c r="AB623" s="35"/>
      <c r="AC623" s="35"/>
    </row>
    <row r="624" spans="1:29" ht="12.75">
      <c r="A624" s="15" t="s">
        <v>673</v>
      </c>
      <c r="B624" s="16" t="s">
        <v>62</v>
      </c>
      <c r="C624" s="15" t="s">
        <v>882</v>
      </c>
      <c r="D624" s="21" t="s">
        <v>883</v>
      </c>
      <c r="E624" s="22" t="s">
        <v>269</v>
      </c>
      <c r="F624" s="23"/>
      <c r="G624" s="23">
        <v>5206</v>
      </c>
      <c r="H624" s="23">
        <v>3973</v>
      </c>
      <c r="I624" s="24">
        <v>5171</v>
      </c>
      <c r="J624" s="24">
        <f t="shared" si="35"/>
        <v>14350</v>
      </c>
      <c r="K624" s="23"/>
      <c r="L624" s="23"/>
      <c r="M624" s="23"/>
      <c r="N624" s="26"/>
      <c r="O624" s="24"/>
      <c r="P624" s="23"/>
      <c r="Q624" s="23">
        <v>4257</v>
      </c>
      <c r="R624" s="23">
        <v>3920</v>
      </c>
      <c r="S624" s="24">
        <v>7780</v>
      </c>
      <c r="T624" s="24"/>
      <c r="U624" s="15"/>
      <c r="V624" s="15"/>
      <c r="W624" s="15"/>
      <c r="X624" s="15"/>
      <c r="Y624" s="15"/>
      <c r="Z624" s="35"/>
      <c r="AA624" s="35"/>
      <c r="AB624" s="35"/>
      <c r="AC624" s="35"/>
    </row>
    <row r="625" spans="1:29" ht="12.75">
      <c r="A625" s="15" t="s">
        <v>673</v>
      </c>
      <c r="B625" s="16" t="s">
        <v>62</v>
      </c>
      <c r="C625" s="15" t="s">
        <v>884</v>
      </c>
      <c r="D625" s="21" t="s">
        <v>874</v>
      </c>
      <c r="E625" s="22" t="s">
        <v>269</v>
      </c>
      <c r="F625" s="23"/>
      <c r="G625" s="23"/>
      <c r="H625" s="23"/>
      <c r="I625" s="24"/>
      <c r="J625" s="24">
        <f t="shared" si="35"/>
        <v>0</v>
      </c>
      <c r="K625" s="23"/>
      <c r="L625" s="23"/>
      <c r="M625" s="23"/>
      <c r="N625" s="26"/>
      <c r="O625" s="24"/>
      <c r="P625" s="23"/>
      <c r="Q625" s="23"/>
      <c r="R625" s="23"/>
      <c r="S625" s="24"/>
      <c r="T625" s="24"/>
      <c r="U625" s="15"/>
      <c r="V625" s="15"/>
      <c r="W625" s="15"/>
      <c r="X625" s="15"/>
      <c r="Y625" s="15"/>
      <c r="Z625" s="35"/>
      <c r="AA625" s="35"/>
      <c r="AB625" s="35"/>
      <c r="AC625" s="35"/>
    </row>
    <row r="626" spans="1:29" ht="12.75">
      <c r="A626" s="15" t="s">
        <v>673</v>
      </c>
      <c r="B626" s="16" t="s">
        <v>62</v>
      </c>
      <c r="C626" s="15" t="s">
        <v>884</v>
      </c>
      <c r="D626" s="21" t="s">
        <v>885</v>
      </c>
      <c r="E626" s="22" t="s">
        <v>269</v>
      </c>
      <c r="F626" s="23"/>
      <c r="G626" s="23">
        <v>0</v>
      </c>
      <c r="H626" s="23">
        <v>0</v>
      </c>
      <c r="I626" s="24">
        <v>0</v>
      </c>
      <c r="J626" s="24">
        <f t="shared" si="35"/>
        <v>0</v>
      </c>
      <c r="K626" s="23"/>
      <c r="L626" s="23"/>
      <c r="M626" s="23"/>
      <c r="N626" s="26"/>
      <c r="O626" s="24"/>
      <c r="P626" s="23"/>
      <c r="Q626" s="23">
        <v>903</v>
      </c>
      <c r="R626" s="23">
        <v>421</v>
      </c>
      <c r="S626" s="24">
        <v>1140</v>
      </c>
      <c r="T626" s="24"/>
      <c r="U626" s="15"/>
      <c r="V626" s="15"/>
      <c r="W626" s="15"/>
      <c r="X626" s="15"/>
      <c r="Y626" s="15"/>
      <c r="Z626" s="35"/>
      <c r="AA626" s="35"/>
      <c r="AB626" s="35"/>
      <c r="AC626" s="35"/>
    </row>
    <row r="627" spans="1:29" ht="12.75">
      <c r="A627" s="15" t="s">
        <v>673</v>
      </c>
      <c r="B627" s="16" t="s">
        <v>62</v>
      </c>
      <c r="C627" s="23" t="s">
        <v>886</v>
      </c>
      <c r="D627" s="23"/>
      <c r="E627" s="65" t="s">
        <v>167</v>
      </c>
      <c r="F627" s="23"/>
      <c r="G627" s="23">
        <v>168</v>
      </c>
      <c r="H627" s="23">
        <v>119</v>
      </c>
      <c r="I627" s="24">
        <v>3336</v>
      </c>
      <c r="J627" s="24">
        <f t="shared" si="35"/>
        <v>3623</v>
      </c>
      <c r="K627" s="23"/>
      <c r="L627" s="23"/>
      <c r="M627" s="23"/>
      <c r="N627" s="26"/>
      <c r="O627" s="24"/>
      <c r="P627" s="23"/>
      <c r="Q627" s="23"/>
      <c r="R627" s="23"/>
      <c r="S627" s="24"/>
      <c r="T627" s="24"/>
      <c r="U627" s="15"/>
      <c r="V627" s="15"/>
      <c r="W627" s="15"/>
      <c r="X627" s="15"/>
      <c r="Y627" s="15"/>
      <c r="Z627" s="35"/>
      <c r="AA627" s="35"/>
      <c r="AB627" s="35"/>
      <c r="AC627" s="35"/>
    </row>
    <row r="628" spans="1:29" ht="12.75">
      <c r="A628" s="15" t="s">
        <v>887</v>
      </c>
      <c r="B628" s="16" t="s">
        <v>62</v>
      </c>
      <c r="C628" s="15" t="s">
        <v>888</v>
      </c>
      <c r="D628" s="21">
        <v>234076</v>
      </c>
      <c r="E628" s="15">
        <v>1</v>
      </c>
      <c r="F628" s="23"/>
      <c r="G628" s="23">
        <v>179756</v>
      </c>
      <c r="H628" s="23">
        <v>15385</v>
      </c>
      <c r="I628" s="24">
        <v>192467</v>
      </c>
      <c r="J628" s="24">
        <f t="shared" si="35"/>
        <v>387608</v>
      </c>
      <c r="K628" s="25"/>
      <c r="L628" s="23"/>
      <c r="M628" s="23"/>
      <c r="N628" s="23"/>
      <c r="O628" s="25"/>
      <c r="P628" s="25"/>
      <c r="Q628" s="23">
        <v>82914</v>
      </c>
      <c r="R628" s="23">
        <v>17557</v>
      </c>
      <c r="S628" s="23">
        <v>75566</v>
      </c>
      <c r="T628" s="23">
        <v>176037</v>
      </c>
      <c r="U628" s="15"/>
      <c r="V628" s="15">
        <v>262670</v>
      </c>
      <c r="W628" s="15">
        <v>32942</v>
      </c>
      <c r="X628" s="15">
        <v>268033</v>
      </c>
      <c r="Y628" s="15">
        <v>563645</v>
      </c>
      <c r="Z628" s="58"/>
      <c r="AA628" s="58"/>
      <c r="AB628" s="58"/>
      <c r="AC628" s="58"/>
    </row>
    <row r="629" spans="1:29" ht="12.75">
      <c r="A629" s="15" t="s">
        <v>887</v>
      </c>
      <c r="B629" s="16" t="s">
        <v>62</v>
      </c>
      <c r="C629" s="15" t="s">
        <v>889</v>
      </c>
      <c r="D629" s="21">
        <v>233921</v>
      </c>
      <c r="E629" s="15">
        <v>1</v>
      </c>
      <c r="F629" s="23"/>
      <c r="G629" s="23">
        <v>277355</v>
      </c>
      <c r="H629" s="23">
        <v>30695</v>
      </c>
      <c r="I629" s="24">
        <v>312083</v>
      </c>
      <c r="J629" s="24">
        <f t="shared" si="35"/>
        <v>620133</v>
      </c>
      <c r="K629" s="25"/>
      <c r="L629" s="23"/>
      <c r="M629" s="23"/>
      <c r="N629" s="23"/>
      <c r="O629" s="25"/>
      <c r="P629" s="25"/>
      <c r="Q629" s="23">
        <v>43156</v>
      </c>
      <c r="R629" s="23">
        <v>12773</v>
      </c>
      <c r="S629" s="23">
        <v>48940</v>
      </c>
      <c r="T629" s="23">
        <v>104869</v>
      </c>
      <c r="U629" s="15"/>
      <c r="V629" s="15">
        <v>320511</v>
      </c>
      <c r="W629" s="15">
        <v>43468</v>
      </c>
      <c r="X629" s="15">
        <v>361023</v>
      </c>
      <c r="Y629" s="15">
        <v>725002</v>
      </c>
      <c r="Z629" s="58"/>
      <c r="AA629" s="58"/>
      <c r="AB629" s="58"/>
      <c r="AC629" s="58"/>
    </row>
    <row r="630" spans="1:29" ht="12.75">
      <c r="A630" s="15" t="s">
        <v>887</v>
      </c>
      <c r="B630" s="16" t="s">
        <v>62</v>
      </c>
      <c r="C630" s="15" t="s">
        <v>890</v>
      </c>
      <c r="D630" s="21">
        <v>231624</v>
      </c>
      <c r="E630" s="15">
        <v>2</v>
      </c>
      <c r="F630" s="23"/>
      <c r="G630" s="23">
        <v>77062</v>
      </c>
      <c r="H630" s="23">
        <v>4569</v>
      </c>
      <c r="I630" s="24">
        <v>81552</v>
      </c>
      <c r="J630" s="24">
        <f t="shared" si="35"/>
        <v>163183</v>
      </c>
      <c r="K630" s="25"/>
      <c r="L630" s="23"/>
      <c r="M630" s="23"/>
      <c r="N630" s="23"/>
      <c r="O630" s="25"/>
      <c r="P630" s="25"/>
      <c r="Q630" s="23">
        <v>22189</v>
      </c>
      <c r="R630" s="23">
        <v>5533</v>
      </c>
      <c r="S630" s="23">
        <v>22635</v>
      </c>
      <c r="T630" s="23">
        <v>50357</v>
      </c>
      <c r="U630" s="15"/>
      <c r="V630" s="15"/>
      <c r="W630" s="15"/>
      <c r="X630" s="15"/>
      <c r="Y630" s="15"/>
      <c r="Z630" s="58"/>
      <c r="AA630" s="58"/>
      <c r="AB630" s="58"/>
      <c r="AC630" s="58"/>
    </row>
    <row r="631" spans="1:29" ht="12.75">
      <c r="A631" s="15" t="s">
        <v>887</v>
      </c>
      <c r="B631" s="16" t="s">
        <v>62</v>
      </c>
      <c r="C631" s="15" t="s">
        <v>891</v>
      </c>
      <c r="D631" s="21">
        <v>232186</v>
      </c>
      <c r="E631" s="15">
        <v>2</v>
      </c>
      <c r="F631" s="23"/>
      <c r="G631" s="23">
        <v>158219</v>
      </c>
      <c r="H631" s="23">
        <v>30216</v>
      </c>
      <c r="I631" s="24">
        <v>164860</v>
      </c>
      <c r="J631" s="24">
        <f t="shared" si="35"/>
        <v>353295</v>
      </c>
      <c r="K631" s="25"/>
      <c r="L631" s="23"/>
      <c r="M631" s="23"/>
      <c r="N631" s="23"/>
      <c r="O631" s="25"/>
      <c r="P631" s="25"/>
      <c r="Q631" s="23">
        <v>53313</v>
      </c>
      <c r="R631" s="23">
        <v>14490</v>
      </c>
      <c r="S631" s="23">
        <v>60035</v>
      </c>
      <c r="T631" s="23">
        <v>127838</v>
      </c>
      <c r="U631" s="15"/>
      <c r="V631" s="15"/>
      <c r="W631" s="15"/>
      <c r="X631" s="15"/>
      <c r="Y631" s="15"/>
      <c r="Z631" s="58"/>
      <c r="AA631" s="58"/>
      <c r="AB631" s="58"/>
      <c r="AC631" s="58"/>
    </row>
    <row r="632" spans="1:29" ht="12.75">
      <c r="A632" s="15" t="s">
        <v>887</v>
      </c>
      <c r="B632" s="16" t="s">
        <v>62</v>
      </c>
      <c r="C632" s="15" t="s">
        <v>892</v>
      </c>
      <c r="D632" s="21">
        <v>232982</v>
      </c>
      <c r="E632" s="15">
        <v>2</v>
      </c>
      <c r="F632" s="23"/>
      <c r="G632" s="23">
        <v>127268</v>
      </c>
      <c r="H632" s="23">
        <v>31376</v>
      </c>
      <c r="I632" s="24">
        <v>136800</v>
      </c>
      <c r="J632" s="24">
        <f t="shared" si="35"/>
        <v>295444</v>
      </c>
      <c r="K632" s="25"/>
      <c r="L632" s="23"/>
      <c r="M632" s="23"/>
      <c r="N632" s="23"/>
      <c r="O632" s="25"/>
      <c r="P632" s="25"/>
      <c r="Q632" s="23">
        <v>30391</v>
      </c>
      <c r="R632" s="23">
        <v>17056</v>
      </c>
      <c r="S632" s="23">
        <v>35729</v>
      </c>
      <c r="T632" s="23">
        <v>83176</v>
      </c>
      <c r="U632" s="15"/>
      <c r="V632" s="15"/>
      <c r="W632" s="15"/>
      <c r="X632" s="15"/>
      <c r="Y632" s="15"/>
      <c r="Z632" s="58"/>
      <c r="AA632" s="58"/>
      <c r="AB632" s="58"/>
      <c r="AC632" s="58"/>
    </row>
    <row r="633" spans="1:29" ht="12.75">
      <c r="A633" s="15" t="s">
        <v>887</v>
      </c>
      <c r="B633" s="16" t="s">
        <v>62</v>
      </c>
      <c r="C633" s="15" t="s">
        <v>893</v>
      </c>
      <c r="D633" s="21">
        <v>234030</v>
      </c>
      <c r="E633" s="15">
        <v>2</v>
      </c>
      <c r="F633" s="23"/>
      <c r="G633" s="23">
        <v>161669</v>
      </c>
      <c r="H633" s="23">
        <v>32462</v>
      </c>
      <c r="I633" s="24">
        <v>175324</v>
      </c>
      <c r="J633" s="24">
        <f t="shared" si="35"/>
        <v>369455</v>
      </c>
      <c r="K633" s="25"/>
      <c r="L633" s="23"/>
      <c r="M633" s="23"/>
      <c r="N633" s="23"/>
      <c r="O633" s="25"/>
      <c r="P633" s="25"/>
      <c r="Q633" s="23">
        <v>42283</v>
      </c>
      <c r="R633" s="23">
        <v>12593</v>
      </c>
      <c r="S633" s="23">
        <v>47061</v>
      </c>
      <c r="T633" s="23">
        <v>101937</v>
      </c>
      <c r="U633" s="15"/>
      <c r="V633" s="15"/>
      <c r="W633" s="15"/>
      <c r="X633" s="15"/>
      <c r="Y633" s="15"/>
      <c r="Z633" s="58"/>
      <c r="AA633" s="58"/>
      <c r="AB633" s="58"/>
      <c r="AC633" s="58"/>
    </row>
    <row r="634" spans="1:29" ht="12.75">
      <c r="A634" s="15" t="s">
        <v>887</v>
      </c>
      <c r="B634" s="16" t="s">
        <v>62</v>
      </c>
      <c r="C634" s="15" t="s">
        <v>894</v>
      </c>
      <c r="D634" s="21">
        <v>232423</v>
      </c>
      <c r="E634" s="15">
        <v>3</v>
      </c>
      <c r="F634" s="23"/>
      <c r="G634" s="23">
        <v>152033</v>
      </c>
      <c r="H634" s="23">
        <v>19337</v>
      </c>
      <c r="I634" s="24">
        <v>177669</v>
      </c>
      <c r="J634" s="24">
        <f t="shared" si="35"/>
        <v>349039</v>
      </c>
      <c r="K634" s="25"/>
      <c r="L634" s="23"/>
      <c r="M634" s="23"/>
      <c r="N634" s="23"/>
      <c r="O634" s="25"/>
      <c r="P634" s="25"/>
      <c r="Q634" s="23">
        <v>7452</v>
      </c>
      <c r="R634" s="23">
        <v>3255</v>
      </c>
      <c r="S634" s="23">
        <v>7048</v>
      </c>
      <c r="T634" s="23">
        <v>17755</v>
      </c>
      <c r="U634" s="15"/>
      <c r="V634" s="15"/>
      <c r="W634" s="15"/>
      <c r="X634" s="15"/>
      <c r="Y634" s="15"/>
      <c r="Z634" s="58"/>
      <c r="AA634" s="58"/>
      <c r="AB634" s="58"/>
      <c r="AC634" s="58"/>
    </row>
    <row r="635" spans="1:29" ht="12.75">
      <c r="A635" s="15" t="s">
        <v>887</v>
      </c>
      <c r="B635" s="16" t="s">
        <v>62</v>
      </c>
      <c r="C635" s="41" t="s">
        <v>895</v>
      </c>
      <c r="D635" s="57">
        <v>233277</v>
      </c>
      <c r="E635" s="41">
        <v>3</v>
      </c>
      <c r="F635" s="23"/>
      <c r="G635" s="23">
        <v>100462</v>
      </c>
      <c r="H635" s="23">
        <v>13646</v>
      </c>
      <c r="I635" s="24">
        <v>101195</v>
      </c>
      <c r="J635" s="23">
        <v>215303</v>
      </c>
      <c r="K635" s="25"/>
      <c r="L635" s="23"/>
      <c r="M635" s="23"/>
      <c r="N635" s="23"/>
      <c r="O635" s="25"/>
      <c r="P635" s="25"/>
      <c r="Q635" s="23">
        <v>5999</v>
      </c>
      <c r="R635" s="23">
        <v>2712</v>
      </c>
      <c r="S635" s="23">
        <v>7356</v>
      </c>
      <c r="T635" s="23">
        <v>16067</v>
      </c>
      <c r="U635" s="15"/>
      <c r="V635" s="15"/>
      <c r="W635" s="15"/>
      <c r="X635" s="15"/>
      <c r="Y635" s="15"/>
      <c r="Z635" s="58"/>
      <c r="AA635" s="58"/>
      <c r="AB635" s="58"/>
      <c r="AC635" s="58"/>
    </row>
    <row r="636" spans="1:29" ht="12.75">
      <c r="A636" s="15" t="s">
        <v>887</v>
      </c>
      <c r="B636" s="16" t="s">
        <v>62</v>
      </c>
      <c r="C636" s="15" t="s">
        <v>896</v>
      </c>
      <c r="D636" s="21">
        <v>232937</v>
      </c>
      <c r="E636" s="15">
        <v>4</v>
      </c>
      <c r="F636" s="23"/>
      <c r="G636" s="23">
        <v>95245</v>
      </c>
      <c r="H636" s="23">
        <v>7585</v>
      </c>
      <c r="I636" s="24">
        <v>99864</v>
      </c>
      <c r="J636" s="23">
        <v>202694</v>
      </c>
      <c r="K636" s="25"/>
      <c r="L636" s="23"/>
      <c r="M636" s="23"/>
      <c r="N636" s="23"/>
      <c r="O636" s="25"/>
      <c r="P636" s="25"/>
      <c r="Q636" s="23">
        <v>6653</v>
      </c>
      <c r="R636" s="23">
        <v>1538</v>
      </c>
      <c r="S636" s="23">
        <v>6955</v>
      </c>
      <c r="T636" s="23">
        <v>15146</v>
      </c>
      <c r="U636" s="15"/>
      <c r="V636" s="15"/>
      <c r="W636" s="15"/>
      <c r="X636" s="15"/>
      <c r="Y636" s="15"/>
      <c r="Z636" s="58"/>
      <c r="AA636" s="58"/>
      <c r="AB636" s="58"/>
      <c r="AC636" s="58"/>
    </row>
    <row r="637" spans="1:29" ht="12.75">
      <c r="A637" s="15" t="s">
        <v>887</v>
      </c>
      <c r="B637" s="16" t="s">
        <v>62</v>
      </c>
      <c r="C637" s="15" t="s">
        <v>897</v>
      </c>
      <c r="D637" s="21">
        <v>234155</v>
      </c>
      <c r="E637" s="15">
        <v>4</v>
      </c>
      <c r="F637" s="23"/>
      <c r="G637" s="23">
        <v>42529</v>
      </c>
      <c r="H637" s="23">
        <v>5490</v>
      </c>
      <c r="I637" s="24">
        <v>43722</v>
      </c>
      <c r="J637" s="23">
        <v>91741</v>
      </c>
      <c r="K637" s="25"/>
      <c r="L637" s="23"/>
      <c r="M637" s="23"/>
      <c r="N637" s="23"/>
      <c r="O637" s="25"/>
      <c r="P637" s="25"/>
      <c r="Q637" s="23">
        <v>4034</v>
      </c>
      <c r="R637" s="23">
        <v>1752</v>
      </c>
      <c r="S637" s="23">
        <v>5078</v>
      </c>
      <c r="T637" s="23">
        <v>10864</v>
      </c>
      <c r="U637" s="15"/>
      <c r="V637" s="15"/>
      <c r="W637" s="15"/>
      <c r="X637" s="15"/>
      <c r="Y637" s="15"/>
      <c r="Z637" s="58"/>
      <c r="AA637" s="58"/>
      <c r="AB637" s="58"/>
      <c r="AC637" s="58"/>
    </row>
    <row r="638" spans="1:29" ht="12.75">
      <c r="A638" s="15" t="s">
        <v>887</v>
      </c>
      <c r="B638" s="16" t="s">
        <v>62</v>
      </c>
      <c r="C638" s="15" t="s">
        <v>898</v>
      </c>
      <c r="D638" s="21">
        <v>232566</v>
      </c>
      <c r="E638" s="15">
        <v>5</v>
      </c>
      <c r="F638" s="23"/>
      <c r="G638" s="23">
        <v>42364</v>
      </c>
      <c r="H638" s="23">
        <v>4542</v>
      </c>
      <c r="I638" s="24">
        <v>44771</v>
      </c>
      <c r="J638" s="23">
        <v>91677</v>
      </c>
      <c r="K638" s="25"/>
      <c r="L638" s="23"/>
      <c r="M638" s="23"/>
      <c r="N638" s="23"/>
      <c r="O638" s="25"/>
      <c r="P638" s="25"/>
      <c r="Q638" s="23">
        <v>1326</v>
      </c>
      <c r="R638" s="23">
        <v>2686</v>
      </c>
      <c r="S638" s="23">
        <v>1843</v>
      </c>
      <c r="T638" s="23">
        <v>5855</v>
      </c>
      <c r="U638" s="15"/>
      <c r="V638" s="15"/>
      <c r="W638" s="15"/>
      <c r="X638" s="15"/>
      <c r="Y638" s="15"/>
      <c r="Z638" s="58"/>
      <c r="AA638" s="58"/>
      <c r="AB638" s="58"/>
      <c r="AC638" s="58"/>
    </row>
    <row r="639" spans="1:29" ht="12.75">
      <c r="A639" s="15" t="s">
        <v>887</v>
      </c>
      <c r="B639" s="16" t="s">
        <v>62</v>
      </c>
      <c r="C639" s="15" t="s">
        <v>899</v>
      </c>
      <c r="D639" s="21">
        <v>231712</v>
      </c>
      <c r="E639" s="15">
        <v>6</v>
      </c>
      <c r="F639" s="23"/>
      <c r="G639" s="23">
        <v>46274</v>
      </c>
      <c r="H639" s="23">
        <v>6308</v>
      </c>
      <c r="I639" s="24">
        <v>49633</v>
      </c>
      <c r="J639" s="23">
        <v>102215</v>
      </c>
      <c r="K639" s="25"/>
      <c r="L639" s="23"/>
      <c r="M639" s="23"/>
      <c r="N639" s="23"/>
      <c r="O639" s="25"/>
      <c r="P639" s="25"/>
      <c r="Q639" s="23">
        <v>734</v>
      </c>
      <c r="R639" s="23">
        <v>378</v>
      </c>
      <c r="S639" s="23">
        <v>840</v>
      </c>
      <c r="T639" s="23">
        <v>1952</v>
      </c>
      <c r="U639" s="23"/>
      <c r="V639" s="15"/>
      <c r="W639" s="15"/>
      <c r="X639" s="15"/>
      <c r="Y639" s="15"/>
      <c r="Z639" s="58"/>
      <c r="AA639" s="58"/>
      <c r="AB639" s="58"/>
      <c r="AC639" s="58"/>
    </row>
    <row r="640" spans="1:29" ht="12.75">
      <c r="A640" s="15" t="s">
        <v>887</v>
      </c>
      <c r="B640" s="16" t="s">
        <v>62</v>
      </c>
      <c r="C640" s="15" t="s">
        <v>900</v>
      </c>
      <c r="D640" s="21">
        <v>233897</v>
      </c>
      <c r="E640" s="15">
        <v>6</v>
      </c>
      <c r="F640" s="23"/>
      <c r="G640" s="23">
        <v>17206</v>
      </c>
      <c r="H640" s="23">
        <v>2711</v>
      </c>
      <c r="I640" s="24">
        <v>18441</v>
      </c>
      <c r="J640" s="23">
        <v>38358</v>
      </c>
      <c r="K640" s="25"/>
      <c r="L640" s="23"/>
      <c r="M640" s="23"/>
      <c r="N640" s="23"/>
      <c r="O640" s="25"/>
      <c r="P640" s="25"/>
      <c r="Q640" s="23">
        <v>0</v>
      </c>
      <c r="R640" s="23">
        <v>0</v>
      </c>
      <c r="S640" s="23">
        <v>0</v>
      </c>
      <c r="T640" s="23">
        <v>0</v>
      </c>
      <c r="U640" s="23"/>
      <c r="V640" s="15"/>
      <c r="W640" s="15"/>
      <c r="X640" s="15"/>
      <c r="Y640" s="15"/>
      <c r="Z640" s="58"/>
      <c r="AA640" s="58"/>
      <c r="AB640" s="58"/>
      <c r="AC640" s="58"/>
    </row>
    <row r="641" spans="1:29" ht="12.75">
      <c r="A641" s="15" t="s">
        <v>887</v>
      </c>
      <c r="B641" s="16" t="s">
        <v>62</v>
      </c>
      <c r="C641" s="15" t="s">
        <v>901</v>
      </c>
      <c r="D641" s="21">
        <v>232681</v>
      </c>
      <c r="E641" s="15">
        <v>6</v>
      </c>
      <c r="F641" s="23"/>
      <c r="G641" s="23">
        <v>46925</v>
      </c>
      <c r="H641" s="23">
        <v>4662</v>
      </c>
      <c r="I641" s="24">
        <v>48863</v>
      </c>
      <c r="J641" s="23">
        <v>100450</v>
      </c>
      <c r="K641" s="25"/>
      <c r="L641" s="23"/>
      <c r="M641" s="23"/>
      <c r="N641" s="23"/>
      <c r="O641" s="25"/>
      <c r="P641" s="25"/>
      <c r="Q641" s="23">
        <v>129</v>
      </c>
      <c r="R641" s="23">
        <v>175</v>
      </c>
      <c r="S641" s="23">
        <v>165</v>
      </c>
      <c r="T641" s="23">
        <v>469</v>
      </c>
      <c r="U641" s="23"/>
      <c r="V641" s="15"/>
      <c r="W641" s="15"/>
      <c r="X641" s="15"/>
      <c r="Y641" s="15"/>
      <c r="Z641" s="58"/>
      <c r="AA641" s="58"/>
      <c r="AB641" s="58"/>
      <c r="AC641" s="58"/>
    </row>
    <row r="642" spans="1:29" ht="12.75">
      <c r="A642" s="15" t="s">
        <v>887</v>
      </c>
      <c r="B642" s="16" t="s">
        <v>62</v>
      </c>
      <c r="C642" s="15" t="s">
        <v>902</v>
      </c>
      <c r="D642" s="21">
        <v>233338</v>
      </c>
      <c r="E642" s="15">
        <v>7</v>
      </c>
      <c r="F642" s="23"/>
      <c r="G642" s="23">
        <v>11844</v>
      </c>
      <c r="H642" s="23">
        <v>2672</v>
      </c>
      <c r="I642" s="24">
        <v>14113</v>
      </c>
      <c r="J642" s="23">
        <v>28629</v>
      </c>
      <c r="K642" s="25"/>
      <c r="L642" s="23"/>
      <c r="M642" s="23"/>
      <c r="N642" s="23"/>
      <c r="O642" s="25"/>
      <c r="P642" s="25"/>
      <c r="Q642" s="23">
        <v>0</v>
      </c>
      <c r="R642" s="23">
        <v>0</v>
      </c>
      <c r="S642" s="23">
        <v>0</v>
      </c>
      <c r="T642" s="23">
        <v>0</v>
      </c>
      <c r="U642" s="23"/>
      <c r="V642" s="15"/>
      <c r="W642" s="15"/>
      <c r="X642" s="15"/>
      <c r="Y642" s="15"/>
      <c r="Z642" s="58"/>
      <c r="AA642" s="58"/>
      <c r="AB642" s="58"/>
      <c r="AC642" s="58"/>
    </row>
    <row r="643" spans="1:29" ht="12.75">
      <c r="A643" s="15" t="s">
        <v>887</v>
      </c>
      <c r="B643" s="16" t="s">
        <v>62</v>
      </c>
      <c r="C643" s="15" t="s">
        <v>903</v>
      </c>
      <c r="D643" s="21"/>
      <c r="E643" s="15">
        <v>7</v>
      </c>
      <c r="F643" s="23"/>
      <c r="G643" s="23">
        <v>901379</v>
      </c>
      <c r="H643" s="23">
        <v>305990</v>
      </c>
      <c r="I643" s="24">
        <v>924135</v>
      </c>
      <c r="J643" s="23">
        <v>2131504</v>
      </c>
      <c r="K643" s="25"/>
      <c r="L643" s="23"/>
      <c r="M643" s="23"/>
      <c r="N643" s="23"/>
      <c r="O643" s="25"/>
      <c r="P643" s="25"/>
      <c r="Q643" s="23">
        <v>0</v>
      </c>
      <c r="R643" s="23">
        <v>0</v>
      </c>
      <c r="S643" s="23">
        <v>0</v>
      </c>
      <c r="T643" s="23">
        <v>0</v>
      </c>
      <c r="U643" s="23"/>
      <c r="V643" s="15"/>
      <c r="W643" s="15"/>
      <c r="X643" s="15"/>
      <c r="Y643" s="15"/>
      <c r="Z643" s="58"/>
      <c r="AA643" s="58"/>
      <c r="AB643" s="58"/>
      <c r="AC643" s="58"/>
    </row>
    <row r="644" spans="1:29" ht="12.75">
      <c r="A644" s="15" t="s">
        <v>887</v>
      </c>
      <c r="B644" s="16" t="s">
        <v>62</v>
      </c>
      <c r="C644" s="15" t="s">
        <v>904</v>
      </c>
      <c r="D644" s="21">
        <v>234085</v>
      </c>
      <c r="E644" s="15">
        <v>9</v>
      </c>
      <c r="F644" s="23"/>
      <c r="G644" s="23">
        <v>19266</v>
      </c>
      <c r="H644" s="23">
        <v>3049</v>
      </c>
      <c r="I644" s="24">
        <v>19482</v>
      </c>
      <c r="J644" s="23">
        <v>41797</v>
      </c>
      <c r="K644" s="25"/>
      <c r="L644" s="23"/>
      <c r="M644" s="23"/>
      <c r="N644" s="23"/>
      <c r="O644" s="25"/>
      <c r="P644" s="25"/>
      <c r="Q644" s="23">
        <v>0</v>
      </c>
      <c r="R644" s="23">
        <v>0</v>
      </c>
      <c r="S644" s="23">
        <v>0</v>
      </c>
      <c r="T644" s="23">
        <v>0</v>
      </c>
      <c r="U644" s="23"/>
      <c r="V644" s="15"/>
      <c r="W644" s="15"/>
      <c r="X644" s="15"/>
      <c r="Y644" s="15"/>
      <c r="Z644" s="58"/>
      <c r="AA644" s="58"/>
      <c r="AB644" s="58"/>
      <c r="AC644" s="58"/>
    </row>
    <row r="645" spans="1:29" ht="12.75">
      <c r="A645" s="15" t="s">
        <v>905</v>
      </c>
      <c r="B645" s="16" t="s">
        <v>62</v>
      </c>
      <c r="C645" s="15" t="s">
        <v>906</v>
      </c>
      <c r="D645" s="15">
        <v>238032</v>
      </c>
      <c r="E645" s="22">
        <v>1</v>
      </c>
      <c r="F645" s="23"/>
      <c r="G645" s="23">
        <v>195893</v>
      </c>
      <c r="H645" s="23">
        <v>23056</v>
      </c>
      <c r="I645" s="24">
        <v>210150</v>
      </c>
      <c r="J645" s="24">
        <f aca="true" t="shared" si="36" ref="J645:J658">SUM(G645:I645)</f>
        <v>429099</v>
      </c>
      <c r="K645" s="25"/>
      <c r="L645" s="23"/>
      <c r="M645" s="23"/>
      <c r="N645" s="24"/>
      <c r="O645" s="26"/>
      <c r="P645" s="25"/>
      <c r="Q645" s="23">
        <v>40630</v>
      </c>
      <c r="R645" s="23">
        <v>25127</v>
      </c>
      <c r="S645" s="24">
        <v>41288</v>
      </c>
      <c r="T645" s="26">
        <f>SUM(Q645:S645)</f>
        <v>107045</v>
      </c>
      <c r="U645" s="15">
        <f aca="true" t="shared" si="37" ref="U645:U658">J645+T645</f>
        <v>536144</v>
      </c>
      <c r="V645" s="15"/>
      <c r="W645" s="15"/>
      <c r="X645" s="15"/>
      <c r="Y645" s="15"/>
      <c r="Z645" s="35"/>
      <c r="AA645" s="35"/>
      <c r="AB645" s="35"/>
      <c r="AC645" s="35"/>
    </row>
    <row r="646" spans="1:29" ht="12.75">
      <c r="A646" s="15" t="s">
        <v>905</v>
      </c>
      <c r="B646" s="16" t="s">
        <v>62</v>
      </c>
      <c r="C646" s="15" t="s">
        <v>907</v>
      </c>
      <c r="D646" s="15">
        <v>237525</v>
      </c>
      <c r="E646" s="22">
        <v>3</v>
      </c>
      <c r="F646" s="23"/>
      <c r="G646" s="23">
        <v>112550</v>
      </c>
      <c r="H646" s="23">
        <v>16952</v>
      </c>
      <c r="I646" s="24">
        <v>130942</v>
      </c>
      <c r="J646" s="24">
        <f t="shared" si="36"/>
        <v>260444</v>
      </c>
      <c r="K646" s="25"/>
      <c r="L646" s="23"/>
      <c r="M646" s="23"/>
      <c r="N646" s="24"/>
      <c r="O646" s="26"/>
      <c r="P646" s="25"/>
      <c r="Q646" s="23">
        <v>10781</v>
      </c>
      <c r="R646" s="23">
        <v>5590</v>
      </c>
      <c r="S646" s="24">
        <v>12035</v>
      </c>
      <c r="T646" s="26">
        <f>SUM(Q646:S646)</f>
        <v>28406</v>
      </c>
      <c r="U646" s="15">
        <f t="shared" si="37"/>
        <v>288850</v>
      </c>
      <c r="V646" s="15"/>
      <c r="W646" s="15"/>
      <c r="X646" s="15"/>
      <c r="Y646" s="15"/>
      <c r="Z646" s="35"/>
      <c r="AA646" s="35"/>
      <c r="AB646" s="35"/>
      <c r="AC646" s="35"/>
    </row>
    <row r="647" spans="1:29" ht="12.75">
      <c r="A647" s="15" t="s">
        <v>905</v>
      </c>
      <c r="B647" s="16" t="s">
        <v>62</v>
      </c>
      <c r="C647" s="15" t="s">
        <v>908</v>
      </c>
      <c r="D647" s="15">
        <v>237215</v>
      </c>
      <c r="E647" s="22">
        <v>6</v>
      </c>
      <c r="F647" s="23"/>
      <c r="G647" s="23">
        <v>25850</v>
      </c>
      <c r="H647" s="23">
        <v>2530</v>
      </c>
      <c r="I647" s="24">
        <v>29275</v>
      </c>
      <c r="J647" s="24">
        <f t="shared" si="36"/>
        <v>57655</v>
      </c>
      <c r="K647" s="25"/>
      <c r="L647" s="23"/>
      <c r="M647" s="23"/>
      <c r="N647" s="24"/>
      <c r="O647" s="26"/>
      <c r="P647" s="25"/>
      <c r="Q647" s="23"/>
      <c r="R647" s="23"/>
      <c r="S647" s="24"/>
      <c r="T647" s="26"/>
      <c r="U647" s="15">
        <f t="shared" si="37"/>
        <v>57655</v>
      </c>
      <c r="V647" s="15"/>
      <c r="W647" s="15"/>
      <c r="X647" s="15"/>
      <c r="Y647" s="15"/>
      <c r="Z647" s="35"/>
      <c r="AA647" s="35"/>
      <c r="AB647" s="35"/>
      <c r="AC647" s="35"/>
    </row>
    <row r="648" spans="1:29" ht="12.75">
      <c r="A648" s="15" t="s">
        <v>905</v>
      </c>
      <c r="B648" s="16" t="s">
        <v>62</v>
      </c>
      <c r="C648" s="15" t="s">
        <v>909</v>
      </c>
      <c r="D648" s="15">
        <v>237330</v>
      </c>
      <c r="E648" s="22">
        <v>6</v>
      </c>
      <c r="F648" s="23"/>
      <c r="G648" s="23">
        <v>28063</v>
      </c>
      <c r="H648" s="23">
        <v>3605</v>
      </c>
      <c r="I648" s="24">
        <v>31145</v>
      </c>
      <c r="J648" s="24">
        <f t="shared" si="36"/>
        <v>62813</v>
      </c>
      <c r="K648" s="25"/>
      <c r="L648" s="23"/>
      <c r="M648" s="23"/>
      <c r="N648" s="24"/>
      <c r="O648" s="26"/>
      <c r="P648" s="25"/>
      <c r="Q648" s="23"/>
      <c r="R648" s="23"/>
      <c r="S648" s="24"/>
      <c r="T648" s="26"/>
      <c r="U648" s="15">
        <f t="shared" si="37"/>
        <v>62813</v>
      </c>
      <c r="V648" s="15"/>
      <c r="W648" s="15"/>
      <c r="X648" s="15"/>
      <c r="Y648" s="15"/>
      <c r="Z648" s="35"/>
      <c r="AA648" s="35"/>
      <c r="AB648" s="35"/>
      <c r="AC648" s="35"/>
    </row>
    <row r="649" spans="1:29" ht="12.75">
      <c r="A649" s="15" t="s">
        <v>905</v>
      </c>
      <c r="B649" s="16" t="s">
        <v>62</v>
      </c>
      <c r="C649" s="15" t="s">
        <v>910</v>
      </c>
      <c r="D649" s="15">
        <v>237367</v>
      </c>
      <c r="E649" s="22">
        <v>6</v>
      </c>
      <c r="F649" s="23"/>
      <c r="G649" s="23">
        <v>70747</v>
      </c>
      <c r="H649" s="23">
        <v>6987</v>
      </c>
      <c r="I649" s="24">
        <v>77098</v>
      </c>
      <c r="J649" s="24">
        <f t="shared" si="36"/>
        <v>154832</v>
      </c>
      <c r="K649" s="25"/>
      <c r="L649" s="23"/>
      <c r="M649" s="23"/>
      <c r="N649" s="24"/>
      <c r="O649" s="26"/>
      <c r="P649" s="25"/>
      <c r="Q649" s="23"/>
      <c r="R649" s="23"/>
      <c r="S649" s="24"/>
      <c r="T649" s="26"/>
      <c r="U649" s="15">
        <f t="shared" si="37"/>
        <v>154832</v>
      </c>
      <c r="V649" s="15"/>
      <c r="W649" s="15"/>
      <c r="X649" s="15"/>
      <c r="Y649" s="15"/>
      <c r="Z649" s="35"/>
      <c r="AA649" s="35"/>
      <c r="AB649" s="35"/>
      <c r="AC649" s="35"/>
    </row>
    <row r="650" spans="1:29" ht="12.75">
      <c r="A650" s="15" t="s">
        <v>905</v>
      </c>
      <c r="B650" s="16" t="s">
        <v>62</v>
      </c>
      <c r="C650" s="15" t="s">
        <v>911</v>
      </c>
      <c r="D650" s="15">
        <v>237385</v>
      </c>
      <c r="E650" s="22">
        <v>6</v>
      </c>
      <c r="F650" s="23"/>
      <c r="G650" s="23">
        <v>27304</v>
      </c>
      <c r="H650" s="23">
        <v>3158</v>
      </c>
      <c r="I650" s="24">
        <v>28749</v>
      </c>
      <c r="J650" s="24">
        <f t="shared" si="36"/>
        <v>59211</v>
      </c>
      <c r="K650" s="25"/>
      <c r="L650" s="23"/>
      <c r="M650" s="23"/>
      <c r="N650" s="24"/>
      <c r="O650" s="26"/>
      <c r="P650" s="25"/>
      <c r="Q650" s="23"/>
      <c r="R650" s="23"/>
      <c r="S650" s="24"/>
      <c r="T650" s="26"/>
      <c r="U650" s="15">
        <f t="shared" si="37"/>
        <v>59211</v>
      </c>
      <c r="V650" s="15"/>
      <c r="W650" s="15"/>
      <c r="X650" s="15"/>
      <c r="Y650" s="15"/>
      <c r="Z650" s="35"/>
      <c r="AA650" s="35"/>
      <c r="AB650" s="35"/>
      <c r="AC650" s="35"/>
    </row>
    <row r="651" spans="1:29" ht="12.75">
      <c r="A651" s="15" t="s">
        <v>905</v>
      </c>
      <c r="B651" s="16" t="s">
        <v>62</v>
      </c>
      <c r="C651" s="15" t="s">
        <v>912</v>
      </c>
      <c r="D651" s="15">
        <v>237792</v>
      </c>
      <c r="E651" s="22">
        <v>6</v>
      </c>
      <c r="F651" s="23"/>
      <c r="G651" s="23">
        <v>39096</v>
      </c>
      <c r="H651" s="23">
        <v>4456</v>
      </c>
      <c r="I651" s="24">
        <v>44346</v>
      </c>
      <c r="J651" s="24">
        <f t="shared" si="36"/>
        <v>87898</v>
      </c>
      <c r="K651" s="25"/>
      <c r="L651" s="23"/>
      <c r="M651" s="23"/>
      <c r="N651" s="24"/>
      <c r="O651" s="26"/>
      <c r="P651" s="25"/>
      <c r="Q651" s="23"/>
      <c r="R651" s="23"/>
      <c r="S651" s="24"/>
      <c r="T651" s="26"/>
      <c r="U651" s="15">
        <f t="shared" si="37"/>
        <v>87898</v>
      </c>
      <c r="V651" s="15"/>
      <c r="W651" s="15"/>
      <c r="X651" s="15"/>
      <c r="Y651" s="15"/>
      <c r="Z651" s="35"/>
      <c r="AA651" s="35"/>
      <c r="AB651" s="35"/>
      <c r="AC651" s="35"/>
    </row>
    <row r="652" spans="1:29" ht="12.75">
      <c r="A652" s="15" t="s">
        <v>905</v>
      </c>
      <c r="B652" s="16" t="s">
        <v>62</v>
      </c>
      <c r="C652" s="15" t="s">
        <v>913</v>
      </c>
      <c r="D652" s="15">
        <v>237932</v>
      </c>
      <c r="E652" s="22">
        <v>6</v>
      </c>
      <c r="F652" s="23"/>
      <c r="G652" s="23">
        <v>33185</v>
      </c>
      <c r="H652" s="23">
        <v>2850</v>
      </c>
      <c r="I652" s="24">
        <v>36883</v>
      </c>
      <c r="J652" s="24">
        <f t="shared" si="36"/>
        <v>72918</v>
      </c>
      <c r="K652" s="25"/>
      <c r="L652" s="23"/>
      <c r="M652" s="23"/>
      <c r="N652" s="24"/>
      <c r="O652" s="26"/>
      <c r="P652" s="25"/>
      <c r="Q652" s="23"/>
      <c r="R652" s="23"/>
      <c r="S652" s="24"/>
      <c r="T652" s="26"/>
      <c r="U652" s="15">
        <f t="shared" si="37"/>
        <v>72918</v>
      </c>
      <c r="V652" s="15"/>
      <c r="W652" s="15"/>
      <c r="X652" s="15"/>
      <c r="Y652" s="15"/>
      <c r="Z652" s="35"/>
      <c r="AA652" s="35"/>
      <c r="AB652" s="35"/>
      <c r="AC652" s="35"/>
    </row>
    <row r="653" spans="1:29" ht="12.75">
      <c r="A653" s="15" t="s">
        <v>905</v>
      </c>
      <c r="B653" s="16" t="s">
        <v>62</v>
      </c>
      <c r="C653" s="15" t="s">
        <v>914</v>
      </c>
      <c r="D653" s="15">
        <v>237950</v>
      </c>
      <c r="E653" s="22">
        <v>6</v>
      </c>
      <c r="F653" s="23"/>
      <c r="G653" s="23">
        <v>28967</v>
      </c>
      <c r="H653" s="23">
        <v>3724</v>
      </c>
      <c r="I653" s="24">
        <v>31744</v>
      </c>
      <c r="J653" s="24">
        <f t="shared" si="36"/>
        <v>64435</v>
      </c>
      <c r="K653" s="25"/>
      <c r="L653" s="23"/>
      <c r="M653" s="23"/>
      <c r="N653" s="24"/>
      <c r="O653" s="26"/>
      <c r="P653" s="25"/>
      <c r="Q653" s="23">
        <v>224</v>
      </c>
      <c r="R653" s="23">
        <v>6</v>
      </c>
      <c r="S653" s="24">
        <v>365</v>
      </c>
      <c r="T653" s="26">
        <f>SUM(Q653:S653)</f>
        <v>595</v>
      </c>
      <c r="U653" s="15">
        <f t="shared" si="37"/>
        <v>65030</v>
      </c>
      <c r="V653" s="15"/>
      <c r="W653" s="15"/>
      <c r="X653" s="15"/>
      <c r="Y653" s="15"/>
      <c r="Z653" s="35"/>
      <c r="AA653" s="35"/>
      <c r="AB653" s="35"/>
      <c r="AC653" s="35"/>
    </row>
    <row r="654" spans="1:29" ht="12.75">
      <c r="A654" s="15" t="s">
        <v>905</v>
      </c>
      <c r="B654" s="16" t="s">
        <v>62</v>
      </c>
      <c r="C654" s="15" t="s">
        <v>915</v>
      </c>
      <c r="D654" s="15">
        <v>237899</v>
      </c>
      <c r="E654" s="22">
        <v>6</v>
      </c>
      <c r="F654" s="23"/>
      <c r="G654" s="23">
        <v>46673</v>
      </c>
      <c r="H654" s="23">
        <v>4687</v>
      </c>
      <c r="I654" s="24">
        <v>49744</v>
      </c>
      <c r="J654" s="24">
        <f t="shared" si="36"/>
        <v>101104</v>
      </c>
      <c r="K654" s="25"/>
      <c r="L654" s="23"/>
      <c r="M654" s="23"/>
      <c r="N654" s="24"/>
      <c r="O654" s="26"/>
      <c r="P654" s="25"/>
      <c r="Q654" s="23"/>
      <c r="R654" s="23"/>
      <c r="S654" s="24"/>
      <c r="T654" s="26"/>
      <c r="U654" s="15">
        <f t="shared" si="37"/>
        <v>101104</v>
      </c>
      <c r="V654" s="15"/>
      <c r="W654" s="15"/>
      <c r="X654" s="15"/>
      <c r="Y654" s="15"/>
      <c r="Z654" s="35"/>
      <c r="AA654" s="35"/>
      <c r="AB654" s="35"/>
      <c r="AC654" s="35"/>
    </row>
    <row r="655" spans="1:29" ht="12.75">
      <c r="A655" s="15" t="s">
        <v>905</v>
      </c>
      <c r="B655" s="16" t="s">
        <v>62</v>
      </c>
      <c r="C655" s="15" t="s">
        <v>916</v>
      </c>
      <c r="D655" s="15">
        <v>237701</v>
      </c>
      <c r="E655" s="22">
        <v>7</v>
      </c>
      <c r="F655" s="23"/>
      <c r="G655" s="23">
        <v>12607</v>
      </c>
      <c r="H655" s="23">
        <v>1440</v>
      </c>
      <c r="I655" s="24">
        <v>13368</v>
      </c>
      <c r="J655" s="24">
        <f t="shared" si="36"/>
        <v>27415</v>
      </c>
      <c r="K655" s="25"/>
      <c r="L655" s="23"/>
      <c r="M655" s="23"/>
      <c r="N655" s="24"/>
      <c r="O655" s="26"/>
      <c r="P655" s="25"/>
      <c r="Q655" s="23"/>
      <c r="R655" s="23"/>
      <c r="S655" s="24"/>
      <c r="T655" s="26"/>
      <c r="U655" s="15">
        <f t="shared" si="37"/>
        <v>27415</v>
      </c>
      <c r="V655" s="15"/>
      <c r="W655" s="15"/>
      <c r="X655" s="15"/>
      <c r="Y655" s="15"/>
      <c r="Z655" s="35"/>
      <c r="AA655" s="35"/>
      <c r="AB655" s="35"/>
      <c r="AC655" s="35"/>
    </row>
    <row r="656" spans="1:29" ht="12.75">
      <c r="A656" s="15" t="s">
        <v>905</v>
      </c>
      <c r="B656" s="16" t="s">
        <v>62</v>
      </c>
      <c r="C656" s="15" t="s">
        <v>917</v>
      </c>
      <c r="D656" s="15">
        <v>237817</v>
      </c>
      <c r="E656" s="22">
        <v>7</v>
      </c>
      <c r="F656" s="23"/>
      <c r="G656" s="23">
        <v>30971</v>
      </c>
      <c r="H656" s="23">
        <v>1762</v>
      </c>
      <c r="I656" s="24">
        <v>31073</v>
      </c>
      <c r="J656" s="24">
        <f t="shared" si="36"/>
        <v>63806</v>
      </c>
      <c r="K656" s="25"/>
      <c r="L656" s="23"/>
      <c r="M656" s="23"/>
      <c r="N656" s="24"/>
      <c r="O656" s="26"/>
      <c r="P656" s="25"/>
      <c r="Q656" s="23"/>
      <c r="R656" s="23"/>
      <c r="S656" s="24"/>
      <c r="T656" s="26"/>
      <c r="U656" s="15">
        <f t="shared" si="37"/>
        <v>63806</v>
      </c>
      <c r="V656" s="15"/>
      <c r="W656" s="15"/>
      <c r="X656" s="15"/>
      <c r="Y656" s="15"/>
      <c r="Z656" s="35"/>
      <c r="AA656" s="35"/>
      <c r="AB656" s="35"/>
      <c r="AC656" s="35"/>
    </row>
    <row r="657" spans="1:58" ht="12.75">
      <c r="A657" s="15" t="s">
        <v>905</v>
      </c>
      <c r="B657" s="16" t="s">
        <v>62</v>
      </c>
      <c r="C657" s="15" t="s">
        <v>918</v>
      </c>
      <c r="D657" s="15">
        <v>238014</v>
      </c>
      <c r="E657" s="22">
        <v>7</v>
      </c>
      <c r="F657" s="23"/>
      <c r="G657" s="23">
        <v>23547</v>
      </c>
      <c r="H657" s="23">
        <v>2496</v>
      </c>
      <c r="I657" s="24">
        <v>23101</v>
      </c>
      <c r="J657" s="24">
        <f t="shared" si="36"/>
        <v>49144</v>
      </c>
      <c r="K657" s="25"/>
      <c r="L657" s="23"/>
      <c r="M657" s="23"/>
      <c r="N657" s="24"/>
      <c r="O657" s="26"/>
      <c r="P657" s="25"/>
      <c r="Q657" s="23"/>
      <c r="R657" s="23"/>
      <c r="S657" s="24"/>
      <c r="T657" s="26"/>
      <c r="U657" s="15">
        <f t="shared" si="37"/>
        <v>49144</v>
      </c>
      <c r="V657" s="23"/>
      <c r="W657" s="23"/>
      <c r="X657" s="23"/>
      <c r="Y657" s="23"/>
      <c r="Z657" s="35"/>
      <c r="AA657" s="35"/>
      <c r="AB657" s="35"/>
      <c r="AC657" s="35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2.75">
      <c r="A658" s="15" t="s">
        <v>905</v>
      </c>
      <c r="B658" s="16" t="s">
        <v>62</v>
      </c>
      <c r="C658" s="15" t="s">
        <v>919</v>
      </c>
      <c r="D658" s="15">
        <v>237686</v>
      </c>
      <c r="E658" s="22">
        <v>7</v>
      </c>
      <c r="F658" s="23"/>
      <c r="G658" s="23">
        <v>32287</v>
      </c>
      <c r="H658" s="23">
        <v>2786</v>
      </c>
      <c r="I658" s="24">
        <v>34094</v>
      </c>
      <c r="J658" s="24">
        <f t="shared" si="36"/>
        <v>69167</v>
      </c>
      <c r="K658" s="25"/>
      <c r="L658" s="23"/>
      <c r="M658" s="23"/>
      <c r="N658" s="24"/>
      <c r="O658" s="26"/>
      <c r="P658" s="25"/>
      <c r="Q658" s="23"/>
      <c r="R658" s="23"/>
      <c r="S658" s="24"/>
      <c r="T658" s="26"/>
      <c r="U658" s="15">
        <f t="shared" si="37"/>
        <v>69167</v>
      </c>
      <c r="V658" s="23"/>
      <c r="W658" s="23"/>
      <c r="X658" s="23"/>
      <c r="Y658" s="23"/>
      <c r="Z658" s="35"/>
      <c r="AA658" s="35"/>
      <c r="AB658" s="35"/>
      <c r="AC658" s="35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2.75">
      <c r="A659" s="15" t="s">
        <v>905</v>
      </c>
      <c r="B659" s="16" t="s">
        <v>62</v>
      </c>
      <c r="C659" s="15" t="s">
        <v>920</v>
      </c>
      <c r="D659" s="15">
        <v>237871</v>
      </c>
      <c r="E659" s="22">
        <v>9</v>
      </c>
      <c r="F659" s="23"/>
      <c r="G659" s="23"/>
      <c r="H659" s="23"/>
      <c r="I659" s="24"/>
      <c r="J659" s="24"/>
      <c r="K659" s="25"/>
      <c r="L659" s="23"/>
      <c r="M659" s="23"/>
      <c r="N659" s="24"/>
      <c r="O659" s="26"/>
      <c r="P659" s="25"/>
      <c r="Q659" s="23">
        <v>11035</v>
      </c>
      <c r="R659" s="23">
        <v>10293</v>
      </c>
      <c r="S659" s="24">
        <v>10651</v>
      </c>
      <c r="T659" s="26">
        <f>SUM(Q659:S659)</f>
        <v>31979</v>
      </c>
      <c r="U659" s="15"/>
      <c r="V659" s="23"/>
      <c r="W659" s="23"/>
      <c r="X659" s="23"/>
      <c r="Y659" s="23"/>
      <c r="Z659" s="35"/>
      <c r="AA659" s="35"/>
      <c r="AB659" s="35"/>
      <c r="AC659" s="35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2.75">
      <c r="A660" s="15" t="s">
        <v>905</v>
      </c>
      <c r="B660" s="16" t="s">
        <v>62</v>
      </c>
      <c r="C660" s="15" t="s">
        <v>921</v>
      </c>
      <c r="D660" s="15">
        <v>237880</v>
      </c>
      <c r="E660" s="22">
        <v>9</v>
      </c>
      <c r="F660" s="23"/>
      <c r="G660" s="23" t="s">
        <v>922</v>
      </c>
      <c r="H660" s="23"/>
      <c r="I660" s="24"/>
      <c r="J660" s="24"/>
      <c r="K660" s="25"/>
      <c r="L660" s="23"/>
      <c r="M660" s="23"/>
      <c r="N660" s="24"/>
      <c r="O660" s="26"/>
      <c r="P660" s="25"/>
      <c r="Q660" s="23"/>
      <c r="R660" s="23"/>
      <c r="S660" s="24"/>
      <c r="T660" s="26"/>
      <c r="U660" s="23"/>
      <c r="V660" s="23"/>
      <c r="W660" s="23"/>
      <c r="X660" s="23"/>
      <c r="Y660" s="23"/>
      <c r="Z660" s="35"/>
      <c r="AA660" s="35"/>
      <c r="AB660" s="35"/>
      <c r="AC660" s="35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2.75">
      <c r="A661" s="15"/>
      <c r="B661" s="16"/>
      <c r="C661" s="23"/>
      <c r="D661" s="23"/>
      <c r="E661" s="47"/>
      <c r="F661" s="23"/>
      <c r="G661" s="23"/>
      <c r="H661" s="23"/>
      <c r="I661" s="24"/>
      <c r="J661" s="24"/>
      <c r="K661" s="23"/>
      <c r="L661" s="15"/>
      <c r="M661" s="15"/>
      <c r="N661" s="24"/>
      <c r="O661" s="24"/>
      <c r="P661" s="23"/>
      <c r="Q661" s="23"/>
      <c r="R661" s="23"/>
      <c r="S661" s="24"/>
      <c r="T661" s="24"/>
      <c r="U661" s="15"/>
      <c r="V661" s="15"/>
      <c r="W661" s="15"/>
      <c r="X661" s="15"/>
      <c r="Y661" s="15"/>
      <c r="Z661" s="35"/>
      <c r="AA661" s="35"/>
      <c r="AB661" s="35"/>
      <c r="AC661" s="35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2.75">
      <c r="A662" s="15"/>
      <c r="B662" s="16"/>
      <c r="C662" s="23"/>
      <c r="D662" s="23"/>
      <c r="E662" s="47"/>
      <c r="F662" s="23"/>
      <c r="G662" s="23"/>
      <c r="H662" s="23"/>
      <c r="I662" s="24"/>
      <c r="J662" s="24"/>
      <c r="K662" s="23"/>
      <c r="L662" s="15"/>
      <c r="M662" s="15"/>
      <c r="N662" s="24"/>
      <c r="O662" s="24"/>
      <c r="P662" s="23"/>
      <c r="Q662" s="23"/>
      <c r="R662" s="23"/>
      <c r="S662" s="24"/>
      <c r="T662" s="24"/>
      <c r="U662" s="15"/>
      <c r="V662" s="15"/>
      <c r="W662" s="15"/>
      <c r="X662" s="15"/>
      <c r="Y662" s="15"/>
      <c r="Z662" s="35"/>
      <c r="AA662" s="35"/>
      <c r="AB662" s="35"/>
      <c r="AC662" s="35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2.75">
      <c r="A663" s="15"/>
      <c r="B663" s="16"/>
      <c r="C663" s="23"/>
      <c r="D663" s="23"/>
      <c r="E663" s="47"/>
      <c r="F663" s="23"/>
      <c r="G663" s="23"/>
      <c r="H663" s="23"/>
      <c r="I663" s="24"/>
      <c r="J663" s="24"/>
      <c r="K663" s="23"/>
      <c r="L663" s="15"/>
      <c r="M663" s="15"/>
      <c r="N663" s="24"/>
      <c r="O663" s="24"/>
      <c r="P663" s="23"/>
      <c r="Q663" s="23"/>
      <c r="R663" s="23"/>
      <c r="S663" s="24"/>
      <c r="T663" s="24"/>
      <c r="U663" s="15"/>
      <c r="V663" s="15"/>
      <c r="W663" s="15"/>
      <c r="X663" s="15"/>
      <c r="Y663" s="15"/>
      <c r="Z663" s="35"/>
      <c r="AA663" s="35"/>
      <c r="AB663" s="35"/>
      <c r="AC663" s="35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2.75">
      <c r="A664" s="15"/>
      <c r="B664" s="16"/>
      <c r="C664" s="23"/>
      <c r="D664" s="23"/>
      <c r="E664" s="47"/>
      <c r="F664" s="23"/>
      <c r="G664" s="23"/>
      <c r="H664" s="23"/>
      <c r="I664" s="24"/>
      <c r="J664" s="24"/>
      <c r="K664" s="23"/>
      <c r="L664" s="15"/>
      <c r="M664" s="15"/>
      <c r="N664" s="24"/>
      <c r="O664" s="24"/>
      <c r="P664" s="23"/>
      <c r="Q664" s="23"/>
      <c r="R664" s="23"/>
      <c r="S664" s="24"/>
      <c r="T664" s="24"/>
      <c r="U664" s="15"/>
      <c r="V664" s="15"/>
      <c r="W664" s="15"/>
      <c r="X664" s="15"/>
      <c r="Y664" s="15"/>
      <c r="Z664" s="35"/>
      <c r="AA664" s="35"/>
      <c r="AB664" s="35"/>
      <c r="AC664" s="35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2.75">
      <c r="A665" s="15"/>
      <c r="B665" s="16"/>
      <c r="C665" s="23"/>
      <c r="D665" s="23"/>
      <c r="E665" s="47"/>
      <c r="F665" s="23"/>
      <c r="G665" s="23"/>
      <c r="H665" s="23"/>
      <c r="I665" s="24"/>
      <c r="J665" s="24"/>
      <c r="K665" s="23"/>
      <c r="L665" s="15"/>
      <c r="M665" s="15"/>
      <c r="N665" s="24"/>
      <c r="O665" s="24"/>
      <c r="P665" s="23"/>
      <c r="Q665" s="23"/>
      <c r="R665" s="23"/>
      <c r="S665" s="24"/>
      <c r="T665" s="24"/>
      <c r="U665" s="15"/>
      <c r="V665" s="15"/>
      <c r="W665" s="15"/>
      <c r="X665" s="15"/>
      <c r="Y665" s="15"/>
      <c r="Z665" s="35"/>
      <c r="AA665" s="35"/>
      <c r="AB665" s="35"/>
      <c r="AC665" s="35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2.75">
      <c r="A666" s="15"/>
      <c r="B666" s="16"/>
      <c r="C666" s="23"/>
      <c r="D666" s="23"/>
      <c r="E666" s="47"/>
      <c r="F666" s="23"/>
      <c r="G666" s="23"/>
      <c r="H666" s="23"/>
      <c r="I666" s="24"/>
      <c r="J666" s="24"/>
      <c r="K666" s="23"/>
      <c r="L666" s="15"/>
      <c r="M666" s="15"/>
      <c r="N666" s="24"/>
      <c r="O666" s="24"/>
      <c r="P666" s="23"/>
      <c r="Q666" s="23"/>
      <c r="R666" s="23"/>
      <c r="S666" s="24"/>
      <c r="T666" s="24"/>
      <c r="U666" s="15"/>
      <c r="V666" s="15"/>
      <c r="W666" s="15"/>
      <c r="X666" s="15"/>
      <c r="Y666" s="15"/>
      <c r="Z666" s="35"/>
      <c r="AA666" s="35"/>
      <c r="AB666" s="35"/>
      <c r="AC666" s="35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2.75">
      <c r="A667" s="15"/>
      <c r="B667" s="16"/>
      <c r="C667" s="23"/>
      <c r="D667" s="23"/>
      <c r="E667" s="47"/>
      <c r="F667" s="23"/>
      <c r="G667" s="23"/>
      <c r="H667" s="23"/>
      <c r="I667" s="24"/>
      <c r="J667" s="24"/>
      <c r="K667" s="15"/>
      <c r="L667" s="15"/>
      <c r="M667" s="15"/>
      <c r="N667" s="24"/>
      <c r="O667" s="24"/>
      <c r="P667" s="23"/>
      <c r="Q667" s="23"/>
      <c r="R667" s="23"/>
      <c r="S667" s="24"/>
      <c r="T667" s="24"/>
      <c r="U667" s="15"/>
      <c r="V667" s="15"/>
      <c r="W667" s="15"/>
      <c r="X667" s="15"/>
      <c r="Y667" s="15"/>
      <c r="Z667" s="35"/>
      <c r="AA667" s="35"/>
      <c r="AB667" s="35"/>
      <c r="AC667" s="35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2.75">
      <c r="A668" s="15"/>
      <c r="B668" s="16"/>
      <c r="C668" s="23"/>
      <c r="D668" s="23"/>
      <c r="E668" s="47"/>
      <c r="F668" s="23"/>
      <c r="G668" s="23"/>
      <c r="H668" s="23"/>
      <c r="I668" s="24"/>
      <c r="J668" s="24"/>
      <c r="K668" s="15"/>
      <c r="L668" s="15"/>
      <c r="M668" s="15"/>
      <c r="N668" s="24"/>
      <c r="O668" s="24"/>
      <c r="P668" s="23"/>
      <c r="Q668" s="23"/>
      <c r="R668" s="23"/>
      <c r="S668" s="24"/>
      <c r="T668" s="24"/>
      <c r="U668" s="15"/>
      <c r="V668" s="15"/>
      <c r="W668" s="15"/>
      <c r="X668" s="15"/>
      <c r="Y668" s="15"/>
      <c r="Z668" s="35"/>
      <c r="AA668" s="35"/>
      <c r="AB668" s="35"/>
      <c r="AC668" s="35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2.75">
      <c r="A669" s="15"/>
      <c r="B669" s="16"/>
      <c r="C669" s="23"/>
      <c r="D669" s="23"/>
      <c r="E669" s="47"/>
      <c r="F669" s="23"/>
      <c r="G669" s="23"/>
      <c r="H669" s="23"/>
      <c r="I669" s="24"/>
      <c r="J669" s="24"/>
      <c r="K669" s="15"/>
      <c r="L669" s="15"/>
      <c r="M669" s="15"/>
      <c r="N669" s="24"/>
      <c r="O669" s="24"/>
      <c r="P669" s="23"/>
      <c r="Q669" s="23"/>
      <c r="R669" s="23"/>
      <c r="S669" s="24"/>
      <c r="T669" s="24"/>
      <c r="U669" s="15"/>
      <c r="V669" s="15"/>
      <c r="W669" s="15"/>
      <c r="X669" s="15"/>
      <c r="Y669" s="15"/>
      <c r="Z669" s="35"/>
      <c r="AA669" s="35"/>
      <c r="AB669" s="35"/>
      <c r="AC669" s="35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2.75">
      <c r="A670" s="15"/>
      <c r="B670" s="16"/>
      <c r="C670" s="23"/>
      <c r="D670" s="23"/>
      <c r="E670" s="47"/>
      <c r="F670" s="23"/>
      <c r="G670" s="23"/>
      <c r="H670" s="23"/>
      <c r="I670" s="24"/>
      <c r="J670" s="24"/>
      <c r="K670" s="15"/>
      <c r="L670" s="15"/>
      <c r="M670" s="15"/>
      <c r="N670" s="24"/>
      <c r="O670" s="24"/>
      <c r="P670" s="23"/>
      <c r="Q670" s="23"/>
      <c r="R670" s="23"/>
      <c r="S670" s="24"/>
      <c r="T670" s="24"/>
      <c r="U670" s="15"/>
      <c r="V670" s="15"/>
      <c r="W670" s="15"/>
      <c r="X670" s="15"/>
      <c r="Y670" s="15"/>
      <c r="Z670" s="35"/>
      <c r="AA670" s="35"/>
      <c r="AB670" s="35"/>
      <c r="AC670" s="35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86"/>
    </row>
    <row r="671" spans="1:58" ht="12.75">
      <c r="A671" s="15"/>
      <c r="B671" s="16"/>
      <c r="C671" s="23"/>
      <c r="D671" s="23"/>
      <c r="E671" s="47"/>
      <c r="F671" s="23"/>
      <c r="G671" s="23"/>
      <c r="H671" s="23"/>
      <c r="I671" s="24"/>
      <c r="J671" s="24"/>
      <c r="K671" s="15"/>
      <c r="L671" s="15"/>
      <c r="M671" s="15"/>
      <c r="N671" s="24"/>
      <c r="O671" s="24"/>
      <c r="P671" s="23"/>
      <c r="Q671" s="23"/>
      <c r="R671" s="23"/>
      <c r="S671" s="24"/>
      <c r="T671" s="24"/>
      <c r="U671" s="15"/>
      <c r="V671" s="15"/>
      <c r="W671" s="15"/>
      <c r="X671" s="15"/>
      <c r="Y671" s="15"/>
      <c r="Z671" s="35"/>
      <c r="AA671" s="35"/>
      <c r="AB671" s="35"/>
      <c r="AC671" s="35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86"/>
    </row>
    <row r="672" spans="1:58" ht="12.75">
      <c r="A672" s="15"/>
      <c r="B672" s="16"/>
      <c r="C672" s="23"/>
      <c r="D672" s="23"/>
      <c r="E672" s="47"/>
      <c r="F672" s="23"/>
      <c r="G672" s="23"/>
      <c r="H672" s="23"/>
      <c r="I672" s="24"/>
      <c r="J672" s="24"/>
      <c r="K672" s="15"/>
      <c r="L672" s="15"/>
      <c r="M672" s="15"/>
      <c r="N672" s="24"/>
      <c r="O672" s="24"/>
      <c r="P672" s="23"/>
      <c r="Q672" s="23"/>
      <c r="R672" s="23"/>
      <c r="S672" s="24"/>
      <c r="T672" s="24"/>
      <c r="U672" s="15"/>
      <c r="V672" s="15"/>
      <c r="W672" s="15"/>
      <c r="X672" s="15"/>
      <c r="Y672" s="15"/>
      <c r="Z672" s="35"/>
      <c r="AA672" s="35"/>
      <c r="AB672" s="35"/>
      <c r="AC672" s="35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82" ht="12.75">
      <c r="A673" s="15"/>
      <c r="B673" s="16"/>
      <c r="C673" s="23"/>
      <c r="D673" s="23"/>
      <c r="E673" s="47"/>
      <c r="F673" s="23"/>
      <c r="G673" s="23"/>
      <c r="H673" s="23"/>
      <c r="I673" s="24"/>
      <c r="J673" s="24"/>
      <c r="K673" s="15"/>
      <c r="L673" s="15"/>
      <c r="M673" s="15"/>
      <c r="N673" s="24"/>
      <c r="O673" s="24"/>
      <c r="P673" s="23"/>
      <c r="Q673" s="23"/>
      <c r="R673" s="23"/>
      <c r="S673" s="24"/>
      <c r="T673" s="24"/>
      <c r="U673" s="15"/>
      <c r="V673" s="15"/>
      <c r="W673" s="15"/>
      <c r="X673" s="15"/>
      <c r="Y673" s="15"/>
      <c r="Z673" s="35"/>
      <c r="AA673" s="35"/>
      <c r="AB673" s="35"/>
      <c r="AC673" s="35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</row>
    <row r="674" spans="1:82" ht="12.75">
      <c r="A674" s="15"/>
      <c r="B674" s="16"/>
      <c r="C674" s="23"/>
      <c r="D674" s="23"/>
      <c r="E674" s="47"/>
      <c r="F674" s="23"/>
      <c r="G674" s="23"/>
      <c r="H674" s="23"/>
      <c r="I674" s="24"/>
      <c r="J674" s="24"/>
      <c r="K674" s="15"/>
      <c r="L674" s="15"/>
      <c r="M674" s="15"/>
      <c r="N674" s="24"/>
      <c r="O674" s="24"/>
      <c r="P674" s="23"/>
      <c r="Q674" s="23"/>
      <c r="R674" s="23"/>
      <c r="S674" s="24"/>
      <c r="T674" s="24"/>
      <c r="U674" s="15"/>
      <c r="V674" s="15"/>
      <c r="W674" s="15"/>
      <c r="X674" s="15"/>
      <c r="Y674" s="15"/>
      <c r="Z674" s="35"/>
      <c r="AA674" s="35"/>
      <c r="AB674" s="35"/>
      <c r="AC674" s="35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</row>
    <row r="675" spans="1:82" ht="12.75">
      <c r="A675" s="15"/>
      <c r="B675" s="16"/>
      <c r="C675" s="23"/>
      <c r="D675" s="23"/>
      <c r="E675" s="47"/>
      <c r="F675" s="23"/>
      <c r="G675" s="23"/>
      <c r="H675" s="23"/>
      <c r="I675" s="24"/>
      <c r="J675" s="24"/>
      <c r="K675" s="15"/>
      <c r="L675" s="15"/>
      <c r="M675" s="15"/>
      <c r="N675" s="24"/>
      <c r="O675" s="24"/>
      <c r="P675" s="23"/>
      <c r="Q675" s="23"/>
      <c r="R675" s="23"/>
      <c r="S675" s="24"/>
      <c r="T675" s="24"/>
      <c r="U675" s="15"/>
      <c r="V675" s="15"/>
      <c r="W675" s="15"/>
      <c r="X675" s="15"/>
      <c r="Y675" s="15"/>
      <c r="Z675" s="35"/>
      <c r="AA675" s="35"/>
      <c r="AB675" s="35"/>
      <c r="AC675" s="35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</row>
    <row r="676" spans="1:82" ht="12.75">
      <c r="A676" s="15"/>
      <c r="B676" s="16"/>
      <c r="C676" s="23"/>
      <c r="D676" s="23"/>
      <c r="E676" s="47"/>
      <c r="F676" s="23"/>
      <c r="G676" s="23"/>
      <c r="H676" s="23"/>
      <c r="I676" s="24"/>
      <c r="J676" s="24"/>
      <c r="K676" s="15"/>
      <c r="L676" s="15"/>
      <c r="M676" s="15"/>
      <c r="N676" s="24"/>
      <c r="O676" s="24"/>
      <c r="P676" s="23"/>
      <c r="Q676" s="23"/>
      <c r="R676" s="23"/>
      <c r="S676" s="24"/>
      <c r="T676" s="24"/>
      <c r="U676" s="15"/>
      <c r="V676" s="15"/>
      <c r="W676" s="15"/>
      <c r="X676" s="15"/>
      <c r="Y676" s="15"/>
      <c r="Z676" s="35"/>
      <c r="AA676" s="35"/>
      <c r="AB676" s="35"/>
      <c r="AC676" s="35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</row>
    <row r="677" spans="1:82" ht="12.75">
      <c r="A677" s="15"/>
      <c r="B677" s="16"/>
      <c r="C677" s="23"/>
      <c r="D677" s="23"/>
      <c r="E677" s="47"/>
      <c r="F677" s="23"/>
      <c r="G677" s="23"/>
      <c r="H677" s="23"/>
      <c r="I677" s="24"/>
      <c r="J677" s="24"/>
      <c r="K677" s="15"/>
      <c r="L677" s="15"/>
      <c r="M677" s="15"/>
      <c r="N677" s="24"/>
      <c r="O677" s="24"/>
      <c r="P677" s="23"/>
      <c r="Q677" s="23"/>
      <c r="R677" s="23"/>
      <c r="S677" s="24"/>
      <c r="T677" s="24"/>
      <c r="U677" s="15"/>
      <c r="V677" s="15"/>
      <c r="W677" s="15"/>
      <c r="X677" s="15"/>
      <c r="Y677" s="15"/>
      <c r="Z677" s="35"/>
      <c r="AA677" s="35"/>
      <c r="AB677" s="35"/>
      <c r="AC677" s="35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</row>
    <row r="678" spans="1:82" ht="12.75">
      <c r="A678" s="15"/>
      <c r="B678" s="16"/>
      <c r="C678" s="23"/>
      <c r="D678" s="23"/>
      <c r="E678" s="47"/>
      <c r="F678" s="23"/>
      <c r="G678" s="23"/>
      <c r="H678" s="23"/>
      <c r="I678" s="24"/>
      <c r="J678" s="24"/>
      <c r="K678" s="15"/>
      <c r="L678" s="15"/>
      <c r="M678" s="15"/>
      <c r="N678" s="24"/>
      <c r="O678" s="24"/>
      <c r="P678" s="23"/>
      <c r="Q678" s="23"/>
      <c r="R678" s="23"/>
      <c r="S678" s="24"/>
      <c r="T678" s="24"/>
      <c r="U678" s="15"/>
      <c r="V678" s="15"/>
      <c r="W678" s="15"/>
      <c r="X678" s="15"/>
      <c r="Y678" s="15"/>
      <c r="Z678" s="35"/>
      <c r="AA678" s="35"/>
      <c r="AB678" s="35"/>
      <c r="AC678" s="35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</row>
    <row r="679" spans="1:82" ht="12.75">
      <c r="A679" s="15"/>
      <c r="B679" s="16"/>
      <c r="C679" s="23"/>
      <c r="D679" s="23"/>
      <c r="E679" s="47"/>
      <c r="F679" s="23"/>
      <c r="G679" s="23"/>
      <c r="H679" s="23"/>
      <c r="I679" s="24"/>
      <c r="J679" s="24"/>
      <c r="K679" s="15"/>
      <c r="L679" s="15"/>
      <c r="M679" s="15"/>
      <c r="N679" s="24"/>
      <c r="O679" s="24"/>
      <c r="P679" s="23"/>
      <c r="Q679" s="23"/>
      <c r="R679" s="23"/>
      <c r="S679" s="24"/>
      <c r="T679" s="24"/>
      <c r="U679" s="15"/>
      <c r="V679" s="15"/>
      <c r="W679" s="15"/>
      <c r="X679" s="15"/>
      <c r="Y679" s="15"/>
      <c r="Z679" s="35"/>
      <c r="AA679" s="35"/>
      <c r="AB679" s="35"/>
      <c r="AC679" s="35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</row>
    <row r="680" spans="1:82" ht="12.75">
      <c r="A680" s="15"/>
      <c r="B680" s="16"/>
      <c r="C680" s="23"/>
      <c r="D680" s="23"/>
      <c r="E680" s="47"/>
      <c r="F680" s="23"/>
      <c r="G680" s="23"/>
      <c r="H680" s="23"/>
      <c r="I680" s="24"/>
      <c r="J680" s="24"/>
      <c r="K680" s="15"/>
      <c r="L680" s="15"/>
      <c r="M680" s="15"/>
      <c r="N680" s="24"/>
      <c r="O680" s="24"/>
      <c r="P680" s="23"/>
      <c r="Q680" s="23"/>
      <c r="R680" s="23"/>
      <c r="S680" s="24"/>
      <c r="T680" s="24"/>
      <c r="U680" s="15"/>
      <c r="V680" s="15"/>
      <c r="W680" s="15"/>
      <c r="X680" s="15"/>
      <c r="Y680" s="15"/>
      <c r="Z680" s="35"/>
      <c r="AA680" s="35"/>
      <c r="AB680" s="35"/>
      <c r="AC680" s="35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</row>
    <row r="681" spans="1:82" ht="9" customHeight="1">
      <c r="A681" s="15"/>
      <c r="B681" s="16"/>
      <c r="C681" s="23"/>
      <c r="D681" s="23"/>
      <c r="E681" s="47"/>
      <c r="F681" s="23"/>
      <c r="G681" s="23"/>
      <c r="H681" s="23"/>
      <c r="I681" s="24"/>
      <c r="J681" s="24"/>
      <c r="K681" s="15"/>
      <c r="L681" s="15"/>
      <c r="M681" s="15"/>
      <c r="N681" s="24"/>
      <c r="O681" s="24"/>
      <c r="P681" s="23"/>
      <c r="Q681" s="23"/>
      <c r="R681" s="23"/>
      <c r="S681" s="24"/>
      <c r="T681" s="24"/>
      <c r="U681" s="15"/>
      <c r="V681" s="15"/>
      <c r="W681" s="15"/>
      <c r="X681" s="15"/>
      <c r="Y681" s="15"/>
      <c r="Z681" s="35"/>
      <c r="AA681" s="35"/>
      <c r="AB681" s="35"/>
      <c r="AC681" s="35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</row>
    <row r="682" spans="1:82" ht="9" customHeight="1">
      <c r="A682" s="15"/>
      <c r="B682" s="16"/>
      <c r="C682" s="23"/>
      <c r="D682" s="23"/>
      <c r="E682" s="47"/>
      <c r="F682" s="23"/>
      <c r="G682" s="23"/>
      <c r="H682" s="23"/>
      <c r="I682" s="24"/>
      <c r="J682" s="24"/>
      <c r="K682" s="15"/>
      <c r="L682" s="15"/>
      <c r="M682" s="15"/>
      <c r="N682" s="24"/>
      <c r="O682" s="24"/>
      <c r="P682" s="23"/>
      <c r="Q682" s="23"/>
      <c r="R682" s="23"/>
      <c r="S682" s="24"/>
      <c r="T682" s="24"/>
      <c r="U682" s="15"/>
      <c r="V682" s="15"/>
      <c r="W682" s="15"/>
      <c r="X682" s="15"/>
      <c r="Y682" s="15"/>
      <c r="Z682" s="35"/>
      <c r="AA682" s="35"/>
      <c r="AB682" s="35"/>
      <c r="AC682" s="35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</row>
    <row r="683" spans="1:82" ht="9" customHeight="1">
      <c r="A683" s="15"/>
      <c r="B683" s="16"/>
      <c r="C683" s="23"/>
      <c r="D683" s="23"/>
      <c r="E683" s="47"/>
      <c r="F683" s="23"/>
      <c r="G683" s="23"/>
      <c r="H683" s="23"/>
      <c r="I683" s="24"/>
      <c r="J683" s="24"/>
      <c r="K683" s="15"/>
      <c r="L683" s="15"/>
      <c r="M683" s="15"/>
      <c r="N683" s="24"/>
      <c r="O683" s="24"/>
      <c r="P683" s="23"/>
      <c r="Q683" s="23"/>
      <c r="R683" s="23"/>
      <c r="S683" s="24"/>
      <c r="T683" s="24"/>
      <c r="U683" s="15"/>
      <c r="V683" s="15"/>
      <c r="W683" s="15"/>
      <c r="X683" s="15"/>
      <c r="Y683" s="15"/>
      <c r="Z683" s="35"/>
      <c r="AA683" s="35"/>
      <c r="AB683" s="35"/>
      <c r="AC683" s="35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</row>
    <row r="684" spans="1:82" ht="9" customHeight="1">
      <c r="A684" s="15"/>
      <c r="B684" s="16"/>
      <c r="C684" s="23"/>
      <c r="D684" s="23"/>
      <c r="E684" s="47"/>
      <c r="F684" s="23"/>
      <c r="G684" s="23"/>
      <c r="H684" s="23"/>
      <c r="I684" s="24"/>
      <c r="J684" s="24"/>
      <c r="K684" s="15"/>
      <c r="L684" s="15"/>
      <c r="M684" s="15"/>
      <c r="N684" s="24"/>
      <c r="O684" s="24"/>
      <c r="P684" s="23"/>
      <c r="Q684" s="23"/>
      <c r="R684" s="23"/>
      <c r="S684" s="24"/>
      <c r="T684" s="24"/>
      <c r="U684" s="15"/>
      <c r="V684" s="15"/>
      <c r="W684" s="15"/>
      <c r="X684" s="15"/>
      <c r="Y684" s="15"/>
      <c r="Z684" s="35"/>
      <c r="AA684" s="35"/>
      <c r="AB684" s="35"/>
      <c r="AC684" s="35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</row>
    <row r="685" spans="1:82" ht="9" customHeight="1">
      <c r="A685" s="15"/>
      <c r="B685" s="16"/>
      <c r="C685" s="23"/>
      <c r="D685" s="23"/>
      <c r="E685" s="47"/>
      <c r="F685" s="23"/>
      <c r="G685" s="23"/>
      <c r="H685" s="23"/>
      <c r="I685" s="24"/>
      <c r="J685" s="24"/>
      <c r="K685" s="15"/>
      <c r="L685" s="15"/>
      <c r="M685" s="15"/>
      <c r="N685" s="24"/>
      <c r="O685" s="24"/>
      <c r="P685" s="23"/>
      <c r="Q685" s="23"/>
      <c r="R685" s="23"/>
      <c r="S685" s="24"/>
      <c r="T685" s="24"/>
      <c r="U685" s="15"/>
      <c r="V685" s="15"/>
      <c r="W685" s="15"/>
      <c r="X685" s="15"/>
      <c r="Y685" s="15"/>
      <c r="Z685" s="35"/>
      <c r="AA685" s="35"/>
      <c r="AB685" s="35"/>
      <c r="AC685" s="35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</row>
    <row r="686" spans="1:82" ht="9" customHeight="1">
      <c r="A686" s="15"/>
      <c r="B686" s="16"/>
      <c r="C686" s="23"/>
      <c r="D686" s="23"/>
      <c r="E686" s="47"/>
      <c r="F686" s="23"/>
      <c r="G686" s="23"/>
      <c r="H686" s="23"/>
      <c r="I686" s="24"/>
      <c r="J686" s="24"/>
      <c r="K686" s="23"/>
      <c r="L686" s="23"/>
      <c r="M686" s="15"/>
      <c r="N686" s="24"/>
      <c r="O686" s="24"/>
      <c r="P686" s="23"/>
      <c r="Q686" s="23"/>
      <c r="R686" s="23"/>
      <c r="S686" s="24"/>
      <c r="T686" s="24"/>
      <c r="U686" s="15"/>
      <c r="V686" s="15"/>
      <c r="W686" s="15"/>
      <c r="X686" s="15"/>
      <c r="Y686" s="15"/>
      <c r="Z686" s="35"/>
      <c r="AA686" s="35"/>
      <c r="AB686" s="35"/>
      <c r="AC686" s="35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</row>
    <row r="687" spans="1:82" ht="9" customHeight="1">
      <c r="A687" s="15"/>
      <c r="B687" s="16"/>
      <c r="C687" s="23"/>
      <c r="D687" s="23"/>
      <c r="E687" s="47"/>
      <c r="F687" s="23"/>
      <c r="G687" s="23"/>
      <c r="H687" s="23"/>
      <c r="I687" s="24"/>
      <c r="J687" s="24"/>
      <c r="K687" s="15"/>
      <c r="L687" s="15"/>
      <c r="M687" s="15"/>
      <c r="N687" s="24"/>
      <c r="O687" s="24"/>
      <c r="P687" s="23"/>
      <c r="Q687" s="23"/>
      <c r="R687" s="23"/>
      <c r="S687" s="24"/>
      <c r="T687" s="24"/>
      <c r="U687" s="15"/>
      <c r="V687" s="15"/>
      <c r="W687" s="15"/>
      <c r="X687" s="15"/>
      <c r="Y687" s="15"/>
      <c r="Z687" s="35"/>
      <c r="AA687" s="35"/>
      <c r="AB687" s="35"/>
      <c r="AC687" s="35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</row>
    <row r="688" spans="1:82" ht="12.75">
      <c r="A688" s="15"/>
      <c r="B688" s="16"/>
      <c r="C688" s="23"/>
      <c r="D688" s="23"/>
      <c r="E688" s="47"/>
      <c r="F688" s="15"/>
      <c r="G688" s="23"/>
      <c r="H688" s="23"/>
      <c r="I688" s="24"/>
      <c r="J688" s="24"/>
      <c r="K688" s="15"/>
      <c r="L688" s="15"/>
      <c r="M688" s="15"/>
      <c r="N688" s="17"/>
      <c r="O688" s="24"/>
      <c r="P688" s="15"/>
      <c r="Q688" s="23"/>
      <c r="R688" s="23"/>
      <c r="S688" s="24"/>
      <c r="T688" s="24"/>
      <c r="U688" s="15"/>
      <c r="V688" s="15"/>
      <c r="W688" s="15"/>
      <c r="X688" s="15"/>
      <c r="Y688" s="15"/>
      <c r="Z688" s="35"/>
      <c r="AA688" s="35"/>
      <c r="AB688" s="35"/>
      <c r="AC688" s="35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</row>
    <row r="689" spans="1:82" ht="12.75">
      <c r="A689" s="15"/>
      <c r="B689" s="16"/>
      <c r="C689" s="23"/>
      <c r="D689" s="23"/>
      <c r="E689" s="47"/>
      <c r="F689" s="15"/>
      <c r="G689" s="23"/>
      <c r="H689" s="23"/>
      <c r="I689" s="24"/>
      <c r="J689" s="24"/>
      <c r="K689" s="15"/>
      <c r="L689" s="15"/>
      <c r="M689" s="15"/>
      <c r="N689" s="17"/>
      <c r="O689" s="24"/>
      <c r="P689" s="15"/>
      <c r="Q689" s="23"/>
      <c r="R689" s="23"/>
      <c r="S689" s="24"/>
      <c r="T689" s="24"/>
      <c r="U689" s="15"/>
      <c r="V689" s="15"/>
      <c r="W689" s="15"/>
      <c r="X689" s="15"/>
      <c r="Y689" s="15"/>
      <c r="Z689" s="35"/>
      <c r="AA689" s="35"/>
      <c r="AB689" s="35"/>
      <c r="AC689" s="35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</row>
    <row r="690" spans="1:82" ht="12.75">
      <c r="A690" s="15"/>
      <c r="B690" s="16"/>
      <c r="C690" s="23"/>
      <c r="D690" s="23"/>
      <c r="E690" s="47"/>
      <c r="F690" s="15"/>
      <c r="G690" s="23"/>
      <c r="H690" s="23"/>
      <c r="I690" s="24"/>
      <c r="J690" s="24"/>
      <c r="K690" s="15"/>
      <c r="L690" s="15"/>
      <c r="M690" s="15"/>
      <c r="N690" s="17"/>
      <c r="O690" s="24"/>
      <c r="P690" s="15"/>
      <c r="Q690" s="23"/>
      <c r="R690" s="23"/>
      <c r="S690" s="24"/>
      <c r="T690" s="24"/>
      <c r="U690" s="15"/>
      <c r="V690" s="15"/>
      <c r="W690" s="15"/>
      <c r="X690" s="15"/>
      <c r="Y690" s="15"/>
      <c r="Z690" s="35"/>
      <c r="AA690" s="35"/>
      <c r="AB690" s="35"/>
      <c r="AC690" s="35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</row>
    <row r="691" spans="1:82" ht="12.75">
      <c r="A691" s="15"/>
      <c r="B691" s="16"/>
      <c r="C691" s="23"/>
      <c r="D691" s="23"/>
      <c r="E691" s="47"/>
      <c r="F691" s="15"/>
      <c r="G691" s="23"/>
      <c r="H691" s="23"/>
      <c r="I691" s="24"/>
      <c r="J691" s="24"/>
      <c r="K691" s="15"/>
      <c r="L691" s="15"/>
      <c r="M691" s="15"/>
      <c r="N691" s="17"/>
      <c r="O691" s="24"/>
      <c r="P691" s="15"/>
      <c r="Q691" s="23"/>
      <c r="R691" s="23"/>
      <c r="S691" s="24"/>
      <c r="T691" s="24"/>
      <c r="U691" s="15"/>
      <c r="V691" s="15"/>
      <c r="W691" s="15"/>
      <c r="X691" s="15"/>
      <c r="Y691" s="15"/>
      <c r="Z691" s="35"/>
      <c r="AA691" s="35"/>
      <c r="AB691" s="35"/>
      <c r="AC691" s="35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</row>
    <row r="692" spans="1:82" ht="12.75">
      <c r="A692" s="15"/>
      <c r="B692" s="16"/>
      <c r="C692" s="23"/>
      <c r="D692" s="23"/>
      <c r="E692" s="47"/>
      <c r="F692" s="15"/>
      <c r="G692" s="23"/>
      <c r="H692" s="23"/>
      <c r="I692" s="24"/>
      <c r="J692" s="24"/>
      <c r="K692" s="15"/>
      <c r="L692" s="15"/>
      <c r="M692" s="15"/>
      <c r="N692" s="17"/>
      <c r="O692" s="24"/>
      <c r="P692" s="15"/>
      <c r="Q692" s="23"/>
      <c r="R692" s="23"/>
      <c r="S692" s="24"/>
      <c r="T692" s="24"/>
      <c r="U692" s="15"/>
      <c r="V692" s="15"/>
      <c r="W692" s="15"/>
      <c r="X692" s="15"/>
      <c r="Y692" s="15"/>
      <c r="Z692" s="35"/>
      <c r="AA692" s="35"/>
      <c r="AB692" s="35"/>
      <c r="AC692" s="35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</row>
    <row r="693" spans="1:82" ht="12.75">
      <c r="A693" s="15"/>
      <c r="B693" s="16"/>
      <c r="C693" s="23"/>
      <c r="D693" s="23"/>
      <c r="E693" s="47"/>
      <c r="F693" s="15"/>
      <c r="G693" s="23"/>
      <c r="H693" s="23"/>
      <c r="I693" s="24"/>
      <c r="J693" s="24"/>
      <c r="K693" s="15"/>
      <c r="L693" s="15"/>
      <c r="M693" s="15"/>
      <c r="N693" s="17"/>
      <c r="O693" s="24"/>
      <c r="P693" s="15"/>
      <c r="Q693" s="23"/>
      <c r="R693" s="23"/>
      <c r="S693" s="24"/>
      <c r="T693" s="24"/>
      <c r="U693" s="15"/>
      <c r="V693" s="15"/>
      <c r="W693" s="15"/>
      <c r="X693" s="15"/>
      <c r="Y693" s="15"/>
      <c r="Z693" s="35"/>
      <c r="AA693" s="35"/>
      <c r="AB693" s="35"/>
      <c r="AC693" s="35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</row>
    <row r="694" spans="1:82" ht="12.75">
      <c r="A694" s="15"/>
      <c r="B694" s="16"/>
      <c r="C694" s="23"/>
      <c r="D694" s="23"/>
      <c r="E694" s="47"/>
      <c r="F694" s="15"/>
      <c r="G694" s="23"/>
      <c r="H694" s="23"/>
      <c r="I694" s="24"/>
      <c r="J694" s="24"/>
      <c r="K694" s="15"/>
      <c r="L694" s="15"/>
      <c r="M694" s="15"/>
      <c r="N694" s="17"/>
      <c r="O694" s="24"/>
      <c r="P694" s="15"/>
      <c r="Q694" s="23"/>
      <c r="R694" s="23"/>
      <c r="S694" s="24"/>
      <c r="T694" s="24"/>
      <c r="U694" s="15"/>
      <c r="V694" s="15"/>
      <c r="W694" s="15"/>
      <c r="X694" s="15"/>
      <c r="Y694" s="15"/>
      <c r="Z694" s="35"/>
      <c r="AA694" s="35"/>
      <c r="AB694" s="35"/>
      <c r="AC694" s="35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</row>
    <row r="695" spans="1:82" ht="12.75">
      <c r="A695" s="15"/>
      <c r="B695" s="16"/>
      <c r="C695" s="23"/>
      <c r="D695" s="23"/>
      <c r="E695" s="47"/>
      <c r="F695" s="15"/>
      <c r="G695" s="23"/>
      <c r="H695" s="23"/>
      <c r="I695" s="24"/>
      <c r="J695" s="24"/>
      <c r="K695" s="15"/>
      <c r="L695" s="15"/>
      <c r="M695" s="15"/>
      <c r="N695" s="17"/>
      <c r="O695" s="24"/>
      <c r="P695" s="15"/>
      <c r="Q695" s="23"/>
      <c r="R695" s="23"/>
      <c r="S695" s="24"/>
      <c r="T695" s="24"/>
      <c r="U695" s="15"/>
      <c r="V695" s="15"/>
      <c r="W695" s="15"/>
      <c r="X695" s="15"/>
      <c r="Y695" s="15"/>
      <c r="Z695" s="35"/>
      <c r="AA695" s="35"/>
      <c r="AB695" s="35"/>
      <c r="AC695" s="35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</row>
    <row r="696" spans="1:82" ht="12.75">
      <c r="A696" s="15"/>
      <c r="B696" s="16"/>
      <c r="C696" s="23"/>
      <c r="D696" s="23"/>
      <c r="E696" s="47"/>
      <c r="F696" s="15"/>
      <c r="G696" s="23"/>
      <c r="H696" s="23"/>
      <c r="I696" s="24"/>
      <c r="J696" s="24"/>
      <c r="K696" s="15"/>
      <c r="L696" s="15"/>
      <c r="M696" s="15"/>
      <c r="N696" s="17"/>
      <c r="O696" s="24"/>
      <c r="P696" s="15"/>
      <c r="Q696" s="23"/>
      <c r="R696" s="23"/>
      <c r="S696" s="24"/>
      <c r="T696" s="24"/>
      <c r="U696" s="15"/>
      <c r="V696" s="15"/>
      <c r="W696" s="15"/>
      <c r="X696" s="15"/>
      <c r="Y696" s="15"/>
      <c r="Z696" s="35"/>
      <c r="AA696" s="35"/>
      <c r="AB696" s="35"/>
      <c r="AC696" s="35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</row>
    <row r="697" spans="1:82" ht="12.75">
      <c r="A697" s="15"/>
      <c r="B697" s="16"/>
      <c r="C697" s="23"/>
      <c r="D697" s="23"/>
      <c r="E697" s="47"/>
      <c r="F697" s="15"/>
      <c r="G697" s="23"/>
      <c r="H697" s="23"/>
      <c r="I697" s="24"/>
      <c r="J697" s="24"/>
      <c r="K697" s="15"/>
      <c r="L697" s="15"/>
      <c r="M697" s="15"/>
      <c r="N697" s="24"/>
      <c r="O697" s="24"/>
      <c r="P697" s="15"/>
      <c r="Q697" s="23"/>
      <c r="R697" s="23"/>
      <c r="S697" s="24"/>
      <c r="T697" s="24"/>
      <c r="U697" s="15"/>
      <c r="V697" s="15"/>
      <c r="W697" s="15"/>
      <c r="X697" s="15"/>
      <c r="Y697" s="15"/>
      <c r="Z697" s="35"/>
      <c r="AA697" s="35"/>
      <c r="AB697" s="35"/>
      <c r="AC697" s="35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</row>
    <row r="698" spans="1:82" ht="12.75">
      <c r="A698" s="15"/>
      <c r="B698" s="16"/>
      <c r="C698" s="23"/>
      <c r="D698" s="23"/>
      <c r="E698" s="47"/>
      <c r="F698" s="15"/>
      <c r="G698" s="23"/>
      <c r="H698" s="23"/>
      <c r="I698" s="24"/>
      <c r="J698" s="24"/>
      <c r="K698" s="15"/>
      <c r="L698" s="15"/>
      <c r="M698" s="15"/>
      <c r="N698" s="24"/>
      <c r="O698" s="24"/>
      <c r="P698" s="15"/>
      <c r="Q698" s="23"/>
      <c r="R698" s="23"/>
      <c r="S698" s="24"/>
      <c r="T698" s="24"/>
      <c r="U698" s="15"/>
      <c r="V698" s="15"/>
      <c r="W698" s="15"/>
      <c r="X698" s="15"/>
      <c r="Y698" s="15"/>
      <c r="Z698" s="35"/>
      <c r="AA698" s="35"/>
      <c r="AB698" s="35"/>
      <c r="AC698" s="35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</row>
    <row r="699" spans="1:82" ht="12.75">
      <c r="A699" s="15"/>
      <c r="B699" s="16"/>
      <c r="C699" s="23"/>
      <c r="D699" s="23"/>
      <c r="E699" s="47"/>
      <c r="F699" s="15"/>
      <c r="G699" s="23"/>
      <c r="H699" s="23"/>
      <c r="I699" s="24"/>
      <c r="J699" s="24"/>
      <c r="K699" s="15"/>
      <c r="L699" s="15"/>
      <c r="M699" s="15"/>
      <c r="N699" s="24"/>
      <c r="O699" s="24"/>
      <c r="P699" s="15"/>
      <c r="Q699" s="15"/>
      <c r="R699" s="15"/>
      <c r="S699" s="24"/>
      <c r="T699" s="24"/>
      <c r="U699" s="15"/>
      <c r="V699" s="15"/>
      <c r="W699" s="15"/>
      <c r="X699" s="15"/>
      <c r="Y699" s="15"/>
      <c r="Z699" s="35"/>
      <c r="AA699" s="35"/>
      <c r="AB699" s="35"/>
      <c r="AC699" s="35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</row>
    <row r="700" spans="1:82" ht="12.75">
      <c r="A700" s="15"/>
      <c r="B700" s="16"/>
      <c r="C700" s="23"/>
      <c r="D700" s="23"/>
      <c r="E700" s="47"/>
      <c r="F700" s="15"/>
      <c r="G700" s="23"/>
      <c r="H700" s="23"/>
      <c r="I700" s="24"/>
      <c r="J700" s="24"/>
      <c r="K700" s="15"/>
      <c r="L700" s="15"/>
      <c r="M700" s="15"/>
      <c r="N700" s="24"/>
      <c r="O700" s="24"/>
      <c r="P700" s="15"/>
      <c r="Q700" s="15"/>
      <c r="R700" s="15"/>
      <c r="S700" s="24"/>
      <c r="T700" s="24"/>
      <c r="U700" s="15"/>
      <c r="V700" s="15"/>
      <c r="W700" s="15"/>
      <c r="X700" s="15"/>
      <c r="Y700" s="15"/>
      <c r="Z700" s="35"/>
      <c r="AA700" s="35"/>
      <c r="AB700" s="35"/>
      <c r="AC700" s="35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</row>
    <row r="701" spans="1:82" ht="12.75">
      <c r="A701" s="15"/>
      <c r="B701" s="16"/>
      <c r="C701" s="23"/>
      <c r="D701" s="23"/>
      <c r="E701" s="47"/>
      <c r="F701" s="15"/>
      <c r="G701" s="23"/>
      <c r="H701" s="23"/>
      <c r="I701" s="24"/>
      <c r="J701" s="24"/>
      <c r="K701" s="15"/>
      <c r="L701" s="15"/>
      <c r="M701" s="15"/>
      <c r="N701" s="24"/>
      <c r="O701" s="24"/>
      <c r="P701" s="15"/>
      <c r="Q701" s="15"/>
      <c r="R701" s="15"/>
      <c r="S701" s="24"/>
      <c r="T701" s="24"/>
      <c r="U701" s="15"/>
      <c r="V701" s="15"/>
      <c r="W701" s="15"/>
      <c r="X701" s="15"/>
      <c r="Y701" s="15"/>
      <c r="Z701" s="35"/>
      <c r="AA701" s="35"/>
      <c r="AB701" s="35"/>
      <c r="AC701" s="35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</row>
    <row r="702" spans="1:82" ht="12.75">
      <c r="A702" s="15"/>
      <c r="B702" s="16"/>
      <c r="C702" s="23"/>
      <c r="D702" s="23"/>
      <c r="E702" s="47"/>
      <c r="F702" s="15"/>
      <c r="G702" s="23"/>
      <c r="H702" s="23"/>
      <c r="I702" s="24"/>
      <c r="J702" s="24"/>
      <c r="K702" s="15"/>
      <c r="L702" s="15"/>
      <c r="M702" s="15"/>
      <c r="N702" s="24"/>
      <c r="O702" s="24"/>
      <c r="P702" s="15"/>
      <c r="Q702" s="15"/>
      <c r="R702" s="15"/>
      <c r="S702" s="24"/>
      <c r="T702" s="24"/>
      <c r="U702" s="15"/>
      <c r="V702" s="15"/>
      <c r="W702" s="15"/>
      <c r="X702" s="15"/>
      <c r="Y702" s="15"/>
      <c r="Z702" s="35"/>
      <c r="AA702" s="35"/>
      <c r="AB702" s="35"/>
      <c r="AC702" s="35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</row>
    <row r="703" spans="1:82" ht="12.75">
      <c r="A703" s="15"/>
      <c r="B703" s="16"/>
      <c r="C703" s="23"/>
      <c r="D703" s="23"/>
      <c r="E703" s="47"/>
      <c r="F703" s="15"/>
      <c r="G703" s="23"/>
      <c r="H703" s="23"/>
      <c r="I703" s="24"/>
      <c r="J703" s="24"/>
      <c r="K703" s="15"/>
      <c r="L703" s="15"/>
      <c r="M703" s="15"/>
      <c r="N703" s="24"/>
      <c r="O703" s="24"/>
      <c r="P703" s="15"/>
      <c r="Q703" s="15"/>
      <c r="R703" s="15"/>
      <c r="S703" s="24"/>
      <c r="T703" s="24"/>
      <c r="U703" s="15"/>
      <c r="V703" s="15"/>
      <c r="W703" s="15"/>
      <c r="X703" s="15"/>
      <c r="Y703" s="15"/>
      <c r="Z703" s="35"/>
      <c r="AA703" s="35"/>
      <c r="AB703" s="35"/>
      <c r="AC703" s="35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</row>
    <row r="704" spans="1:82" ht="12.75">
      <c r="A704" s="15"/>
      <c r="B704" s="16"/>
      <c r="C704" s="23"/>
      <c r="D704" s="23"/>
      <c r="E704" s="47"/>
      <c r="F704" s="15"/>
      <c r="G704" s="23"/>
      <c r="H704" s="23"/>
      <c r="I704" s="24"/>
      <c r="J704" s="24"/>
      <c r="K704" s="15"/>
      <c r="L704" s="15"/>
      <c r="M704" s="15"/>
      <c r="N704" s="24"/>
      <c r="O704" s="24"/>
      <c r="P704" s="15"/>
      <c r="Q704" s="15"/>
      <c r="R704" s="15"/>
      <c r="S704" s="24"/>
      <c r="T704" s="24"/>
      <c r="U704" s="15"/>
      <c r="V704" s="15"/>
      <c r="W704" s="15"/>
      <c r="X704" s="15"/>
      <c r="Y704" s="15"/>
      <c r="Z704" s="35"/>
      <c r="AA704" s="35"/>
      <c r="AB704" s="35"/>
      <c r="AC704" s="35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</row>
    <row r="705" spans="1:29" ht="12.75">
      <c r="A705" s="15"/>
      <c r="B705" s="16"/>
      <c r="C705" s="23"/>
      <c r="D705" s="23"/>
      <c r="E705" s="47"/>
      <c r="F705" s="15"/>
      <c r="G705" s="23"/>
      <c r="H705" s="23"/>
      <c r="I705" s="24"/>
      <c r="J705" s="24"/>
      <c r="K705" s="15"/>
      <c r="L705" s="15"/>
      <c r="M705" s="15"/>
      <c r="N705" s="24"/>
      <c r="O705" s="24"/>
      <c r="P705" s="15"/>
      <c r="Q705" s="15"/>
      <c r="R705" s="15"/>
      <c r="S705" s="24"/>
      <c r="T705" s="24"/>
      <c r="U705" s="15"/>
      <c r="V705" s="15"/>
      <c r="W705" s="15"/>
      <c r="X705" s="15"/>
      <c r="Y705" s="15"/>
      <c r="Z705" s="35"/>
      <c r="AA705" s="35"/>
      <c r="AB705" s="35"/>
      <c r="AC705" s="35"/>
    </row>
    <row r="706" spans="1:29" ht="12.75">
      <c r="A706" s="15"/>
      <c r="B706" s="16"/>
      <c r="C706" s="23"/>
      <c r="D706" s="23"/>
      <c r="E706" s="47"/>
      <c r="F706" s="15"/>
      <c r="G706" s="23"/>
      <c r="H706" s="23"/>
      <c r="I706" s="24"/>
      <c r="J706" s="24"/>
      <c r="K706" s="15"/>
      <c r="L706" s="15"/>
      <c r="M706" s="15"/>
      <c r="N706" s="24"/>
      <c r="O706" s="24"/>
      <c r="P706" s="15"/>
      <c r="Q706" s="15"/>
      <c r="R706" s="15"/>
      <c r="S706" s="24"/>
      <c r="T706" s="24"/>
      <c r="U706" s="15"/>
      <c r="V706" s="15"/>
      <c r="W706" s="15"/>
      <c r="X706" s="15"/>
      <c r="Y706" s="15"/>
      <c r="Z706" s="35"/>
      <c r="AA706" s="35"/>
      <c r="AB706" s="35"/>
      <c r="AC706" s="35"/>
    </row>
    <row r="707" spans="1:29" ht="12.75">
      <c r="A707" s="15"/>
      <c r="B707" s="16"/>
      <c r="C707" s="23"/>
      <c r="D707" s="23"/>
      <c r="E707" s="47"/>
      <c r="F707" s="15"/>
      <c r="G707" s="23"/>
      <c r="H707" s="23"/>
      <c r="I707" s="24"/>
      <c r="J707" s="24"/>
      <c r="K707" s="15"/>
      <c r="L707" s="15"/>
      <c r="M707" s="15"/>
      <c r="N707" s="24"/>
      <c r="O707" s="24"/>
      <c r="P707" s="15"/>
      <c r="Q707" s="15"/>
      <c r="R707" s="15"/>
      <c r="S707" s="24"/>
      <c r="T707" s="24"/>
      <c r="U707" s="15"/>
      <c r="V707" s="15"/>
      <c r="W707" s="15"/>
      <c r="X707" s="15"/>
      <c r="Y707" s="15"/>
      <c r="Z707" s="35"/>
      <c r="AA707" s="35"/>
      <c r="AB707" s="35"/>
      <c r="AC707" s="35"/>
    </row>
    <row r="708" spans="1:29" ht="12.75">
      <c r="A708" s="15"/>
      <c r="B708" s="16"/>
      <c r="C708" s="23"/>
      <c r="D708" s="23"/>
      <c r="E708" s="47"/>
      <c r="F708" s="15"/>
      <c r="G708" s="23"/>
      <c r="H708" s="23"/>
      <c r="I708" s="24"/>
      <c r="J708" s="24"/>
      <c r="K708" s="15"/>
      <c r="L708" s="15"/>
      <c r="M708" s="15"/>
      <c r="N708" s="24"/>
      <c r="O708" s="24"/>
      <c r="P708" s="15"/>
      <c r="Q708" s="15"/>
      <c r="R708" s="15"/>
      <c r="S708" s="24"/>
      <c r="T708" s="24"/>
      <c r="U708" s="15"/>
      <c r="V708" s="15"/>
      <c r="W708" s="15"/>
      <c r="X708" s="15"/>
      <c r="Y708" s="15"/>
      <c r="Z708" s="35"/>
      <c r="AA708" s="35"/>
      <c r="AB708" s="35"/>
      <c r="AC708" s="35"/>
    </row>
    <row r="709" spans="1:29" ht="12.75">
      <c r="A709" s="15"/>
      <c r="B709" s="16"/>
      <c r="C709" s="23"/>
      <c r="D709" s="23"/>
      <c r="E709" s="47"/>
      <c r="F709" s="15"/>
      <c r="G709" s="23"/>
      <c r="H709" s="23"/>
      <c r="I709" s="24"/>
      <c r="J709" s="24"/>
      <c r="K709" s="15"/>
      <c r="L709" s="15"/>
      <c r="M709" s="15"/>
      <c r="N709" s="24"/>
      <c r="O709" s="24"/>
      <c r="P709" s="15"/>
      <c r="Q709" s="15"/>
      <c r="R709" s="15"/>
      <c r="S709" s="24"/>
      <c r="T709" s="24"/>
      <c r="U709" s="15"/>
      <c r="V709" s="15"/>
      <c r="W709" s="15"/>
      <c r="X709" s="15"/>
      <c r="Y709" s="15"/>
      <c r="Z709" s="35"/>
      <c r="AA709" s="35"/>
      <c r="AB709" s="35"/>
      <c r="AC709" s="35"/>
    </row>
    <row r="710" spans="1:29" ht="12.75">
      <c r="A710" s="15"/>
      <c r="B710" s="16"/>
      <c r="C710" s="23"/>
      <c r="D710" s="23"/>
      <c r="E710" s="47"/>
      <c r="F710" s="15"/>
      <c r="G710" s="23"/>
      <c r="H710" s="23"/>
      <c r="I710" s="24"/>
      <c r="J710" s="24"/>
      <c r="K710" s="15"/>
      <c r="L710" s="15"/>
      <c r="M710" s="15"/>
      <c r="N710" s="24"/>
      <c r="O710" s="24"/>
      <c r="P710" s="15"/>
      <c r="Q710" s="15"/>
      <c r="R710" s="15"/>
      <c r="S710" s="24"/>
      <c r="T710" s="24"/>
      <c r="U710" s="15"/>
      <c r="V710" s="15"/>
      <c r="W710" s="15"/>
      <c r="X710" s="15"/>
      <c r="Y710" s="15"/>
      <c r="Z710" s="35"/>
      <c r="AA710" s="35"/>
      <c r="AB710" s="35"/>
      <c r="AC710" s="35"/>
    </row>
    <row r="711" spans="1:29" ht="12.75">
      <c r="A711" s="15"/>
      <c r="B711" s="16"/>
      <c r="C711" s="23"/>
      <c r="D711" s="23"/>
      <c r="E711" s="47"/>
      <c r="F711" s="15"/>
      <c r="G711" s="23"/>
      <c r="H711" s="23"/>
      <c r="I711" s="24"/>
      <c r="J711" s="24"/>
      <c r="K711" s="15"/>
      <c r="L711" s="15"/>
      <c r="M711" s="15"/>
      <c r="N711" s="24"/>
      <c r="O711" s="24"/>
      <c r="P711" s="15"/>
      <c r="Q711" s="15"/>
      <c r="R711" s="15"/>
      <c r="S711" s="24"/>
      <c r="T711" s="24"/>
      <c r="U711" s="15"/>
      <c r="V711" s="15"/>
      <c r="W711" s="15"/>
      <c r="X711" s="15"/>
      <c r="Y711" s="15"/>
      <c r="Z711" s="35"/>
      <c r="AA711" s="35"/>
      <c r="AB711" s="35"/>
      <c r="AC711" s="35"/>
    </row>
    <row r="712" spans="1:29" ht="12.75">
      <c r="A712" s="15"/>
      <c r="B712" s="16"/>
      <c r="C712" s="23"/>
      <c r="D712" s="23"/>
      <c r="E712" s="47"/>
      <c r="F712" s="15"/>
      <c r="G712" s="23"/>
      <c r="H712" s="23"/>
      <c r="I712" s="24"/>
      <c r="J712" s="24"/>
      <c r="K712" s="15"/>
      <c r="L712" s="15"/>
      <c r="M712" s="15"/>
      <c r="N712" s="24"/>
      <c r="O712" s="24"/>
      <c r="P712" s="15"/>
      <c r="Q712" s="15"/>
      <c r="R712" s="15"/>
      <c r="S712" s="24"/>
      <c r="T712" s="24"/>
      <c r="U712" s="15"/>
      <c r="V712" s="15"/>
      <c r="W712" s="15"/>
      <c r="X712" s="15"/>
      <c r="Y712" s="15"/>
      <c r="Z712" s="35"/>
      <c r="AA712" s="35"/>
      <c r="AB712" s="35"/>
      <c r="AC712" s="35"/>
    </row>
    <row r="713" spans="1:29" ht="12.75">
      <c r="A713" s="15"/>
      <c r="B713" s="16"/>
      <c r="C713" s="23"/>
      <c r="D713" s="23"/>
      <c r="E713" s="47"/>
      <c r="F713" s="15"/>
      <c r="G713" s="23"/>
      <c r="H713" s="23"/>
      <c r="I713" s="24"/>
      <c r="J713" s="24"/>
      <c r="K713" s="15"/>
      <c r="L713" s="15"/>
      <c r="M713" s="15"/>
      <c r="N713" s="24"/>
      <c r="O713" s="24"/>
      <c r="P713" s="15"/>
      <c r="Q713" s="15"/>
      <c r="R713" s="15"/>
      <c r="S713" s="24"/>
      <c r="T713" s="24"/>
      <c r="U713" s="15"/>
      <c r="V713" s="15"/>
      <c r="W713" s="15"/>
      <c r="X713" s="15"/>
      <c r="Y713" s="15"/>
      <c r="Z713" s="35"/>
      <c r="AA713" s="35"/>
      <c r="AB713" s="35"/>
      <c r="AC713" s="35"/>
    </row>
    <row r="714" spans="1:29" ht="12.75">
      <c r="A714" s="15"/>
      <c r="B714" s="16"/>
      <c r="C714" s="23"/>
      <c r="D714" s="23"/>
      <c r="E714" s="47"/>
      <c r="F714" s="15"/>
      <c r="G714" s="23"/>
      <c r="H714" s="23"/>
      <c r="I714" s="24"/>
      <c r="J714" s="24"/>
      <c r="K714" s="15"/>
      <c r="L714" s="15"/>
      <c r="M714" s="15"/>
      <c r="N714" s="24"/>
      <c r="O714" s="24"/>
      <c r="P714" s="15"/>
      <c r="Q714" s="15"/>
      <c r="R714" s="15"/>
      <c r="S714" s="24"/>
      <c r="T714" s="24"/>
      <c r="U714" s="15"/>
      <c r="V714" s="15"/>
      <c r="W714" s="15"/>
      <c r="X714" s="15"/>
      <c r="Y714" s="15"/>
      <c r="Z714" s="35"/>
      <c r="AA714" s="35"/>
      <c r="AB714" s="35"/>
      <c r="AC714" s="35"/>
    </row>
    <row r="715" spans="1:29" ht="12.75">
      <c r="A715" s="15"/>
      <c r="B715" s="16"/>
      <c r="C715" s="23"/>
      <c r="D715" s="23"/>
      <c r="E715" s="47"/>
      <c r="F715" s="15"/>
      <c r="G715" s="23"/>
      <c r="H715" s="23"/>
      <c r="I715" s="24"/>
      <c r="J715" s="24"/>
      <c r="K715" s="15"/>
      <c r="L715" s="15"/>
      <c r="M715" s="15"/>
      <c r="N715" s="24"/>
      <c r="O715" s="24"/>
      <c r="P715" s="15"/>
      <c r="Q715" s="15"/>
      <c r="R715" s="15"/>
      <c r="S715" s="24"/>
      <c r="T715" s="24"/>
      <c r="U715" s="15"/>
      <c r="V715" s="15"/>
      <c r="W715" s="15"/>
      <c r="X715" s="15"/>
      <c r="Y715" s="15"/>
      <c r="Z715" s="35"/>
      <c r="AA715" s="35"/>
      <c r="AB715" s="35"/>
      <c r="AC715" s="35"/>
    </row>
    <row r="716" spans="1:29" ht="12.75">
      <c r="A716" s="15"/>
      <c r="B716" s="16"/>
      <c r="C716" s="23"/>
      <c r="D716" s="23"/>
      <c r="E716" s="47"/>
      <c r="F716" s="15"/>
      <c r="G716" s="23"/>
      <c r="H716" s="23"/>
      <c r="I716" s="24"/>
      <c r="J716" s="24"/>
      <c r="K716" s="15"/>
      <c r="L716" s="15"/>
      <c r="M716" s="15"/>
      <c r="N716" s="24"/>
      <c r="O716" s="24"/>
      <c r="P716" s="15"/>
      <c r="Q716" s="15"/>
      <c r="R716" s="15"/>
      <c r="S716" s="24"/>
      <c r="T716" s="24"/>
      <c r="U716" s="15"/>
      <c r="V716" s="15"/>
      <c r="W716" s="15"/>
      <c r="X716" s="15"/>
      <c r="Y716" s="15"/>
      <c r="Z716" s="35"/>
      <c r="AA716" s="35"/>
      <c r="AB716" s="35"/>
      <c r="AC716" s="35"/>
    </row>
    <row r="717" spans="1:29" ht="12.75">
      <c r="A717" s="15"/>
      <c r="B717" s="16"/>
      <c r="C717" s="23"/>
      <c r="D717" s="23"/>
      <c r="E717" s="47"/>
      <c r="F717" s="15"/>
      <c r="G717" s="23"/>
      <c r="H717" s="23"/>
      <c r="I717" s="24"/>
      <c r="J717" s="24"/>
      <c r="K717" s="15"/>
      <c r="L717" s="15"/>
      <c r="M717" s="15"/>
      <c r="N717" s="24"/>
      <c r="O717" s="24"/>
      <c r="P717" s="15"/>
      <c r="Q717" s="15"/>
      <c r="R717" s="15"/>
      <c r="S717" s="24"/>
      <c r="T717" s="24"/>
      <c r="U717" s="15"/>
      <c r="V717" s="15"/>
      <c r="W717" s="15"/>
      <c r="X717" s="15"/>
      <c r="Y717" s="15"/>
      <c r="Z717" s="35"/>
      <c r="AA717" s="35"/>
      <c r="AB717" s="35"/>
      <c r="AC717" s="35"/>
    </row>
    <row r="718" spans="1:29" ht="12.75">
      <c r="A718" s="15"/>
      <c r="B718" s="16"/>
      <c r="C718" s="23"/>
      <c r="D718" s="23"/>
      <c r="E718" s="47"/>
      <c r="F718" s="15"/>
      <c r="G718" s="23"/>
      <c r="H718" s="23"/>
      <c r="I718" s="24"/>
      <c r="J718" s="24"/>
      <c r="K718" s="15"/>
      <c r="L718" s="15"/>
      <c r="M718" s="15"/>
      <c r="N718" s="24"/>
      <c r="O718" s="24"/>
      <c r="P718" s="15"/>
      <c r="Q718" s="15"/>
      <c r="R718" s="15"/>
      <c r="S718" s="24"/>
      <c r="T718" s="24"/>
      <c r="U718" s="15"/>
      <c r="V718" s="15"/>
      <c r="W718" s="15"/>
      <c r="X718" s="15"/>
      <c r="Y718" s="15"/>
      <c r="Z718" s="35"/>
      <c r="AA718" s="35"/>
      <c r="AB718" s="35"/>
      <c r="AC718" s="35"/>
    </row>
    <row r="719" spans="1:29" ht="12.75">
      <c r="A719" s="15"/>
      <c r="B719" s="16"/>
      <c r="C719" s="23"/>
      <c r="D719" s="23"/>
      <c r="E719" s="47"/>
      <c r="F719" s="15"/>
      <c r="G719" s="23"/>
      <c r="H719" s="23"/>
      <c r="I719" s="24"/>
      <c r="J719" s="24"/>
      <c r="K719" s="15"/>
      <c r="L719" s="15"/>
      <c r="M719" s="15"/>
      <c r="N719" s="24"/>
      <c r="O719" s="24"/>
      <c r="P719" s="15"/>
      <c r="Q719" s="15"/>
      <c r="R719" s="15"/>
      <c r="S719" s="24"/>
      <c r="T719" s="24"/>
      <c r="U719" s="15"/>
      <c r="V719" s="15"/>
      <c r="W719" s="15"/>
      <c r="X719" s="15"/>
      <c r="Y719" s="15"/>
      <c r="Z719" s="35"/>
      <c r="AA719" s="35"/>
      <c r="AB719" s="35"/>
      <c r="AC719" s="35"/>
    </row>
    <row r="720" spans="1:29" ht="12.75">
      <c r="A720" s="15"/>
      <c r="B720" s="16"/>
      <c r="C720" s="23"/>
      <c r="D720" s="23"/>
      <c r="E720" s="47"/>
      <c r="F720" s="15"/>
      <c r="G720" s="23"/>
      <c r="H720" s="23"/>
      <c r="I720" s="24"/>
      <c r="J720" s="24"/>
      <c r="K720" s="15"/>
      <c r="L720" s="15"/>
      <c r="M720" s="15"/>
      <c r="N720" s="24"/>
      <c r="O720" s="24"/>
      <c r="P720" s="15"/>
      <c r="Q720" s="23"/>
      <c r="R720" s="23"/>
      <c r="S720" s="24"/>
      <c r="T720" s="24"/>
      <c r="U720" s="15"/>
      <c r="V720" s="15"/>
      <c r="W720" s="15"/>
      <c r="X720" s="15"/>
      <c r="Y720" s="15"/>
      <c r="Z720" s="35"/>
      <c r="AA720" s="35"/>
      <c r="AB720" s="35"/>
      <c r="AC720" s="35"/>
    </row>
    <row r="721" spans="1:29" ht="12.75">
      <c r="A721" s="15"/>
      <c r="B721" s="16"/>
      <c r="C721" s="23"/>
      <c r="D721" s="23"/>
      <c r="E721" s="47"/>
      <c r="F721" s="15"/>
      <c r="G721" s="23"/>
      <c r="H721" s="23"/>
      <c r="I721" s="24"/>
      <c r="J721" s="24"/>
      <c r="K721" s="15"/>
      <c r="L721" s="15"/>
      <c r="M721" s="15"/>
      <c r="N721" s="24"/>
      <c r="O721" s="24"/>
      <c r="P721" s="15"/>
      <c r="Q721" s="23"/>
      <c r="R721" s="23"/>
      <c r="S721" s="24"/>
      <c r="T721" s="24"/>
      <c r="U721" s="15"/>
      <c r="V721" s="15"/>
      <c r="W721" s="15"/>
      <c r="X721" s="15"/>
      <c r="Y721" s="15"/>
      <c r="Z721" s="35"/>
      <c r="AA721" s="35"/>
      <c r="AB721" s="35"/>
      <c r="AC721" s="35"/>
    </row>
    <row r="722" spans="1:29" ht="12.75">
      <c r="A722" s="15"/>
      <c r="B722" s="16"/>
      <c r="C722" s="23"/>
      <c r="D722" s="23"/>
      <c r="E722" s="47"/>
      <c r="F722" s="15"/>
      <c r="G722" s="23"/>
      <c r="H722" s="23"/>
      <c r="I722" s="24"/>
      <c r="J722" s="24"/>
      <c r="K722" s="15"/>
      <c r="L722" s="15"/>
      <c r="M722" s="15"/>
      <c r="N722" s="24"/>
      <c r="O722" s="24"/>
      <c r="P722" s="15"/>
      <c r="Q722" s="23"/>
      <c r="R722" s="23"/>
      <c r="S722" s="24"/>
      <c r="T722" s="24"/>
      <c r="U722" s="15"/>
      <c r="V722" s="15"/>
      <c r="W722" s="15"/>
      <c r="X722" s="15"/>
      <c r="Y722" s="15"/>
      <c r="Z722" s="35"/>
      <c r="AA722" s="35"/>
      <c r="AB722" s="35"/>
      <c r="AC722" s="35"/>
    </row>
    <row r="723" spans="1:29" ht="12.75">
      <c r="A723" s="15"/>
      <c r="B723" s="16"/>
      <c r="C723" s="23"/>
      <c r="D723" s="23"/>
      <c r="E723" s="47"/>
      <c r="F723" s="15"/>
      <c r="G723" s="23"/>
      <c r="H723" s="23"/>
      <c r="I723" s="24"/>
      <c r="J723" s="24"/>
      <c r="K723" s="15"/>
      <c r="L723" s="15"/>
      <c r="M723" s="15"/>
      <c r="N723" s="24"/>
      <c r="O723" s="24"/>
      <c r="P723" s="15"/>
      <c r="Q723" s="23"/>
      <c r="R723" s="23"/>
      <c r="S723" s="24"/>
      <c r="T723" s="24"/>
      <c r="U723" s="15"/>
      <c r="V723" s="15"/>
      <c r="W723" s="15"/>
      <c r="X723" s="15"/>
      <c r="Y723" s="15"/>
      <c r="Z723" s="35"/>
      <c r="AA723" s="35"/>
      <c r="AB723" s="35"/>
      <c r="AC723" s="35"/>
    </row>
    <row r="724" spans="1:29" ht="12.75">
      <c r="A724" s="15"/>
      <c r="B724" s="16"/>
      <c r="C724" s="23"/>
      <c r="D724" s="23"/>
      <c r="E724" s="47"/>
      <c r="F724" s="15"/>
      <c r="G724" s="23"/>
      <c r="H724" s="23"/>
      <c r="I724" s="24"/>
      <c r="J724" s="24"/>
      <c r="K724" s="15"/>
      <c r="L724" s="15"/>
      <c r="M724" s="15"/>
      <c r="N724" s="24"/>
      <c r="O724" s="24"/>
      <c r="P724" s="15"/>
      <c r="Q724" s="23"/>
      <c r="R724" s="23"/>
      <c r="S724" s="24"/>
      <c r="T724" s="24"/>
      <c r="U724" s="15"/>
      <c r="V724" s="15"/>
      <c r="W724" s="15"/>
      <c r="X724" s="15"/>
      <c r="Y724" s="15"/>
      <c r="Z724" s="35"/>
      <c r="AA724" s="35"/>
      <c r="AB724" s="35"/>
      <c r="AC724" s="35"/>
    </row>
    <row r="725" spans="1:29" ht="12.75">
      <c r="A725" s="15"/>
      <c r="B725" s="16"/>
      <c r="C725" s="23"/>
      <c r="D725" s="23"/>
      <c r="E725" s="47"/>
      <c r="F725" s="15"/>
      <c r="G725" s="23"/>
      <c r="H725" s="23"/>
      <c r="I725" s="24"/>
      <c r="J725" s="24"/>
      <c r="K725" s="15"/>
      <c r="L725" s="15"/>
      <c r="M725" s="15"/>
      <c r="N725" s="24"/>
      <c r="O725" s="24"/>
      <c r="P725" s="15"/>
      <c r="Q725" s="23"/>
      <c r="R725" s="23"/>
      <c r="S725" s="24"/>
      <c r="T725" s="24"/>
      <c r="U725" s="15"/>
      <c r="V725" s="15"/>
      <c r="W725" s="15"/>
      <c r="X725" s="15"/>
      <c r="Y725" s="15"/>
      <c r="Z725" s="35"/>
      <c r="AA725" s="35"/>
      <c r="AB725" s="35"/>
      <c r="AC725" s="35"/>
    </row>
    <row r="726" spans="1:29" ht="12.75">
      <c r="A726" s="15"/>
      <c r="B726" s="16"/>
      <c r="C726" s="23"/>
      <c r="D726" s="23"/>
      <c r="E726" s="47"/>
      <c r="F726" s="15"/>
      <c r="G726" s="23"/>
      <c r="H726" s="23"/>
      <c r="I726" s="24"/>
      <c r="J726" s="24"/>
      <c r="K726" s="15"/>
      <c r="L726" s="15"/>
      <c r="M726" s="15"/>
      <c r="N726" s="24"/>
      <c r="O726" s="24"/>
      <c r="P726" s="15"/>
      <c r="Q726" s="23"/>
      <c r="R726" s="23"/>
      <c r="S726" s="24"/>
      <c r="T726" s="24"/>
      <c r="U726" s="15"/>
      <c r="V726" s="15"/>
      <c r="W726" s="15"/>
      <c r="X726" s="15"/>
      <c r="Y726" s="15"/>
      <c r="Z726" s="35"/>
      <c r="AA726" s="35"/>
      <c r="AB726" s="35"/>
      <c r="AC726" s="35"/>
    </row>
    <row r="727" spans="1:29" ht="12.75">
      <c r="A727" s="15"/>
      <c r="B727" s="16"/>
      <c r="C727" s="23"/>
      <c r="D727" s="23"/>
      <c r="E727" s="47"/>
      <c r="F727" s="15"/>
      <c r="G727" s="23"/>
      <c r="H727" s="23"/>
      <c r="I727" s="24"/>
      <c r="J727" s="24"/>
      <c r="K727" s="15"/>
      <c r="L727" s="15"/>
      <c r="M727" s="15"/>
      <c r="N727" s="24"/>
      <c r="O727" s="24"/>
      <c r="P727" s="15"/>
      <c r="Q727" s="23"/>
      <c r="R727" s="23"/>
      <c r="S727" s="24"/>
      <c r="T727" s="24"/>
      <c r="U727" s="15"/>
      <c r="V727" s="15"/>
      <c r="W727" s="15"/>
      <c r="X727" s="15"/>
      <c r="Y727" s="15"/>
      <c r="Z727" s="35"/>
      <c r="AA727" s="35"/>
      <c r="AB727" s="35"/>
      <c r="AC727" s="35"/>
    </row>
    <row r="728" spans="1:29" ht="12.75">
      <c r="A728" s="15"/>
      <c r="B728" s="16"/>
      <c r="C728" s="23"/>
      <c r="D728" s="23"/>
      <c r="E728" s="47"/>
      <c r="F728" s="15"/>
      <c r="G728" s="23"/>
      <c r="H728" s="23"/>
      <c r="I728" s="24"/>
      <c r="J728" s="24"/>
      <c r="K728" s="15"/>
      <c r="L728" s="15"/>
      <c r="M728" s="15"/>
      <c r="N728" s="24"/>
      <c r="O728" s="24"/>
      <c r="P728" s="15"/>
      <c r="Q728" s="23"/>
      <c r="R728" s="23"/>
      <c r="S728" s="24"/>
      <c r="T728" s="24"/>
      <c r="U728" s="15"/>
      <c r="V728" s="15"/>
      <c r="W728" s="15"/>
      <c r="X728" s="15"/>
      <c r="Y728" s="15"/>
      <c r="Z728" s="35"/>
      <c r="AA728" s="35"/>
      <c r="AB728" s="35"/>
      <c r="AC728" s="35"/>
    </row>
    <row r="729" spans="1:29" ht="12.75">
      <c r="A729" s="15"/>
      <c r="B729" s="16"/>
      <c r="C729" s="23"/>
      <c r="D729" s="23"/>
      <c r="E729" s="47"/>
      <c r="F729" s="15"/>
      <c r="G729" s="23"/>
      <c r="H729" s="23"/>
      <c r="I729" s="24"/>
      <c r="J729" s="24"/>
      <c r="K729" s="15"/>
      <c r="L729" s="15"/>
      <c r="M729" s="15"/>
      <c r="N729" s="24"/>
      <c r="O729" s="24"/>
      <c r="P729" s="15"/>
      <c r="Q729" s="23"/>
      <c r="R729" s="23"/>
      <c r="S729" s="24"/>
      <c r="T729" s="24"/>
      <c r="U729" s="15"/>
      <c r="V729" s="15"/>
      <c r="W729" s="15"/>
      <c r="X729" s="15"/>
      <c r="Y729" s="15"/>
      <c r="Z729" s="35"/>
      <c r="AA729" s="35"/>
      <c r="AB729" s="35"/>
      <c r="AC729" s="35"/>
    </row>
    <row r="730" spans="1:29" ht="12.75">
      <c r="A730" s="15"/>
      <c r="B730" s="16"/>
      <c r="C730" s="23"/>
      <c r="D730" s="23"/>
      <c r="E730" s="47"/>
      <c r="F730" s="15"/>
      <c r="G730" s="23"/>
      <c r="H730" s="23"/>
      <c r="I730" s="24"/>
      <c r="J730" s="24"/>
      <c r="K730" s="15"/>
      <c r="L730" s="15"/>
      <c r="M730" s="15"/>
      <c r="N730" s="24"/>
      <c r="O730" s="24"/>
      <c r="P730" s="15"/>
      <c r="Q730" s="15"/>
      <c r="R730" s="15"/>
      <c r="S730" s="24"/>
      <c r="T730" s="24"/>
      <c r="U730" s="15"/>
      <c r="V730" s="15"/>
      <c r="W730" s="15"/>
      <c r="X730" s="15"/>
      <c r="Y730" s="15"/>
      <c r="Z730" s="35"/>
      <c r="AA730" s="35"/>
      <c r="AB730" s="35"/>
      <c r="AC730" s="35"/>
    </row>
    <row r="731" spans="1:29" ht="12.75">
      <c r="A731" s="15"/>
      <c r="B731" s="16"/>
      <c r="C731" s="23"/>
      <c r="D731" s="23"/>
      <c r="E731" s="47"/>
      <c r="F731" s="15"/>
      <c r="G731" s="23"/>
      <c r="H731" s="23"/>
      <c r="I731" s="24"/>
      <c r="J731" s="24"/>
      <c r="K731" s="15"/>
      <c r="L731" s="15"/>
      <c r="M731" s="15"/>
      <c r="N731" s="24"/>
      <c r="O731" s="24"/>
      <c r="P731" s="15"/>
      <c r="Q731" s="15"/>
      <c r="R731" s="15"/>
      <c r="S731" s="24"/>
      <c r="T731" s="24"/>
      <c r="U731" s="15"/>
      <c r="V731" s="15"/>
      <c r="W731" s="15"/>
      <c r="X731" s="15"/>
      <c r="Y731" s="15"/>
      <c r="Z731" s="35"/>
      <c r="AA731" s="35"/>
      <c r="AB731" s="35"/>
      <c r="AC731" s="35"/>
    </row>
    <row r="732" spans="1:29" ht="12.75">
      <c r="A732" s="15"/>
      <c r="B732" s="16"/>
      <c r="C732" s="23"/>
      <c r="D732" s="23"/>
      <c r="E732" s="47"/>
      <c r="F732" s="15"/>
      <c r="G732" s="23"/>
      <c r="H732" s="23"/>
      <c r="I732" s="24"/>
      <c r="J732" s="24"/>
      <c r="K732" s="15"/>
      <c r="L732" s="15"/>
      <c r="M732" s="15"/>
      <c r="N732" s="24"/>
      <c r="O732" s="24"/>
      <c r="P732" s="15"/>
      <c r="Q732" s="15"/>
      <c r="R732" s="15"/>
      <c r="S732" s="24"/>
      <c r="T732" s="24"/>
      <c r="U732" s="15"/>
      <c r="V732" s="15"/>
      <c r="W732" s="15"/>
      <c r="X732" s="15"/>
      <c r="Y732" s="15"/>
      <c r="Z732" s="35"/>
      <c r="AA732" s="35"/>
      <c r="AB732" s="35"/>
      <c r="AC732" s="35"/>
    </row>
    <row r="733" spans="1:29" ht="12.75">
      <c r="A733" s="15"/>
      <c r="B733" s="16"/>
      <c r="C733" s="23"/>
      <c r="D733" s="23"/>
      <c r="E733" s="47"/>
      <c r="F733" s="15"/>
      <c r="G733" s="23"/>
      <c r="H733" s="23"/>
      <c r="I733" s="24"/>
      <c r="J733" s="24"/>
      <c r="K733" s="15"/>
      <c r="L733" s="15"/>
      <c r="M733" s="15"/>
      <c r="N733" s="24"/>
      <c r="O733" s="24"/>
      <c r="P733" s="15"/>
      <c r="Q733" s="15"/>
      <c r="R733" s="15"/>
      <c r="S733" s="24"/>
      <c r="T733" s="24"/>
      <c r="U733" s="15"/>
      <c r="V733" s="15"/>
      <c r="W733" s="15"/>
      <c r="X733" s="15"/>
      <c r="Y733" s="15"/>
      <c r="Z733" s="35"/>
      <c r="AA733" s="35"/>
      <c r="AB733" s="35"/>
      <c r="AC733" s="35"/>
    </row>
    <row r="734" spans="1:29" ht="12.75">
      <c r="A734" s="15"/>
      <c r="B734" s="16"/>
      <c r="C734" s="23"/>
      <c r="D734" s="23"/>
      <c r="E734" s="47"/>
      <c r="F734" s="15"/>
      <c r="G734" s="23"/>
      <c r="H734" s="23"/>
      <c r="I734" s="24"/>
      <c r="J734" s="24"/>
      <c r="K734" s="15"/>
      <c r="L734" s="15"/>
      <c r="M734" s="15"/>
      <c r="N734" s="24"/>
      <c r="O734" s="24"/>
      <c r="P734" s="15"/>
      <c r="Q734" s="15"/>
      <c r="R734" s="15"/>
      <c r="S734" s="24"/>
      <c r="T734" s="24"/>
      <c r="U734" s="15"/>
      <c r="V734" s="15"/>
      <c r="W734" s="15"/>
      <c r="X734" s="15"/>
      <c r="Y734" s="15"/>
      <c r="Z734" s="35"/>
      <c r="AA734" s="35"/>
      <c r="AB734" s="35"/>
      <c r="AC734" s="35"/>
    </row>
    <row r="735" spans="1:29" ht="12.75">
      <c r="A735" s="15"/>
      <c r="B735" s="16"/>
      <c r="C735" s="23"/>
      <c r="D735" s="23"/>
      <c r="E735" s="47"/>
      <c r="F735" s="15"/>
      <c r="G735" s="23"/>
      <c r="H735" s="23"/>
      <c r="I735" s="24"/>
      <c r="J735" s="24"/>
      <c r="K735" s="15"/>
      <c r="L735" s="15"/>
      <c r="M735" s="15"/>
      <c r="N735" s="24"/>
      <c r="O735" s="24"/>
      <c r="P735" s="15"/>
      <c r="Q735" s="15"/>
      <c r="R735" s="15"/>
      <c r="S735" s="24"/>
      <c r="T735" s="24"/>
      <c r="U735" s="15"/>
      <c r="V735" s="15"/>
      <c r="W735" s="15"/>
      <c r="X735" s="15"/>
      <c r="Y735" s="15"/>
      <c r="Z735" s="35"/>
      <c r="AA735" s="35"/>
      <c r="AB735" s="35"/>
      <c r="AC735" s="35"/>
    </row>
    <row r="736" spans="1:29" ht="12.75">
      <c r="A736" s="15"/>
      <c r="B736" s="16"/>
      <c r="C736" s="23"/>
      <c r="D736" s="23"/>
      <c r="E736" s="47"/>
      <c r="F736" s="15"/>
      <c r="G736" s="23"/>
      <c r="H736" s="23"/>
      <c r="I736" s="24"/>
      <c r="J736" s="24"/>
      <c r="K736" s="15"/>
      <c r="L736" s="15"/>
      <c r="M736" s="15"/>
      <c r="N736" s="24"/>
      <c r="O736" s="24"/>
      <c r="P736" s="15"/>
      <c r="Q736" s="15"/>
      <c r="R736" s="15"/>
      <c r="S736" s="24"/>
      <c r="T736" s="24"/>
      <c r="U736" s="15"/>
      <c r="V736" s="15"/>
      <c r="W736" s="15"/>
      <c r="X736" s="15"/>
      <c r="Y736" s="15"/>
      <c r="Z736" s="35"/>
      <c r="AA736" s="35"/>
      <c r="AB736" s="35"/>
      <c r="AC736" s="35"/>
    </row>
    <row r="737" spans="1:29" ht="12.75">
      <c r="A737" s="15"/>
      <c r="B737" s="16"/>
      <c r="C737" s="23"/>
      <c r="D737" s="23"/>
      <c r="E737" s="47"/>
      <c r="F737" s="15"/>
      <c r="G737" s="23"/>
      <c r="H737" s="23"/>
      <c r="I737" s="24"/>
      <c r="J737" s="24"/>
      <c r="K737" s="15"/>
      <c r="L737" s="15"/>
      <c r="M737" s="15"/>
      <c r="N737" s="24"/>
      <c r="O737" s="24"/>
      <c r="P737" s="15"/>
      <c r="Q737" s="15"/>
      <c r="R737" s="15"/>
      <c r="S737" s="24"/>
      <c r="T737" s="24"/>
      <c r="U737" s="15"/>
      <c r="V737" s="15"/>
      <c r="W737" s="15"/>
      <c r="X737" s="15"/>
      <c r="Y737" s="15"/>
      <c r="Z737" s="35"/>
      <c r="AA737" s="35"/>
      <c r="AB737" s="35"/>
      <c r="AC737" s="35"/>
    </row>
    <row r="738" spans="1:29" ht="12.75">
      <c r="A738" s="15"/>
      <c r="B738" s="16"/>
      <c r="C738" s="23"/>
      <c r="D738" s="23"/>
      <c r="E738" s="47"/>
      <c r="F738" s="15"/>
      <c r="G738" s="23"/>
      <c r="H738" s="23"/>
      <c r="I738" s="24"/>
      <c r="J738" s="24"/>
      <c r="K738" s="15"/>
      <c r="L738" s="15"/>
      <c r="M738" s="15"/>
      <c r="N738" s="24"/>
      <c r="O738" s="24"/>
      <c r="P738" s="15"/>
      <c r="Q738" s="15"/>
      <c r="R738" s="15"/>
      <c r="S738" s="24"/>
      <c r="T738" s="24"/>
      <c r="U738" s="15"/>
      <c r="V738" s="15"/>
      <c r="W738" s="15"/>
      <c r="X738" s="15"/>
      <c r="Y738" s="15"/>
      <c r="Z738" s="35"/>
      <c r="AA738" s="35"/>
      <c r="AB738" s="35"/>
      <c r="AC738" s="35"/>
    </row>
    <row r="739" spans="1:29" ht="12.75">
      <c r="A739" s="15"/>
      <c r="B739" s="16"/>
      <c r="C739" s="23"/>
      <c r="D739" s="23"/>
      <c r="E739" s="47"/>
      <c r="F739" s="15"/>
      <c r="G739" s="23"/>
      <c r="H739" s="23"/>
      <c r="I739" s="24"/>
      <c r="J739" s="24"/>
      <c r="K739" s="15"/>
      <c r="L739" s="15"/>
      <c r="M739" s="15"/>
      <c r="N739" s="24"/>
      <c r="O739" s="24"/>
      <c r="P739" s="15"/>
      <c r="Q739" s="15"/>
      <c r="R739" s="15"/>
      <c r="S739" s="24"/>
      <c r="T739" s="24"/>
      <c r="U739" s="15"/>
      <c r="V739" s="15"/>
      <c r="W739" s="15"/>
      <c r="X739" s="15"/>
      <c r="Y739" s="15"/>
      <c r="Z739" s="35"/>
      <c r="AA739" s="35"/>
      <c r="AB739" s="35"/>
      <c r="AC739" s="35"/>
    </row>
    <row r="740" spans="1:29" ht="12.75">
      <c r="A740" s="15"/>
      <c r="B740" s="16"/>
      <c r="C740" s="23"/>
      <c r="D740" s="23"/>
      <c r="E740" s="47"/>
      <c r="F740" s="15"/>
      <c r="G740" s="23"/>
      <c r="H740" s="23"/>
      <c r="I740" s="24"/>
      <c r="J740" s="24"/>
      <c r="K740" s="15"/>
      <c r="L740" s="15"/>
      <c r="M740" s="15"/>
      <c r="N740" s="24"/>
      <c r="O740" s="24"/>
      <c r="P740" s="15"/>
      <c r="Q740" s="15"/>
      <c r="R740" s="15"/>
      <c r="S740" s="24"/>
      <c r="T740" s="24"/>
      <c r="U740" s="15"/>
      <c r="V740" s="15"/>
      <c r="W740" s="15"/>
      <c r="X740" s="15"/>
      <c r="Y740" s="15"/>
      <c r="Z740" s="35"/>
      <c r="AA740" s="35"/>
      <c r="AB740" s="35"/>
      <c r="AC740" s="35"/>
    </row>
    <row r="741" spans="1:29" ht="12.75">
      <c r="A741" s="15"/>
      <c r="B741" s="16"/>
      <c r="C741" s="23"/>
      <c r="D741" s="23"/>
      <c r="E741" s="47"/>
      <c r="F741" s="15"/>
      <c r="G741" s="23"/>
      <c r="H741" s="23"/>
      <c r="I741" s="24"/>
      <c r="J741" s="24"/>
      <c r="K741" s="15"/>
      <c r="L741" s="15"/>
      <c r="M741" s="15"/>
      <c r="N741" s="24"/>
      <c r="O741" s="24"/>
      <c r="P741" s="15"/>
      <c r="Q741" s="15"/>
      <c r="R741" s="15"/>
      <c r="S741" s="24"/>
      <c r="T741" s="24"/>
      <c r="U741" s="15"/>
      <c r="V741" s="15"/>
      <c r="W741" s="15"/>
      <c r="X741" s="15"/>
      <c r="Y741" s="15"/>
      <c r="Z741" s="35"/>
      <c r="AA741" s="35"/>
      <c r="AB741" s="35"/>
      <c r="AC741" s="35"/>
    </row>
    <row r="742" spans="1:29" ht="12.75">
      <c r="A742" s="15"/>
      <c r="B742" s="16"/>
      <c r="C742" s="23"/>
      <c r="D742" s="23"/>
      <c r="E742" s="47"/>
      <c r="F742" s="15"/>
      <c r="G742" s="23"/>
      <c r="H742" s="23"/>
      <c r="I742" s="24"/>
      <c r="J742" s="24"/>
      <c r="K742" s="15"/>
      <c r="L742" s="15"/>
      <c r="M742" s="15"/>
      <c r="N742" s="24"/>
      <c r="O742" s="24"/>
      <c r="P742" s="15"/>
      <c r="Q742" s="15"/>
      <c r="R742" s="15"/>
      <c r="S742" s="24"/>
      <c r="T742" s="24"/>
      <c r="U742" s="15"/>
      <c r="V742" s="15"/>
      <c r="W742" s="15"/>
      <c r="X742" s="15"/>
      <c r="Y742" s="15"/>
      <c r="Z742" s="35"/>
      <c r="AA742" s="35"/>
      <c r="AB742" s="35"/>
      <c r="AC742" s="35"/>
    </row>
    <row r="743" spans="1:29" ht="12.75">
      <c r="A743" s="15"/>
      <c r="B743" s="16"/>
      <c r="C743" s="23"/>
      <c r="D743" s="23"/>
      <c r="E743" s="47"/>
      <c r="F743" s="15"/>
      <c r="G743" s="23"/>
      <c r="H743" s="23"/>
      <c r="I743" s="24"/>
      <c r="J743" s="24"/>
      <c r="K743" s="15"/>
      <c r="L743" s="15"/>
      <c r="M743" s="15"/>
      <c r="N743" s="24"/>
      <c r="O743" s="24"/>
      <c r="P743" s="15"/>
      <c r="Q743" s="15"/>
      <c r="R743" s="15"/>
      <c r="S743" s="24"/>
      <c r="T743" s="24"/>
      <c r="U743" s="15"/>
      <c r="V743" s="15"/>
      <c r="W743" s="15"/>
      <c r="X743" s="15"/>
      <c r="Y743" s="15"/>
      <c r="Z743" s="35"/>
      <c r="AA743" s="35"/>
      <c r="AB743" s="35"/>
      <c r="AC743" s="35"/>
    </row>
    <row r="744" spans="1:29" ht="12.75">
      <c r="A744" s="15"/>
      <c r="B744" s="16"/>
      <c r="C744" s="23"/>
      <c r="D744" s="23"/>
      <c r="E744" s="47"/>
      <c r="F744" s="15"/>
      <c r="G744" s="15"/>
      <c r="H744" s="15"/>
      <c r="I744" s="24"/>
      <c r="J744" s="24"/>
      <c r="K744" s="15"/>
      <c r="L744" s="23"/>
      <c r="M744" s="23"/>
      <c r="N744" s="24"/>
      <c r="O744" s="24"/>
      <c r="P744" s="15"/>
      <c r="Q744" s="15"/>
      <c r="R744" s="15"/>
      <c r="S744" s="24"/>
      <c r="T744" s="24"/>
      <c r="U744" s="15"/>
      <c r="V744" s="15"/>
      <c r="W744" s="15"/>
      <c r="X744" s="15"/>
      <c r="Y744" s="15"/>
      <c r="Z744" s="35"/>
      <c r="AA744" s="35"/>
      <c r="AB744" s="35"/>
      <c r="AC744" s="35"/>
    </row>
    <row r="745" spans="1:29" ht="12.75">
      <c r="A745" s="15"/>
      <c r="B745" s="16"/>
      <c r="C745" s="23"/>
      <c r="D745" s="15"/>
      <c r="E745" s="47"/>
      <c r="F745" s="15"/>
      <c r="G745" s="15"/>
      <c r="H745" s="15"/>
      <c r="I745" s="24"/>
      <c r="J745" s="24"/>
      <c r="K745" s="15"/>
      <c r="L745" s="23"/>
      <c r="M745" s="23"/>
      <c r="N745" s="24"/>
      <c r="O745" s="24"/>
      <c r="P745" s="15"/>
      <c r="Q745" s="15"/>
      <c r="R745" s="15"/>
      <c r="S745" s="24"/>
      <c r="T745" s="24"/>
      <c r="U745" s="15"/>
      <c r="V745" s="15"/>
      <c r="W745" s="15"/>
      <c r="X745" s="15"/>
      <c r="Y745" s="15"/>
      <c r="Z745" s="35"/>
      <c r="AA745" s="35"/>
      <c r="AB745" s="35"/>
      <c r="AC745" s="35"/>
    </row>
    <row r="746" spans="1:29" ht="12.75">
      <c r="A746" s="15"/>
      <c r="B746" s="16"/>
      <c r="C746" s="23"/>
      <c r="D746" s="23"/>
      <c r="E746" s="47"/>
      <c r="F746" s="15"/>
      <c r="G746" s="15"/>
      <c r="H746" s="15"/>
      <c r="I746" s="24"/>
      <c r="J746" s="24"/>
      <c r="K746" s="15"/>
      <c r="L746" s="23"/>
      <c r="M746" s="23"/>
      <c r="N746" s="24"/>
      <c r="O746" s="24"/>
      <c r="P746" s="15"/>
      <c r="Q746" s="15"/>
      <c r="R746" s="15"/>
      <c r="S746" s="24"/>
      <c r="T746" s="24"/>
      <c r="U746" s="15"/>
      <c r="V746" s="15"/>
      <c r="W746" s="15"/>
      <c r="X746" s="15"/>
      <c r="Y746" s="15"/>
      <c r="Z746" s="35"/>
      <c r="AA746" s="35"/>
      <c r="AB746" s="35"/>
      <c r="AC746" s="35"/>
    </row>
    <row r="747" spans="1:29" ht="12.75">
      <c r="A747" s="15"/>
      <c r="B747" s="16"/>
      <c r="C747" s="23"/>
      <c r="D747" s="23"/>
      <c r="E747" s="47"/>
      <c r="F747" s="15"/>
      <c r="G747" s="15"/>
      <c r="H747" s="15"/>
      <c r="I747" s="24"/>
      <c r="J747" s="24"/>
      <c r="K747" s="15"/>
      <c r="L747" s="23"/>
      <c r="M747" s="23"/>
      <c r="N747" s="24"/>
      <c r="O747" s="24"/>
      <c r="P747" s="15"/>
      <c r="Q747" s="15"/>
      <c r="R747" s="15"/>
      <c r="S747" s="24"/>
      <c r="T747" s="24"/>
      <c r="U747" s="15"/>
      <c r="V747" s="15"/>
      <c r="W747" s="15"/>
      <c r="X747" s="15"/>
      <c r="Y747" s="15"/>
      <c r="Z747" s="2"/>
      <c r="AA747" s="2"/>
      <c r="AB747" s="2"/>
      <c r="AC747" s="2"/>
    </row>
    <row r="748" spans="1:29" ht="12.75">
      <c r="A748" s="15"/>
      <c r="B748" s="16"/>
      <c r="C748" s="23"/>
      <c r="D748" s="23"/>
      <c r="E748" s="47"/>
      <c r="F748" s="15"/>
      <c r="G748" s="15"/>
      <c r="H748" s="15"/>
      <c r="I748" s="24"/>
      <c r="J748" s="24"/>
      <c r="K748" s="15"/>
      <c r="L748" s="23"/>
      <c r="M748" s="23"/>
      <c r="N748" s="24"/>
      <c r="O748" s="24"/>
      <c r="P748" s="15"/>
      <c r="Q748" s="15"/>
      <c r="R748" s="15"/>
      <c r="S748" s="24"/>
      <c r="T748" s="24"/>
      <c r="U748" s="15"/>
      <c r="V748" s="15"/>
      <c r="W748" s="15"/>
      <c r="X748" s="15"/>
      <c r="Y748" s="15"/>
      <c r="Z748" s="2"/>
      <c r="AA748" s="2"/>
      <c r="AB748" s="2"/>
      <c r="AC748" s="2"/>
    </row>
    <row r="749" spans="1:29" ht="12.75">
      <c r="A749" s="15"/>
      <c r="B749" s="16"/>
      <c r="C749" s="23"/>
      <c r="D749" s="23"/>
      <c r="E749" s="47"/>
      <c r="F749" s="15"/>
      <c r="G749" s="15"/>
      <c r="H749" s="15"/>
      <c r="I749" s="24"/>
      <c r="J749" s="24"/>
      <c r="K749" s="15"/>
      <c r="L749" s="23"/>
      <c r="M749" s="23"/>
      <c r="N749" s="24"/>
      <c r="O749" s="24"/>
      <c r="P749" s="15"/>
      <c r="Q749" s="15"/>
      <c r="R749" s="15"/>
      <c r="S749" s="24"/>
      <c r="T749" s="24"/>
      <c r="U749" s="15"/>
      <c r="V749" s="15"/>
      <c r="W749" s="15"/>
      <c r="X749" s="15"/>
      <c r="Y749" s="15"/>
      <c r="Z749" s="2"/>
      <c r="AA749" s="2"/>
      <c r="AB749" s="2"/>
      <c r="AC749" s="2"/>
    </row>
    <row r="750" spans="1:29" ht="12.75">
      <c r="A750" s="15"/>
      <c r="B750" s="16"/>
      <c r="C750" s="23"/>
      <c r="D750" s="23"/>
      <c r="E750" s="47"/>
      <c r="F750" s="15"/>
      <c r="G750" s="15"/>
      <c r="H750" s="15"/>
      <c r="I750" s="24"/>
      <c r="J750" s="24"/>
      <c r="K750" s="15"/>
      <c r="L750" s="23"/>
      <c r="M750" s="23"/>
      <c r="N750" s="24"/>
      <c r="O750" s="24"/>
      <c r="P750" s="15"/>
      <c r="Q750" s="15"/>
      <c r="R750" s="15"/>
      <c r="S750" s="24"/>
      <c r="T750" s="24"/>
      <c r="U750" s="15"/>
      <c r="V750" s="15"/>
      <c r="W750" s="15"/>
      <c r="X750" s="15"/>
      <c r="Y750" s="15"/>
      <c r="Z750" s="2"/>
      <c r="AA750" s="2"/>
      <c r="AB750" s="2"/>
      <c r="AC750" s="2"/>
    </row>
    <row r="751" spans="1:29" ht="12.75">
      <c r="A751" s="15"/>
      <c r="B751" s="16"/>
      <c r="C751" s="23"/>
      <c r="D751" s="23"/>
      <c r="E751" s="47"/>
      <c r="F751" s="15"/>
      <c r="G751" s="15"/>
      <c r="H751" s="15"/>
      <c r="I751" s="24"/>
      <c r="J751" s="24"/>
      <c r="K751" s="15"/>
      <c r="L751" s="23"/>
      <c r="M751" s="23"/>
      <c r="N751" s="24"/>
      <c r="O751" s="24"/>
      <c r="P751" s="15"/>
      <c r="Q751" s="15"/>
      <c r="R751" s="15"/>
      <c r="S751" s="24"/>
      <c r="T751" s="24"/>
      <c r="U751" s="15"/>
      <c r="V751" s="15"/>
      <c r="W751" s="15"/>
      <c r="X751" s="15"/>
      <c r="Y751" s="15"/>
      <c r="Z751" s="2"/>
      <c r="AA751" s="2"/>
      <c r="AB751" s="2"/>
      <c r="AC751" s="2"/>
    </row>
    <row r="752" spans="1:29" ht="12.75">
      <c r="A752" s="15"/>
      <c r="B752" s="16"/>
      <c r="C752" s="23"/>
      <c r="D752" s="23"/>
      <c r="E752" s="47"/>
      <c r="F752" s="15"/>
      <c r="G752" s="15"/>
      <c r="H752" s="15"/>
      <c r="I752" s="24"/>
      <c r="J752" s="24"/>
      <c r="K752" s="15"/>
      <c r="L752" s="23"/>
      <c r="M752" s="23"/>
      <c r="N752" s="24"/>
      <c r="O752" s="24"/>
      <c r="P752" s="15"/>
      <c r="Q752" s="15"/>
      <c r="R752" s="15"/>
      <c r="S752" s="24"/>
      <c r="T752" s="24"/>
      <c r="U752" s="15"/>
      <c r="V752" s="15"/>
      <c r="W752" s="15"/>
      <c r="X752" s="15"/>
      <c r="Y752" s="15"/>
      <c r="Z752" s="2"/>
      <c r="AA752" s="2"/>
      <c r="AB752" s="2"/>
      <c r="AC752" s="2"/>
    </row>
    <row r="753" spans="1:25" ht="12.75">
      <c r="A753" s="15"/>
      <c r="B753" s="16"/>
      <c r="C753" s="23"/>
      <c r="D753" s="23"/>
      <c r="E753" s="47"/>
      <c r="F753" s="15"/>
      <c r="G753" s="15"/>
      <c r="H753" s="15"/>
      <c r="I753" s="24"/>
      <c r="J753" s="24"/>
      <c r="K753" s="15"/>
      <c r="L753" s="23"/>
      <c r="M753" s="23"/>
      <c r="N753" s="24"/>
      <c r="O753" s="24"/>
      <c r="P753" s="15"/>
      <c r="Q753" s="15"/>
      <c r="R753" s="15"/>
      <c r="S753" s="24"/>
      <c r="T753" s="24"/>
      <c r="U753" s="15"/>
      <c r="V753" s="15"/>
      <c r="W753" s="15"/>
      <c r="X753" s="15"/>
      <c r="Y753" s="15"/>
    </row>
    <row r="754" spans="1:25" ht="12.75">
      <c r="A754" s="15"/>
      <c r="B754" s="16"/>
      <c r="C754" s="23"/>
      <c r="D754" s="23"/>
      <c r="E754" s="47"/>
      <c r="F754" s="15"/>
      <c r="G754" s="15"/>
      <c r="H754" s="15"/>
      <c r="I754" s="24"/>
      <c r="J754" s="24"/>
      <c r="K754" s="15"/>
      <c r="L754" s="23"/>
      <c r="M754" s="23"/>
      <c r="N754" s="24"/>
      <c r="O754" s="24"/>
      <c r="P754" s="15"/>
      <c r="Q754" s="15"/>
      <c r="R754" s="15"/>
      <c r="S754" s="24"/>
      <c r="T754" s="24"/>
      <c r="U754" s="15"/>
      <c r="V754" s="15"/>
      <c r="W754" s="15"/>
      <c r="X754" s="15"/>
      <c r="Y754" s="15"/>
    </row>
    <row r="755" spans="1:25" ht="12.75">
      <c r="A755" s="15"/>
      <c r="B755" s="16"/>
      <c r="C755" s="23"/>
      <c r="D755" s="23"/>
      <c r="E755" s="47"/>
      <c r="F755" s="15"/>
      <c r="G755" s="15"/>
      <c r="H755" s="15"/>
      <c r="I755" s="24"/>
      <c r="J755" s="24"/>
      <c r="K755" s="15"/>
      <c r="L755" s="23"/>
      <c r="M755" s="23"/>
      <c r="N755" s="24"/>
      <c r="O755" s="24"/>
      <c r="P755" s="15"/>
      <c r="Q755" s="15"/>
      <c r="R755" s="15"/>
      <c r="S755" s="24"/>
      <c r="T755" s="24"/>
      <c r="U755" s="15"/>
      <c r="V755" s="15"/>
      <c r="W755" s="15"/>
      <c r="X755" s="15"/>
      <c r="Y755" s="15"/>
    </row>
    <row r="756" spans="1:25" ht="12.75">
      <c r="A756" s="15"/>
      <c r="B756" s="16"/>
      <c r="C756" s="23"/>
      <c r="D756" s="23"/>
      <c r="E756" s="47"/>
      <c r="F756" s="15"/>
      <c r="G756" s="15"/>
      <c r="H756" s="15"/>
      <c r="I756" s="24"/>
      <c r="J756" s="24"/>
      <c r="K756" s="15"/>
      <c r="L756" s="23"/>
      <c r="M756" s="23"/>
      <c r="N756" s="24"/>
      <c r="O756" s="24"/>
      <c r="P756" s="15"/>
      <c r="Q756" s="15"/>
      <c r="R756" s="15"/>
      <c r="S756" s="24"/>
      <c r="T756" s="24"/>
      <c r="U756" s="15"/>
      <c r="V756" s="15"/>
      <c r="W756" s="15"/>
      <c r="X756" s="15"/>
      <c r="Y756" s="15"/>
    </row>
    <row r="757" spans="1:25" ht="12.75">
      <c r="A757" s="15"/>
      <c r="B757" s="16"/>
      <c r="C757" s="23"/>
      <c r="D757" s="23"/>
      <c r="E757" s="47"/>
      <c r="F757" s="15"/>
      <c r="G757" s="15"/>
      <c r="H757" s="15"/>
      <c r="I757" s="24"/>
      <c r="J757" s="24"/>
      <c r="K757" s="15"/>
      <c r="L757" s="23"/>
      <c r="M757" s="23"/>
      <c r="N757" s="24"/>
      <c r="O757" s="24"/>
      <c r="P757" s="15"/>
      <c r="Q757" s="15"/>
      <c r="R757" s="15"/>
      <c r="S757" s="24"/>
      <c r="T757" s="24"/>
      <c r="U757" s="15"/>
      <c r="V757" s="15"/>
      <c r="W757" s="15"/>
      <c r="X757" s="15"/>
      <c r="Y757" s="15"/>
    </row>
    <row r="758" spans="1:25" ht="12.75">
      <c r="A758" s="15"/>
      <c r="B758" s="16"/>
      <c r="C758" s="23"/>
      <c r="D758" s="23"/>
      <c r="E758" s="47"/>
      <c r="F758" s="15"/>
      <c r="G758" s="15"/>
      <c r="H758" s="15"/>
      <c r="I758" s="24"/>
      <c r="J758" s="24"/>
      <c r="K758" s="15"/>
      <c r="L758" s="23"/>
      <c r="M758" s="23"/>
      <c r="N758" s="24"/>
      <c r="O758" s="24"/>
      <c r="P758" s="15"/>
      <c r="Q758" s="15"/>
      <c r="R758" s="15"/>
      <c r="S758" s="24"/>
      <c r="T758" s="24"/>
      <c r="U758" s="15"/>
      <c r="V758" s="15"/>
      <c r="W758" s="15"/>
      <c r="X758" s="15"/>
      <c r="Y758" s="15"/>
    </row>
    <row r="759" spans="1:25" ht="12.75">
      <c r="A759" s="15"/>
      <c r="B759" s="16"/>
      <c r="C759" s="23"/>
      <c r="D759" s="23"/>
      <c r="E759" s="47"/>
      <c r="F759" s="15"/>
      <c r="G759" s="15"/>
      <c r="H759" s="15"/>
      <c r="I759" s="24"/>
      <c r="J759" s="24"/>
      <c r="K759" s="15"/>
      <c r="L759" s="23"/>
      <c r="M759" s="23"/>
      <c r="N759" s="24"/>
      <c r="O759" s="24"/>
      <c r="P759" s="15"/>
      <c r="Q759" s="15"/>
      <c r="R759" s="15"/>
      <c r="S759" s="24"/>
      <c r="T759" s="24"/>
      <c r="U759" s="15"/>
      <c r="V759" s="15"/>
      <c r="W759" s="15"/>
      <c r="X759" s="15"/>
      <c r="Y759" s="15"/>
    </row>
    <row r="760" spans="1:25" ht="12.75">
      <c r="A760" s="15"/>
      <c r="B760" s="16"/>
      <c r="C760" s="23"/>
      <c r="D760" s="23"/>
      <c r="E760" s="47"/>
      <c r="F760" s="15"/>
      <c r="G760" s="15"/>
      <c r="H760" s="15"/>
      <c r="I760" s="24"/>
      <c r="J760" s="24"/>
      <c r="K760" s="15"/>
      <c r="L760" s="23"/>
      <c r="M760" s="23"/>
      <c r="N760" s="24"/>
      <c r="O760" s="24"/>
      <c r="P760" s="15"/>
      <c r="Q760" s="15"/>
      <c r="R760" s="15"/>
      <c r="S760" s="24"/>
      <c r="T760" s="24"/>
      <c r="U760" s="15"/>
      <c r="V760" s="15"/>
      <c r="W760" s="15"/>
      <c r="X760" s="15"/>
      <c r="Y760" s="15"/>
    </row>
    <row r="761" spans="1:25" ht="12.75">
      <c r="A761" s="15"/>
      <c r="B761" s="16"/>
      <c r="C761" s="23"/>
      <c r="D761" s="23"/>
      <c r="E761" s="47"/>
      <c r="F761" s="15"/>
      <c r="G761" s="15"/>
      <c r="H761" s="15"/>
      <c r="I761" s="24"/>
      <c r="J761" s="24"/>
      <c r="K761" s="15"/>
      <c r="L761" s="23"/>
      <c r="M761" s="23"/>
      <c r="N761" s="24"/>
      <c r="O761" s="24"/>
      <c r="P761" s="15"/>
      <c r="Q761" s="15"/>
      <c r="R761" s="15"/>
      <c r="S761" s="24"/>
      <c r="T761" s="24"/>
      <c r="U761" s="15"/>
      <c r="V761" s="15"/>
      <c r="W761" s="15"/>
      <c r="X761" s="15"/>
      <c r="Y761" s="15"/>
    </row>
    <row r="762" spans="1:25" ht="12.75">
      <c r="A762" s="15"/>
      <c r="B762" s="16"/>
      <c r="C762" s="23"/>
      <c r="D762" s="23"/>
      <c r="E762" s="47"/>
      <c r="F762" s="15"/>
      <c r="G762" s="15"/>
      <c r="H762" s="15"/>
      <c r="I762" s="24"/>
      <c r="J762" s="24"/>
      <c r="K762" s="15"/>
      <c r="L762" s="23"/>
      <c r="M762" s="23"/>
      <c r="N762" s="24"/>
      <c r="O762" s="24"/>
      <c r="P762" s="15"/>
      <c r="Q762" s="15"/>
      <c r="R762" s="15"/>
      <c r="S762" s="24"/>
      <c r="T762" s="24"/>
      <c r="U762" s="15"/>
      <c r="V762" s="15"/>
      <c r="W762" s="15"/>
      <c r="X762" s="15"/>
      <c r="Y762" s="15"/>
    </row>
    <row r="763" spans="1:25" ht="12.75">
      <c r="A763" s="15"/>
      <c r="B763" s="16"/>
      <c r="C763" s="23"/>
      <c r="D763" s="23"/>
      <c r="E763" s="47"/>
      <c r="F763" s="15"/>
      <c r="G763" s="15"/>
      <c r="H763" s="15"/>
      <c r="I763" s="24"/>
      <c r="J763" s="24"/>
      <c r="K763" s="15"/>
      <c r="L763" s="23"/>
      <c r="M763" s="23"/>
      <c r="N763" s="24"/>
      <c r="O763" s="24"/>
      <c r="P763" s="15"/>
      <c r="Q763" s="15"/>
      <c r="R763" s="15"/>
      <c r="S763" s="24"/>
      <c r="T763" s="24"/>
      <c r="U763" s="15"/>
      <c r="V763" s="15"/>
      <c r="W763" s="15"/>
      <c r="X763" s="15"/>
      <c r="Y763" s="15"/>
    </row>
    <row r="764" spans="1:25" ht="12.75">
      <c r="A764" s="15"/>
      <c r="B764" s="16"/>
      <c r="C764" s="23"/>
      <c r="D764" s="23"/>
      <c r="E764" s="47"/>
      <c r="F764" s="15"/>
      <c r="G764" s="15"/>
      <c r="H764" s="15"/>
      <c r="I764" s="24"/>
      <c r="J764" s="24"/>
      <c r="K764" s="15"/>
      <c r="L764" s="23"/>
      <c r="M764" s="23"/>
      <c r="N764" s="24"/>
      <c r="O764" s="24"/>
      <c r="P764" s="15"/>
      <c r="Q764" s="15"/>
      <c r="R764" s="15"/>
      <c r="S764" s="24"/>
      <c r="T764" s="24"/>
      <c r="U764" s="15"/>
      <c r="V764" s="15"/>
      <c r="W764" s="15"/>
      <c r="X764" s="15"/>
      <c r="Y764" s="15"/>
    </row>
    <row r="765" spans="1:25" ht="12.75">
      <c r="A765" s="15"/>
      <c r="B765" s="16"/>
      <c r="C765" s="23"/>
      <c r="D765" s="23"/>
      <c r="E765" s="47"/>
      <c r="F765" s="15"/>
      <c r="G765" s="15"/>
      <c r="H765" s="15"/>
      <c r="I765" s="24"/>
      <c r="J765" s="24"/>
      <c r="K765" s="15"/>
      <c r="L765" s="23"/>
      <c r="M765" s="23"/>
      <c r="N765" s="24"/>
      <c r="O765" s="24"/>
      <c r="P765" s="15"/>
      <c r="Q765" s="15"/>
      <c r="R765" s="15"/>
      <c r="S765" s="24"/>
      <c r="T765" s="24"/>
      <c r="U765" s="15"/>
      <c r="V765" s="15"/>
      <c r="W765" s="15"/>
      <c r="X765" s="15"/>
      <c r="Y765" s="15"/>
    </row>
    <row r="766" spans="1:25" ht="12.75">
      <c r="A766" s="15"/>
      <c r="B766" s="16"/>
      <c r="C766" s="23"/>
      <c r="D766" s="23"/>
      <c r="E766" s="47"/>
      <c r="F766" s="15"/>
      <c r="G766" s="15"/>
      <c r="H766" s="15"/>
      <c r="I766" s="24"/>
      <c r="J766" s="24"/>
      <c r="K766" s="15"/>
      <c r="L766" s="23"/>
      <c r="M766" s="23"/>
      <c r="N766" s="24"/>
      <c r="O766" s="24"/>
      <c r="P766" s="15"/>
      <c r="Q766" s="15"/>
      <c r="R766" s="15"/>
      <c r="S766" s="24"/>
      <c r="T766" s="24"/>
      <c r="U766" s="15"/>
      <c r="V766" s="15"/>
      <c r="W766" s="15"/>
      <c r="X766" s="15"/>
      <c r="Y766" s="15"/>
    </row>
    <row r="767" spans="1:25" ht="12.75">
      <c r="A767" s="15"/>
      <c r="B767" s="16"/>
      <c r="C767" s="23"/>
      <c r="D767" s="23"/>
      <c r="E767" s="47"/>
      <c r="F767" s="15"/>
      <c r="G767" s="15"/>
      <c r="H767" s="15"/>
      <c r="I767" s="24"/>
      <c r="J767" s="24"/>
      <c r="K767" s="15"/>
      <c r="L767" s="23"/>
      <c r="M767" s="23"/>
      <c r="N767" s="24"/>
      <c r="O767" s="24"/>
      <c r="P767" s="15"/>
      <c r="Q767" s="15"/>
      <c r="R767" s="15"/>
      <c r="S767" s="24"/>
      <c r="T767" s="24"/>
      <c r="U767" s="15"/>
      <c r="V767" s="15"/>
      <c r="W767" s="15"/>
      <c r="X767" s="15"/>
      <c r="Y767" s="15"/>
    </row>
    <row r="768" spans="1:25" ht="12.75">
      <c r="A768" s="15"/>
      <c r="B768" s="16"/>
      <c r="C768" s="23"/>
      <c r="D768" s="23"/>
      <c r="E768" s="47"/>
      <c r="F768" s="15"/>
      <c r="G768" s="15"/>
      <c r="H768" s="15"/>
      <c r="I768" s="24"/>
      <c r="J768" s="24"/>
      <c r="K768" s="15"/>
      <c r="L768" s="23"/>
      <c r="M768" s="23"/>
      <c r="N768" s="24"/>
      <c r="O768" s="24"/>
      <c r="P768" s="15"/>
      <c r="Q768" s="15"/>
      <c r="R768" s="15"/>
      <c r="S768" s="24"/>
      <c r="T768" s="24"/>
      <c r="U768" s="15"/>
      <c r="V768" s="15"/>
      <c r="W768" s="15"/>
      <c r="X768" s="15"/>
      <c r="Y768" s="15"/>
    </row>
    <row r="769" spans="1:28" ht="12.75">
      <c r="A769" s="15"/>
      <c r="B769" s="16"/>
      <c r="C769" s="23"/>
      <c r="D769" s="23"/>
      <c r="E769" s="47"/>
      <c r="F769" s="15"/>
      <c r="G769" s="15"/>
      <c r="H769" s="15"/>
      <c r="I769" s="24"/>
      <c r="J769" s="24"/>
      <c r="K769" s="15"/>
      <c r="L769" s="23"/>
      <c r="M769" s="23"/>
      <c r="N769" s="24"/>
      <c r="O769" s="24"/>
      <c r="P769" s="15"/>
      <c r="Q769" s="15"/>
      <c r="R769" s="15"/>
      <c r="S769" s="24"/>
      <c r="T769" s="24"/>
      <c r="U769" s="15"/>
      <c r="V769" s="15"/>
      <c r="W769" s="15"/>
      <c r="X769" s="15"/>
      <c r="Y769" s="15"/>
      <c r="Z769" s="2"/>
      <c r="AA769" s="2"/>
      <c r="AB769" s="2"/>
    </row>
    <row r="770" spans="1:28" ht="12.75">
      <c r="A770" s="15"/>
      <c r="B770" s="16"/>
      <c r="C770" s="23"/>
      <c r="D770" s="23"/>
      <c r="E770" s="47"/>
      <c r="F770" s="15"/>
      <c r="G770" s="15"/>
      <c r="H770" s="15"/>
      <c r="I770" s="24"/>
      <c r="J770" s="24"/>
      <c r="K770" s="15"/>
      <c r="L770" s="23"/>
      <c r="M770" s="23"/>
      <c r="N770" s="24"/>
      <c r="O770" s="24"/>
      <c r="P770" s="15"/>
      <c r="Q770" s="15"/>
      <c r="R770" s="15"/>
      <c r="S770" s="24"/>
      <c r="T770" s="24"/>
      <c r="U770" s="15"/>
      <c r="V770" s="15"/>
      <c r="W770" s="15"/>
      <c r="X770" s="15"/>
      <c r="Y770" s="15"/>
      <c r="Z770" s="2"/>
      <c r="AA770" s="2"/>
      <c r="AB770" s="2"/>
    </row>
    <row r="771" spans="1:28" ht="12.75">
      <c r="A771" s="15"/>
      <c r="B771" s="16"/>
      <c r="C771" s="23"/>
      <c r="D771" s="23"/>
      <c r="E771" s="47"/>
      <c r="F771" s="15"/>
      <c r="G771" s="15"/>
      <c r="H771" s="15"/>
      <c r="I771" s="24"/>
      <c r="J771" s="24"/>
      <c r="K771" s="15"/>
      <c r="L771" s="15"/>
      <c r="M771" s="15"/>
      <c r="N771" s="24"/>
      <c r="O771" s="24"/>
      <c r="P771" s="15"/>
      <c r="Q771" s="23"/>
      <c r="R771" s="15"/>
      <c r="S771" s="24"/>
      <c r="T771" s="24"/>
      <c r="U771" s="15"/>
      <c r="V771" s="15"/>
      <c r="W771" s="15"/>
      <c r="X771" s="15"/>
      <c r="Y771" s="15"/>
      <c r="Z771" s="2"/>
      <c r="AA771" s="2"/>
      <c r="AB771" s="2"/>
    </row>
    <row r="772" spans="1:28" ht="12.75">
      <c r="A772" s="15"/>
      <c r="B772" s="16"/>
      <c r="C772" s="23"/>
      <c r="D772" s="23"/>
      <c r="E772" s="47"/>
      <c r="F772" s="15"/>
      <c r="G772" s="23"/>
      <c r="H772" s="23"/>
      <c r="I772" s="24"/>
      <c r="J772" s="24"/>
      <c r="K772" s="15"/>
      <c r="L772" s="15"/>
      <c r="M772" s="15"/>
      <c r="N772" s="24"/>
      <c r="O772" s="24"/>
      <c r="P772" s="15"/>
      <c r="Q772" s="23"/>
      <c r="R772" s="23"/>
      <c r="S772" s="24"/>
      <c r="T772" s="24"/>
      <c r="U772" s="15"/>
      <c r="V772" s="15"/>
      <c r="W772" s="15"/>
      <c r="X772" s="15"/>
      <c r="Y772" s="15"/>
      <c r="Z772" s="2"/>
      <c r="AA772" s="2"/>
      <c r="AB772" s="2"/>
    </row>
    <row r="773" spans="1:28" ht="12.75">
      <c r="A773" s="15"/>
      <c r="B773" s="16"/>
      <c r="C773" s="23"/>
      <c r="D773" s="23"/>
      <c r="E773" s="47"/>
      <c r="F773" s="15"/>
      <c r="G773" s="23"/>
      <c r="H773" s="23"/>
      <c r="I773" s="24"/>
      <c r="J773" s="24"/>
      <c r="K773" s="15"/>
      <c r="L773" s="15"/>
      <c r="M773" s="15"/>
      <c r="N773" s="24"/>
      <c r="O773" s="24"/>
      <c r="P773" s="15"/>
      <c r="Q773" s="23"/>
      <c r="R773" s="23"/>
      <c r="S773" s="24"/>
      <c r="T773" s="24"/>
      <c r="U773" s="15"/>
      <c r="V773" s="15"/>
      <c r="W773" s="15"/>
      <c r="X773" s="15"/>
      <c r="Y773" s="15"/>
      <c r="Z773" s="2"/>
      <c r="AA773" s="2"/>
      <c r="AB773" s="2"/>
    </row>
    <row r="774" spans="1:28" ht="12.75">
      <c r="A774" s="15"/>
      <c r="B774" s="16"/>
      <c r="C774" s="23"/>
      <c r="D774" s="23"/>
      <c r="E774" s="47"/>
      <c r="F774" s="15"/>
      <c r="G774" s="23"/>
      <c r="H774" s="23"/>
      <c r="I774" s="24"/>
      <c r="J774" s="24"/>
      <c r="K774" s="15"/>
      <c r="L774" s="15"/>
      <c r="M774" s="15"/>
      <c r="N774" s="24"/>
      <c r="O774" s="24"/>
      <c r="P774" s="15"/>
      <c r="Q774" s="23"/>
      <c r="R774" s="23"/>
      <c r="S774" s="24"/>
      <c r="T774" s="24"/>
      <c r="U774" s="15"/>
      <c r="V774" s="15"/>
      <c r="W774" s="15"/>
      <c r="X774" s="15"/>
      <c r="Y774" s="15"/>
      <c r="Z774" s="2"/>
      <c r="AA774" s="2"/>
      <c r="AB774" s="2"/>
    </row>
    <row r="775" spans="1:28" ht="12.75">
      <c r="A775" s="15"/>
      <c r="B775" s="16"/>
      <c r="C775" s="23"/>
      <c r="D775" s="23"/>
      <c r="E775" s="47"/>
      <c r="F775" s="15"/>
      <c r="G775" s="23"/>
      <c r="H775" s="23"/>
      <c r="I775" s="24"/>
      <c r="J775" s="24"/>
      <c r="K775" s="15"/>
      <c r="L775" s="15"/>
      <c r="M775" s="15"/>
      <c r="N775" s="24"/>
      <c r="O775" s="24"/>
      <c r="P775" s="15"/>
      <c r="Q775" s="23"/>
      <c r="R775" s="23"/>
      <c r="S775" s="24"/>
      <c r="T775" s="24"/>
      <c r="U775" s="15"/>
      <c r="V775" s="15"/>
      <c r="W775" s="15"/>
      <c r="X775" s="15"/>
      <c r="Y775" s="15"/>
      <c r="Z775" s="2"/>
      <c r="AA775" s="2"/>
      <c r="AB775" s="2"/>
    </row>
    <row r="776" spans="1:28" ht="12.75">
      <c r="A776" s="15"/>
      <c r="B776" s="16"/>
      <c r="C776" s="23"/>
      <c r="D776" s="23"/>
      <c r="E776" s="47"/>
      <c r="F776" s="15"/>
      <c r="G776" s="23"/>
      <c r="H776" s="23"/>
      <c r="I776" s="24"/>
      <c r="J776" s="24"/>
      <c r="K776" s="15"/>
      <c r="L776" s="15"/>
      <c r="M776" s="15"/>
      <c r="N776" s="24"/>
      <c r="O776" s="24"/>
      <c r="P776" s="15"/>
      <c r="Q776" s="23"/>
      <c r="R776" s="23"/>
      <c r="S776" s="24"/>
      <c r="T776" s="24"/>
      <c r="U776" s="15"/>
      <c r="V776" s="15"/>
      <c r="W776" s="15"/>
      <c r="X776" s="15"/>
      <c r="Y776" s="15"/>
      <c r="Z776" s="2"/>
      <c r="AA776" s="2"/>
      <c r="AB776" s="2"/>
    </row>
    <row r="777" spans="1:28" ht="12.75">
      <c r="A777" s="15"/>
      <c r="B777" s="16"/>
      <c r="C777" s="23"/>
      <c r="D777" s="23"/>
      <c r="E777" s="47"/>
      <c r="F777" s="15"/>
      <c r="G777" s="23"/>
      <c r="H777" s="23"/>
      <c r="I777" s="24"/>
      <c r="J777" s="24"/>
      <c r="K777" s="15"/>
      <c r="L777" s="15"/>
      <c r="M777" s="15"/>
      <c r="N777" s="24"/>
      <c r="O777" s="24"/>
      <c r="P777" s="15"/>
      <c r="Q777" s="23"/>
      <c r="R777" s="23"/>
      <c r="S777" s="24"/>
      <c r="T777" s="24"/>
      <c r="U777" s="15"/>
      <c r="V777" s="15"/>
      <c r="W777" s="15"/>
      <c r="X777" s="15"/>
      <c r="Y777" s="15"/>
      <c r="Z777" s="2"/>
      <c r="AA777" s="2"/>
      <c r="AB777" s="2"/>
    </row>
    <row r="778" spans="1:28" ht="12.75">
      <c r="A778" s="15"/>
      <c r="B778" s="16"/>
      <c r="C778" s="23"/>
      <c r="D778" s="23"/>
      <c r="E778" s="47"/>
      <c r="F778" s="15"/>
      <c r="G778" s="23"/>
      <c r="H778" s="23"/>
      <c r="I778" s="24"/>
      <c r="J778" s="24"/>
      <c r="K778" s="15"/>
      <c r="L778" s="15"/>
      <c r="M778" s="15"/>
      <c r="N778" s="24"/>
      <c r="O778" s="24"/>
      <c r="P778" s="15"/>
      <c r="Q778" s="23"/>
      <c r="R778" s="23"/>
      <c r="S778" s="24"/>
      <c r="T778" s="24"/>
      <c r="U778" s="15"/>
      <c r="V778" s="15"/>
      <c r="W778" s="15"/>
      <c r="X778" s="15"/>
      <c r="Y778" s="15"/>
      <c r="Z778" s="2"/>
      <c r="AA778" s="2"/>
      <c r="AB778" s="2"/>
    </row>
    <row r="779" spans="1:28" ht="12.75">
      <c r="A779" s="15"/>
      <c r="B779" s="16"/>
      <c r="C779" s="23"/>
      <c r="D779" s="23"/>
      <c r="E779" s="47"/>
      <c r="F779" s="15"/>
      <c r="G779" s="23"/>
      <c r="H779" s="23"/>
      <c r="I779" s="24"/>
      <c r="J779" s="24"/>
      <c r="K779" s="15"/>
      <c r="L779" s="15"/>
      <c r="M779" s="15"/>
      <c r="N779" s="24"/>
      <c r="O779" s="24"/>
      <c r="P779" s="15"/>
      <c r="Q779" s="23"/>
      <c r="R779" s="23"/>
      <c r="S779" s="24"/>
      <c r="T779" s="24"/>
      <c r="U779" s="15"/>
      <c r="V779" s="15"/>
      <c r="W779" s="15"/>
      <c r="X779" s="15"/>
      <c r="Y779" s="15"/>
      <c r="Z779" s="2"/>
      <c r="AA779" s="2"/>
      <c r="AB779" s="20"/>
    </row>
    <row r="780" spans="1:28" ht="12.75">
      <c r="A780" s="15"/>
      <c r="B780" s="16"/>
      <c r="C780" s="23"/>
      <c r="D780" s="23"/>
      <c r="E780" s="47"/>
      <c r="F780" s="15"/>
      <c r="G780" s="23"/>
      <c r="H780" s="23"/>
      <c r="I780" s="24"/>
      <c r="J780" s="24"/>
      <c r="K780" s="15"/>
      <c r="L780" s="15"/>
      <c r="M780" s="15"/>
      <c r="N780" s="24"/>
      <c r="O780" s="24"/>
      <c r="P780" s="15"/>
      <c r="Q780" s="23"/>
      <c r="R780" s="23"/>
      <c r="S780" s="24"/>
      <c r="T780" s="24"/>
      <c r="U780" s="15"/>
      <c r="V780" s="15"/>
      <c r="W780" s="15"/>
      <c r="X780" s="15"/>
      <c r="Y780" s="15"/>
      <c r="Z780" s="2"/>
      <c r="AA780" s="2"/>
      <c r="AB780" s="2"/>
    </row>
    <row r="781" spans="1:28" ht="12.75">
      <c r="A781" s="15"/>
      <c r="B781" s="16"/>
      <c r="C781" s="23"/>
      <c r="D781" s="23"/>
      <c r="E781" s="47"/>
      <c r="F781" s="15"/>
      <c r="G781" s="23"/>
      <c r="H781" s="23"/>
      <c r="I781" s="24"/>
      <c r="J781" s="24"/>
      <c r="K781" s="15"/>
      <c r="L781" s="15"/>
      <c r="M781" s="15"/>
      <c r="N781" s="24"/>
      <c r="O781" s="24"/>
      <c r="P781" s="15"/>
      <c r="Q781" s="23"/>
      <c r="R781" s="23"/>
      <c r="S781" s="24"/>
      <c r="T781" s="24"/>
      <c r="U781" s="23"/>
      <c r="V781" s="15"/>
      <c r="W781" s="15"/>
      <c r="X781" s="15"/>
      <c r="Y781" s="15"/>
      <c r="Z781" s="2"/>
      <c r="AA781" s="2"/>
      <c r="AB781" s="2"/>
    </row>
    <row r="782" spans="1:28" ht="12.75">
      <c r="A782" s="15"/>
      <c r="B782" s="16"/>
      <c r="C782" s="23"/>
      <c r="D782" s="23"/>
      <c r="E782" s="47"/>
      <c r="F782" s="15"/>
      <c r="G782" s="23"/>
      <c r="H782" s="23"/>
      <c r="I782" s="24"/>
      <c r="J782" s="24"/>
      <c r="K782" s="15"/>
      <c r="L782" s="15"/>
      <c r="M782" s="15"/>
      <c r="N782" s="24"/>
      <c r="O782" s="24"/>
      <c r="P782" s="15"/>
      <c r="Q782" s="23"/>
      <c r="R782" s="23"/>
      <c r="S782" s="24"/>
      <c r="T782" s="24"/>
      <c r="U782" s="23"/>
      <c r="V782" s="15"/>
      <c r="W782" s="15"/>
      <c r="X782" s="15"/>
      <c r="Y782" s="15"/>
      <c r="Z782" s="2"/>
      <c r="AA782" s="2"/>
      <c r="AB782" s="2"/>
    </row>
    <row r="783" spans="1:28" ht="12.75">
      <c r="A783" s="15"/>
      <c r="B783" s="16"/>
      <c r="C783" s="23"/>
      <c r="D783" s="23"/>
      <c r="E783" s="47"/>
      <c r="F783" s="15"/>
      <c r="G783" s="23"/>
      <c r="H783" s="23"/>
      <c r="I783" s="24"/>
      <c r="J783" s="24"/>
      <c r="K783" s="15"/>
      <c r="L783" s="15"/>
      <c r="M783" s="15"/>
      <c r="N783" s="24"/>
      <c r="O783" s="24"/>
      <c r="P783" s="15"/>
      <c r="Q783" s="23"/>
      <c r="R783" s="23"/>
      <c r="S783" s="24"/>
      <c r="T783" s="24"/>
      <c r="U783" s="23"/>
      <c r="V783" s="15"/>
      <c r="W783" s="15"/>
      <c r="X783" s="15"/>
      <c r="Y783" s="15"/>
      <c r="Z783" s="2"/>
      <c r="AA783" s="2"/>
      <c r="AB783" s="2"/>
    </row>
    <row r="784" spans="1:28" ht="12.75">
      <c r="A784" s="15"/>
      <c r="B784" s="16"/>
      <c r="C784" s="23"/>
      <c r="D784" s="23"/>
      <c r="E784" s="47"/>
      <c r="F784" s="15"/>
      <c r="G784" s="23"/>
      <c r="H784" s="23"/>
      <c r="I784" s="24"/>
      <c r="J784" s="24"/>
      <c r="K784" s="15"/>
      <c r="L784" s="15"/>
      <c r="M784" s="15"/>
      <c r="N784" s="24"/>
      <c r="O784" s="24"/>
      <c r="P784" s="15"/>
      <c r="Q784" s="23"/>
      <c r="R784" s="23"/>
      <c r="S784" s="24"/>
      <c r="T784" s="24"/>
      <c r="U784" s="23"/>
      <c r="V784" s="15"/>
      <c r="W784" s="15"/>
      <c r="X784" s="15"/>
      <c r="Y784" s="15"/>
      <c r="Z784" s="2"/>
      <c r="AA784" s="2"/>
      <c r="AB784" s="2"/>
    </row>
    <row r="785" spans="1:25" ht="12.75">
      <c r="A785" s="15"/>
      <c r="B785" s="16"/>
      <c r="C785" s="23"/>
      <c r="D785" s="23"/>
      <c r="E785" s="47"/>
      <c r="F785" s="15"/>
      <c r="G785" s="23"/>
      <c r="H785" s="23"/>
      <c r="I785" s="24"/>
      <c r="J785" s="24"/>
      <c r="K785" s="15"/>
      <c r="L785" s="15"/>
      <c r="M785" s="15"/>
      <c r="N785" s="24"/>
      <c r="O785" s="24"/>
      <c r="P785" s="15"/>
      <c r="Q785" s="23"/>
      <c r="R785" s="23"/>
      <c r="S785" s="24"/>
      <c r="T785" s="24"/>
      <c r="U785" s="23"/>
      <c r="V785" s="15"/>
      <c r="W785" s="15"/>
      <c r="X785" s="15"/>
      <c r="Y785" s="15"/>
    </row>
    <row r="786" spans="1:25" ht="12.75">
      <c r="A786" s="15"/>
      <c r="B786" s="16"/>
      <c r="C786" s="23"/>
      <c r="D786" s="23"/>
      <c r="E786" s="47"/>
      <c r="F786" s="15"/>
      <c r="G786" s="23"/>
      <c r="H786" s="23"/>
      <c r="I786" s="24"/>
      <c r="J786" s="24"/>
      <c r="K786" s="15"/>
      <c r="L786" s="15"/>
      <c r="M786" s="15"/>
      <c r="N786" s="24"/>
      <c r="O786" s="24"/>
      <c r="P786" s="15"/>
      <c r="Q786" s="23"/>
      <c r="R786" s="23"/>
      <c r="S786" s="24"/>
      <c r="T786" s="24"/>
      <c r="U786" s="15"/>
      <c r="V786" s="15"/>
      <c r="W786" s="15"/>
      <c r="X786" s="15"/>
      <c r="Y786" s="15"/>
    </row>
    <row r="787" spans="1:25" ht="12.75">
      <c r="A787" s="15"/>
      <c r="B787" s="16"/>
      <c r="C787" s="23"/>
      <c r="D787" s="23"/>
      <c r="E787" s="47"/>
      <c r="F787" s="15"/>
      <c r="G787" s="23"/>
      <c r="H787" s="23"/>
      <c r="I787" s="24"/>
      <c r="J787" s="24"/>
      <c r="K787" s="15"/>
      <c r="L787" s="15"/>
      <c r="M787" s="15"/>
      <c r="N787" s="24"/>
      <c r="O787" s="24"/>
      <c r="P787" s="15"/>
      <c r="Q787" s="23"/>
      <c r="R787" s="23"/>
      <c r="S787" s="24"/>
      <c r="T787" s="24"/>
      <c r="U787" s="15"/>
      <c r="V787" s="15"/>
      <c r="W787" s="15"/>
      <c r="X787" s="15"/>
      <c r="Y787" s="15"/>
    </row>
    <row r="788" spans="1:25" ht="12.75">
      <c r="A788" s="15"/>
      <c r="B788" s="16"/>
      <c r="C788" s="23"/>
      <c r="D788" s="23"/>
      <c r="E788" s="47"/>
      <c r="F788" s="15"/>
      <c r="G788" s="23"/>
      <c r="H788" s="23"/>
      <c r="I788" s="24"/>
      <c r="J788" s="24"/>
      <c r="K788" s="15"/>
      <c r="L788" s="15"/>
      <c r="M788" s="15"/>
      <c r="N788" s="24"/>
      <c r="O788" s="24"/>
      <c r="P788" s="15"/>
      <c r="Q788" s="23"/>
      <c r="R788" s="23"/>
      <c r="S788" s="24"/>
      <c r="T788" s="24"/>
      <c r="U788" s="15"/>
      <c r="V788" s="15"/>
      <c r="W788" s="15"/>
      <c r="X788" s="15"/>
      <c r="Y788" s="15"/>
    </row>
    <row r="789" spans="1:25" ht="12.75">
      <c r="A789" s="15"/>
      <c r="B789" s="16"/>
      <c r="C789" s="23"/>
      <c r="D789" s="23"/>
      <c r="E789" s="47"/>
      <c r="F789" s="15"/>
      <c r="G789" s="23"/>
      <c r="H789" s="23"/>
      <c r="I789" s="24"/>
      <c r="J789" s="24"/>
      <c r="K789" s="15"/>
      <c r="L789" s="15"/>
      <c r="M789" s="15"/>
      <c r="N789" s="24"/>
      <c r="O789" s="24"/>
      <c r="P789" s="15"/>
      <c r="Q789" s="23"/>
      <c r="R789" s="23"/>
      <c r="S789" s="24"/>
      <c r="T789" s="24"/>
      <c r="U789" s="23"/>
      <c r="V789" s="15"/>
      <c r="W789" s="15"/>
      <c r="X789" s="15"/>
      <c r="Y789" s="15"/>
    </row>
    <row r="790" spans="1:25" ht="12.75">
      <c r="A790" s="15"/>
      <c r="B790" s="16"/>
      <c r="C790" s="23"/>
      <c r="D790" s="23"/>
      <c r="E790" s="47"/>
      <c r="F790" s="15"/>
      <c r="G790" s="23"/>
      <c r="H790" s="23"/>
      <c r="I790" s="24"/>
      <c r="J790" s="24"/>
      <c r="K790" s="15"/>
      <c r="L790" s="15"/>
      <c r="M790" s="15"/>
      <c r="N790" s="24"/>
      <c r="O790" s="24"/>
      <c r="P790" s="15"/>
      <c r="Q790" s="23"/>
      <c r="R790" s="23"/>
      <c r="S790" s="24"/>
      <c r="T790" s="24"/>
      <c r="U790" s="15"/>
      <c r="V790" s="15"/>
      <c r="W790" s="15"/>
      <c r="X790" s="15"/>
      <c r="Y790" s="15"/>
    </row>
    <row r="791" spans="1:25" ht="12.75">
      <c r="A791" s="15"/>
      <c r="B791" s="16"/>
      <c r="C791" s="23"/>
      <c r="D791" s="23"/>
      <c r="E791" s="47"/>
      <c r="F791" s="15"/>
      <c r="G791" s="23"/>
      <c r="H791" s="23"/>
      <c r="I791" s="24"/>
      <c r="J791" s="24"/>
      <c r="K791" s="15"/>
      <c r="L791" s="15"/>
      <c r="M791" s="15"/>
      <c r="N791" s="24"/>
      <c r="O791" s="24"/>
      <c r="P791" s="15"/>
      <c r="Q791" s="23"/>
      <c r="R791" s="23"/>
      <c r="S791" s="24"/>
      <c r="T791" s="24"/>
      <c r="U791" s="15"/>
      <c r="V791" s="15"/>
      <c r="W791" s="15"/>
      <c r="X791" s="15"/>
      <c r="Y791" s="15"/>
    </row>
    <row r="792" spans="1:25" ht="12.75">
      <c r="A792" s="15"/>
      <c r="B792" s="16"/>
      <c r="C792" s="23"/>
      <c r="D792" s="23"/>
      <c r="E792" s="47"/>
      <c r="F792" s="15"/>
      <c r="G792" s="23"/>
      <c r="H792" s="23"/>
      <c r="I792" s="24"/>
      <c r="J792" s="24"/>
      <c r="K792" s="15"/>
      <c r="L792" s="15"/>
      <c r="M792" s="15"/>
      <c r="N792" s="24"/>
      <c r="O792" s="24"/>
      <c r="P792" s="15"/>
      <c r="Q792" s="23"/>
      <c r="R792" s="23"/>
      <c r="S792" s="24"/>
      <c r="T792" s="24"/>
      <c r="U792" s="15"/>
      <c r="V792" s="15"/>
      <c r="W792" s="15"/>
      <c r="X792" s="15"/>
      <c r="Y792" s="15"/>
    </row>
    <row r="793" spans="1:25" ht="12.75">
      <c r="A793" s="15"/>
      <c r="B793" s="16"/>
      <c r="C793" s="23"/>
      <c r="D793" s="23"/>
      <c r="E793" s="47"/>
      <c r="F793" s="15"/>
      <c r="G793" s="23"/>
      <c r="H793" s="23"/>
      <c r="I793" s="24"/>
      <c r="J793" s="24"/>
      <c r="K793" s="15"/>
      <c r="L793" s="15"/>
      <c r="M793" s="15"/>
      <c r="N793" s="24"/>
      <c r="O793" s="24"/>
      <c r="P793" s="15"/>
      <c r="Q793" s="23"/>
      <c r="R793" s="23"/>
      <c r="S793" s="24"/>
      <c r="T793" s="24"/>
      <c r="U793" s="15"/>
      <c r="V793" s="15"/>
      <c r="W793" s="15"/>
      <c r="X793" s="15"/>
      <c r="Y793" s="15"/>
    </row>
    <row r="794" spans="1:25" ht="12.75">
      <c r="A794" s="15"/>
      <c r="B794" s="16"/>
      <c r="C794" s="23"/>
      <c r="D794" s="23"/>
      <c r="E794" s="47"/>
      <c r="F794" s="15"/>
      <c r="G794" s="23"/>
      <c r="H794" s="23"/>
      <c r="I794" s="24"/>
      <c r="J794" s="24"/>
      <c r="K794" s="15"/>
      <c r="L794" s="15"/>
      <c r="M794" s="15"/>
      <c r="N794" s="24"/>
      <c r="O794" s="24"/>
      <c r="P794" s="15"/>
      <c r="Q794" s="23"/>
      <c r="R794" s="23"/>
      <c r="S794" s="24"/>
      <c r="T794" s="24"/>
      <c r="U794" s="15"/>
      <c r="V794" s="15"/>
      <c r="W794" s="15"/>
      <c r="X794" s="15"/>
      <c r="Y794" s="15"/>
    </row>
    <row r="795" spans="1:25" ht="12.75">
      <c r="A795" s="15"/>
      <c r="B795" s="16"/>
      <c r="C795" s="23"/>
      <c r="D795" s="23"/>
      <c r="E795" s="47"/>
      <c r="F795" s="15"/>
      <c r="G795" s="23"/>
      <c r="H795" s="23"/>
      <c r="I795" s="24"/>
      <c r="J795" s="24"/>
      <c r="K795" s="15"/>
      <c r="L795" s="15"/>
      <c r="M795" s="15"/>
      <c r="N795" s="24"/>
      <c r="O795" s="24"/>
      <c r="P795" s="15"/>
      <c r="Q795" s="23"/>
      <c r="R795" s="23"/>
      <c r="S795" s="24"/>
      <c r="T795" s="24"/>
      <c r="U795" s="15"/>
      <c r="V795" s="15"/>
      <c r="W795" s="15"/>
      <c r="X795" s="15"/>
      <c r="Y795" s="15"/>
    </row>
    <row r="796" spans="1:25" ht="12.75">
      <c r="A796" s="15"/>
      <c r="B796" s="16"/>
      <c r="C796" s="23"/>
      <c r="D796" s="23"/>
      <c r="E796" s="47"/>
      <c r="F796" s="15"/>
      <c r="G796" s="23"/>
      <c r="H796" s="23"/>
      <c r="I796" s="24"/>
      <c r="J796" s="24"/>
      <c r="K796" s="15"/>
      <c r="L796" s="15"/>
      <c r="M796" s="15"/>
      <c r="N796" s="24"/>
      <c r="O796" s="24"/>
      <c r="P796" s="15"/>
      <c r="Q796" s="23"/>
      <c r="R796" s="23"/>
      <c r="S796" s="24"/>
      <c r="T796" s="24"/>
      <c r="U796" s="15"/>
      <c r="V796" s="15"/>
      <c r="W796" s="15"/>
      <c r="X796" s="15"/>
      <c r="Y796" s="15"/>
    </row>
    <row r="797" spans="1:25" ht="12.75">
      <c r="A797" s="15"/>
      <c r="B797" s="16"/>
      <c r="C797" s="23"/>
      <c r="D797" s="23"/>
      <c r="E797" s="47"/>
      <c r="F797" s="15"/>
      <c r="G797" s="23"/>
      <c r="H797" s="23"/>
      <c r="I797" s="24"/>
      <c r="J797" s="24"/>
      <c r="K797" s="15"/>
      <c r="L797" s="15"/>
      <c r="M797" s="15"/>
      <c r="N797" s="24"/>
      <c r="O797" s="24"/>
      <c r="P797" s="15"/>
      <c r="Q797" s="23"/>
      <c r="R797" s="23"/>
      <c r="S797" s="24"/>
      <c r="T797" s="24"/>
      <c r="U797" s="15"/>
      <c r="V797" s="15"/>
      <c r="W797" s="15"/>
      <c r="X797" s="15"/>
      <c r="Y797" s="15"/>
    </row>
    <row r="798" spans="1:25" ht="12.75">
      <c r="A798" s="15"/>
      <c r="B798" s="16"/>
      <c r="C798" s="23"/>
      <c r="D798" s="23"/>
      <c r="E798" s="47"/>
      <c r="F798" s="15"/>
      <c r="G798" s="23"/>
      <c r="H798" s="23"/>
      <c r="I798" s="24"/>
      <c r="J798" s="24"/>
      <c r="K798" s="15"/>
      <c r="L798" s="15"/>
      <c r="M798" s="15"/>
      <c r="N798" s="24"/>
      <c r="O798" s="24"/>
      <c r="P798" s="15"/>
      <c r="Q798" s="23"/>
      <c r="R798" s="23"/>
      <c r="S798" s="24"/>
      <c r="T798" s="24"/>
      <c r="U798" s="15"/>
      <c r="V798" s="15"/>
      <c r="W798" s="15"/>
      <c r="X798" s="15"/>
      <c r="Y798" s="15"/>
    </row>
    <row r="799" spans="1:25" ht="12.75">
      <c r="A799" s="15"/>
      <c r="B799" s="16"/>
      <c r="C799" s="23"/>
      <c r="D799" s="23"/>
      <c r="E799" s="47"/>
      <c r="F799" s="15"/>
      <c r="G799" s="23"/>
      <c r="H799" s="23"/>
      <c r="I799" s="24"/>
      <c r="J799" s="24"/>
      <c r="K799" s="15"/>
      <c r="L799" s="15"/>
      <c r="M799" s="15"/>
      <c r="N799" s="24"/>
      <c r="O799" s="24"/>
      <c r="P799" s="15"/>
      <c r="Q799" s="23"/>
      <c r="R799" s="23"/>
      <c r="S799" s="24"/>
      <c r="T799" s="24"/>
      <c r="U799" s="15"/>
      <c r="V799" s="15"/>
      <c r="W799" s="15"/>
      <c r="X799" s="15"/>
      <c r="Y799" s="15"/>
    </row>
    <row r="800" spans="1:25" ht="12.75">
      <c r="A800" s="15"/>
      <c r="B800" s="16"/>
      <c r="C800" s="23"/>
      <c r="D800" s="23"/>
      <c r="E800" s="47"/>
      <c r="F800" s="15"/>
      <c r="G800" s="23"/>
      <c r="H800" s="23"/>
      <c r="I800" s="24"/>
      <c r="J800" s="24"/>
      <c r="K800" s="15"/>
      <c r="L800" s="15"/>
      <c r="M800" s="15"/>
      <c r="N800" s="24"/>
      <c r="O800" s="24"/>
      <c r="P800" s="15"/>
      <c r="Q800" s="23"/>
      <c r="R800" s="23"/>
      <c r="S800" s="24"/>
      <c r="T800" s="24"/>
      <c r="U800" s="15"/>
      <c r="V800" s="23"/>
      <c r="W800" s="15"/>
      <c r="X800" s="23"/>
      <c r="Y800" s="15"/>
    </row>
    <row r="801" spans="1:37" ht="12.75">
      <c r="A801" s="15"/>
      <c r="B801" s="16"/>
      <c r="C801" s="23"/>
      <c r="D801" s="23"/>
      <c r="E801" s="47"/>
      <c r="F801" s="15"/>
      <c r="G801" s="23"/>
      <c r="H801" s="23"/>
      <c r="I801" s="24"/>
      <c r="J801" s="24"/>
      <c r="K801" s="15"/>
      <c r="L801" s="15"/>
      <c r="M801" s="15"/>
      <c r="N801" s="24"/>
      <c r="O801" s="24"/>
      <c r="P801" s="15"/>
      <c r="Q801" s="23"/>
      <c r="R801" s="23"/>
      <c r="S801" s="24"/>
      <c r="T801" s="24"/>
      <c r="U801" s="15"/>
      <c r="V801" s="15"/>
      <c r="W801" s="15"/>
      <c r="X801" s="15"/>
      <c r="Y801" s="15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12.75">
      <c r="A802" s="15"/>
      <c r="B802" s="16"/>
      <c r="C802" s="23"/>
      <c r="D802" s="23"/>
      <c r="E802" s="47"/>
      <c r="F802" s="15"/>
      <c r="G802" s="23"/>
      <c r="H802" s="23"/>
      <c r="I802" s="24"/>
      <c r="J802" s="24"/>
      <c r="K802" s="15"/>
      <c r="L802" s="15"/>
      <c r="M802" s="15"/>
      <c r="N802" s="24"/>
      <c r="O802" s="24"/>
      <c r="P802" s="15"/>
      <c r="Q802" s="23"/>
      <c r="R802" s="23"/>
      <c r="S802" s="24"/>
      <c r="T802" s="24"/>
      <c r="U802" s="15"/>
      <c r="V802" s="15"/>
      <c r="W802" s="15"/>
      <c r="X802" s="15"/>
      <c r="Y802" s="15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12.75">
      <c r="A803" s="15"/>
      <c r="B803" s="16"/>
      <c r="C803" s="23"/>
      <c r="D803" s="23"/>
      <c r="E803" s="47"/>
      <c r="F803" s="15"/>
      <c r="G803" s="23"/>
      <c r="H803" s="23"/>
      <c r="I803" s="24"/>
      <c r="J803" s="24"/>
      <c r="K803" s="15"/>
      <c r="L803" s="15"/>
      <c r="M803" s="15"/>
      <c r="N803" s="24"/>
      <c r="O803" s="24"/>
      <c r="P803" s="15"/>
      <c r="Q803" s="23"/>
      <c r="R803" s="23"/>
      <c r="S803" s="24"/>
      <c r="T803" s="24"/>
      <c r="U803" s="15"/>
      <c r="V803" s="23"/>
      <c r="W803" s="15"/>
      <c r="X803" s="23"/>
      <c r="Y803" s="15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12.75">
      <c r="A804" s="15"/>
      <c r="B804" s="16"/>
      <c r="C804" s="23"/>
      <c r="D804" s="15"/>
      <c r="E804" s="47"/>
      <c r="F804" s="15"/>
      <c r="G804" s="23"/>
      <c r="H804" s="23"/>
      <c r="I804" s="24"/>
      <c r="J804" s="24"/>
      <c r="K804" s="15"/>
      <c r="L804" s="15"/>
      <c r="M804" s="15"/>
      <c r="N804" s="24"/>
      <c r="O804" s="24"/>
      <c r="P804" s="15"/>
      <c r="Q804" s="23"/>
      <c r="R804" s="23"/>
      <c r="S804" s="24"/>
      <c r="T804" s="24"/>
      <c r="U804" s="15"/>
      <c r="V804" s="23"/>
      <c r="W804" s="15"/>
      <c r="X804" s="23"/>
      <c r="Y804" s="15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12.75">
      <c r="A805" s="15"/>
      <c r="B805" s="16"/>
      <c r="C805" s="23"/>
      <c r="D805" s="23"/>
      <c r="E805" s="47"/>
      <c r="F805" s="15"/>
      <c r="G805" s="23"/>
      <c r="H805" s="23"/>
      <c r="I805" s="24"/>
      <c r="J805" s="24"/>
      <c r="K805" s="15"/>
      <c r="L805" s="15"/>
      <c r="M805" s="15"/>
      <c r="N805" s="24"/>
      <c r="O805" s="24"/>
      <c r="P805" s="15"/>
      <c r="Q805" s="23"/>
      <c r="R805" s="23"/>
      <c r="S805" s="24"/>
      <c r="T805" s="24"/>
      <c r="U805" s="15"/>
      <c r="V805" s="23"/>
      <c r="W805" s="15"/>
      <c r="X805" s="23"/>
      <c r="Y805" s="15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12.75">
      <c r="A806" s="15"/>
      <c r="B806" s="16"/>
      <c r="C806" s="23"/>
      <c r="D806" s="23"/>
      <c r="E806" s="47"/>
      <c r="F806" s="15"/>
      <c r="G806" s="23"/>
      <c r="H806" s="23"/>
      <c r="I806" s="24"/>
      <c r="J806" s="24"/>
      <c r="K806" s="15"/>
      <c r="L806" s="15"/>
      <c r="M806" s="15"/>
      <c r="N806" s="24"/>
      <c r="O806" s="24"/>
      <c r="P806" s="15"/>
      <c r="Q806" s="23"/>
      <c r="R806" s="23"/>
      <c r="S806" s="24"/>
      <c r="T806" s="24"/>
      <c r="U806" s="15"/>
      <c r="V806" s="23"/>
      <c r="W806" s="15"/>
      <c r="X806" s="23"/>
      <c r="Y806" s="15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12.75">
      <c r="A807" s="15"/>
      <c r="B807" s="16"/>
      <c r="C807" s="23"/>
      <c r="D807" s="23"/>
      <c r="E807" s="47"/>
      <c r="F807" s="15"/>
      <c r="G807" s="23"/>
      <c r="H807" s="23"/>
      <c r="I807" s="24"/>
      <c r="J807" s="24"/>
      <c r="K807" s="15"/>
      <c r="L807" s="15"/>
      <c r="M807" s="15"/>
      <c r="N807" s="24"/>
      <c r="O807" s="24"/>
      <c r="P807" s="15"/>
      <c r="Q807" s="23"/>
      <c r="R807" s="23"/>
      <c r="S807" s="24"/>
      <c r="T807" s="24"/>
      <c r="U807" s="15"/>
      <c r="V807" s="15"/>
      <c r="W807" s="15"/>
      <c r="X807" s="15"/>
      <c r="Y807" s="15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12.75">
      <c r="A808" s="15"/>
      <c r="B808" s="16"/>
      <c r="C808" s="23"/>
      <c r="D808" s="23"/>
      <c r="E808" s="47"/>
      <c r="F808" s="15"/>
      <c r="G808" s="23"/>
      <c r="H808" s="23"/>
      <c r="I808" s="24"/>
      <c r="J808" s="24"/>
      <c r="K808" s="15"/>
      <c r="L808" s="15"/>
      <c r="M808" s="15"/>
      <c r="N808" s="24"/>
      <c r="O808" s="24"/>
      <c r="P808" s="15"/>
      <c r="Q808" s="23"/>
      <c r="R808" s="23"/>
      <c r="S808" s="24"/>
      <c r="T808" s="24"/>
      <c r="U808" s="15"/>
      <c r="V808" s="15"/>
      <c r="W808" s="15"/>
      <c r="X808" s="15"/>
      <c r="Y808" s="15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12.75">
      <c r="A809" s="15"/>
      <c r="B809" s="16"/>
      <c r="C809" s="23"/>
      <c r="D809" s="23"/>
      <c r="E809" s="47"/>
      <c r="F809" s="15"/>
      <c r="G809" s="23"/>
      <c r="H809" s="23"/>
      <c r="I809" s="24"/>
      <c r="J809" s="24"/>
      <c r="K809" s="23"/>
      <c r="L809" s="23"/>
      <c r="M809" s="23"/>
      <c r="N809" s="24"/>
      <c r="O809" s="24"/>
      <c r="P809" s="15"/>
      <c r="Q809" s="15"/>
      <c r="R809" s="15"/>
      <c r="S809" s="24"/>
      <c r="T809" s="24"/>
      <c r="U809" s="15"/>
      <c r="V809" s="15"/>
      <c r="W809" s="15"/>
      <c r="X809" s="15"/>
      <c r="Y809" s="15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12.75">
      <c r="A810" s="15"/>
      <c r="B810" s="16"/>
      <c r="C810" s="23"/>
      <c r="D810" s="23"/>
      <c r="E810" s="47"/>
      <c r="F810" s="15"/>
      <c r="G810" s="23"/>
      <c r="H810" s="23"/>
      <c r="I810" s="24"/>
      <c r="J810" s="24"/>
      <c r="K810" s="23"/>
      <c r="L810" s="23"/>
      <c r="M810" s="23"/>
      <c r="N810" s="24"/>
      <c r="O810" s="24"/>
      <c r="P810" s="15"/>
      <c r="Q810" s="15"/>
      <c r="R810" s="15"/>
      <c r="S810" s="24"/>
      <c r="T810" s="24"/>
      <c r="U810" s="15"/>
      <c r="V810" s="15"/>
      <c r="W810" s="15"/>
      <c r="X810" s="15"/>
      <c r="Y810" s="15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12.75">
      <c r="A811" s="15"/>
      <c r="B811" s="16"/>
      <c r="C811" s="23"/>
      <c r="D811" s="23"/>
      <c r="E811" s="47"/>
      <c r="F811" s="15"/>
      <c r="G811" s="23"/>
      <c r="H811" s="23"/>
      <c r="I811" s="24"/>
      <c r="J811" s="24"/>
      <c r="K811" s="23"/>
      <c r="L811" s="23"/>
      <c r="M811" s="23"/>
      <c r="N811" s="24"/>
      <c r="O811" s="24"/>
      <c r="P811" s="15"/>
      <c r="Q811" s="15"/>
      <c r="R811" s="15"/>
      <c r="S811" s="24"/>
      <c r="T811" s="24"/>
      <c r="U811" s="15"/>
      <c r="V811" s="15"/>
      <c r="W811" s="15"/>
      <c r="X811" s="15"/>
      <c r="Y811" s="15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12.75">
      <c r="A812" s="15"/>
      <c r="B812" s="16"/>
      <c r="C812" s="23"/>
      <c r="D812" s="23"/>
      <c r="E812" s="47"/>
      <c r="F812" s="15"/>
      <c r="G812" s="23"/>
      <c r="H812" s="23"/>
      <c r="I812" s="24"/>
      <c r="J812" s="24"/>
      <c r="K812" s="23"/>
      <c r="L812" s="23"/>
      <c r="M812" s="23"/>
      <c r="N812" s="24"/>
      <c r="O812" s="24"/>
      <c r="P812" s="15"/>
      <c r="Q812" s="15"/>
      <c r="R812" s="15"/>
      <c r="S812" s="24"/>
      <c r="T812" s="24"/>
      <c r="U812" s="23"/>
      <c r="V812" s="23"/>
      <c r="W812" s="23"/>
      <c r="X812" s="23"/>
      <c r="Y812" s="15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12.75">
      <c r="A813" s="15"/>
      <c r="B813" s="16"/>
      <c r="C813" s="23"/>
      <c r="D813" s="23"/>
      <c r="E813" s="47"/>
      <c r="F813" s="15"/>
      <c r="G813" s="23"/>
      <c r="H813" s="23"/>
      <c r="I813" s="24"/>
      <c r="J813" s="24"/>
      <c r="K813" s="23"/>
      <c r="L813" s="23"/>
      <c r="M813" s="23"/>
      <c r="N813" s="24"/>
      <c r="O813" s="24"/>
      <c r="P813" s="15"/>
      <c r="Q813" s="15"/>
      <c r="R813" s="15"/>
      <c r="S813" s="24"/>
      <c r="T813" s="24"/>
      <c r="U813" s="15"/>
      <c r="V813" s="15"/>
      <c r="W813" s="15"/>
      <c r="X813" s="15"/>
      <c r="Y813" s="15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12.75">
      <c r="A814" s="15"/>
      <c r="B814" s="16"/>
      <c r="C814" s="23"/>
      <c r="D814" s="23"/>
      <c r="E814" s="47"/>
      <c r="F814" s="15"/>
      <c r="G814" s="23"/>
      <c r="H814" s="23"/>
      <c r="I814" s="24"/>
      <c r="J814" s="24"/>
      <c r="K814" s="23"/>
      <c r="L814" s="23"/>
      <c r="M814" s="23"/>
      <c r="N814" s="24"/>
      <c r="O814" s="24"/>
      <c r="P814" s="15"/>
      <c r="Q814" s="15"/>
      <c r="R814" s="15"/>
      <c r="S814" s="24"/>
      <c r="T814" s="24"/>
      <c r="U814" s="15"/>
      <c r="V814" s="15"/>
      <c r="W814" s="15"/>
      <c r="X814" s="15"/>
      <c r="Y814" s="15"/>
      <c r="Z814" s="2"/>
      <c r="AA814" s="2"/>
      <c r="AB814" s="2"/>
      <c r="AC814" s="2"/>
      <c r="AD814" s="114"/>
      <c r="AE814" s="114"/>
      <c r="AF814" s="114"/>
      <c r="AG814" s="114"/>
      <c r="AH814" s="114"/>
      <c r="AI814" s="114"/>
      <c r="AJ814" s="114"/>
      <c r="AK814" s="114"/>
    </row>
    <row r="815" spans="1:37" ht="12.75">
      <c r="A815" s="15"/>
      <c r="B815" s="16"/>
      <c r="C815" s="23"/>
      <c r="D815" s="23"/>
      <c r="E815" s="47"/>
      <c r="F815" s="15"/>
      <c r="G815" s="23"/>
      <c r="H815" s="23"/>
      <c r="I815" s="24"/>
      <c r="J815" s="24"/>
      <c r="K815" s="23"/>
      <c r="L815" s="23"/>
      <c r="M815" s="23"/>
      <c r="N815" s="24"/>
      <c r="O815" s="24"/>
      <c r="P815" s="15"/>
      <c r="Q815" s="15"/>
      <c r="R815" s="15"/>
      <c r="S815" s="24"/>
      <c r="T815" s="24"/>
      <c r="U815" s="15"/>
      <c r="V815" s="15"/>
      <c r="W815" s="15"/>
      <c r="X815" s="15"/>
      <c r="Y815" s="23"/>
      <c r="Z815" s="2"/>
      <c r="AA815" s="2"/>
      <c r="AB815" s="114"/>
      <c r="AC815" s="114"/>
      <c r="AD815" s="114"/>
      <c r="AE815" s="114"/>
      <c r="AF815" s="114"/>
      <c r="AG815" s="114"/>
      <c r="AH815" s="114"/>
      <c r="AI815" s="114"/>
      <c r="AJ815" s="114"/>
      <c r="AK815" s="114"/>
    </row>
    <row r="816" spans="1:37" ht="12.75">
      <c r="A816" s="15"/>
      <c r="B816" s="16"/>
      <c r="C816" s="23"/>
      <c r="D816" s="23"/>
      <c r="E816" s="47"/>
      <c r="F816" s="15"/>
      <c r="G816" s="23"/>
      <c r="H816" s="23"/>
      <c r="I816" s="24"/>
      <c r="J816" s="24"/>
      <c r="K816" s="23"/>
      <c r="L816" s="23"/>
      <c r="M816" s="23"/>
      <c r="N816" s="24"/>
      <c r="O816" s="24"/>
      <c r="P816" s="15"/>
      <c r="Q816" s="15"/>
      <c r="R816" s="15"/>
      <c r="S816" s="24"/>
      <c r="T816" s="24"/>
      <c r="U816" s="15"/>
      <c r="V816" s="15"/>
      <c r="W816" s="15"/>
      <c r="X816" s="15"/>
      <c r="Y816" s="23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48" ht="12.75">
      <c r="A817" s="15"/>
      <c r="B817" s="16"/>
      <c r="C817" s="23"/>
      <c r="D817" s="23"/>
      <c r="E817" s="47"/>
      <c r="F817" s="15"/>
      <c r="G817" s="23"/>
      <c r="H817" s="23"/>
      <c r="I817" s="24"/>
      <c r="J817" s="24"/>
      <c r="K817" s="23"/>
      <c r="L817" s="23"/>
      <c r="M817" s="23"/>
      <c r="N817" s="24"/>
      <c r="O817" s="24"/>
      <c r="P817" s="15"/>
      <c r="Q817" s="15"/>
      <c r="R817" s="15"/>
      <c r="S817" s="24"/>
      <c r="T817" s="24"/>
      <c r="U817" s="15"/>
      <c r="V817" s="15"/>
      <c r="W817" s="15"/>
      <c r="X817" s="15"/>
      <c r="Y817" s="15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>
      <c r="A818" s="15"/>
      <c r="B818" s="16"/>
      <c r="C818" s="23"/>
      <c r="D818" s="23"/>
      <c r="E818" s="47"/>
      <c r="F818" s="15"/>
      <c r="G818" s="23"/>
      <c r="H818" s="23"/>
      <c r="I818" s="24"/>
      <c r="J818" s="24"/>
      <c r="K818" s="23"/>
      <c r="L818" s="23"/>
      <c r="M818" s="23"/>
      <c r="N818" s="24"/>
      <c r="O818" s="24"/>
      <c r="P818" s="15"/>
      <c r="Q818" s="15"/>
      <c r="R818" s="15"/>
      <c r="S818" s="24"/>
      <c r="T818" s="24"/>
      <c r="U818" s="15"/>
      <c r="V818" s="15"/>
      <c r="W818" s="15"/>
      <c r="X818" s="15"/>
      <c r="Y818" s="15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>
      <c r="A819" s="15"/>
      <c r="B819" s="16"/>
      <c r="C819" s="23"/>
      <c r="D819" s="23"/>
      <c r="E819" s="47"/>
      <c r="F819" s="15"/>
      <c r="G819" s="23"/>
      <c r="H819" s="23"/>
      <c r="I819" s="24"/>
      <c r="J819" s="24"/>
      <c r="K819" s="23"/>
      <c r="L819" s="23"/>
      <c r="M819" s="23"/>
      <c r="N819" s="24"/>
      <c r="O819" s="24"/>
      <c r="P819" s="15"/>
      <c r="Q819" s="15"/>
      <c r="R819" s="15"/>
      <c r="S819" s="24"/>
      <c r="T819" s="24"/>
      <c r="U819" s="15"/>
      <c r="V819" s="15"/>
      <c r="W819" s="15"/>
      <c r="X819" s="15"/>
      <c r="Y819" s="15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>
      <c r="A820" s="15"/>
      <c r="B820" s="16"/>
      <c r="C820" s="23"/>
      <c r="D820" s="23"/>
      <c r="E820" s="47"/>
      <c r="F820" s="15"/>
      <c r="G820" s="23"/>
      <c r="H820" s="23"/>
      <c r="I820" s="24"/>
      <c r="J820" s="24"/>
      <c r="K820" s="23"/>
      <c r="L820" s="23"/>
      <c r="M820" s="23"/>
      <c r="N820" s="24"/>
      <c r="O820" s="24"/>
      <c r="P820" s="15"/>
      <c r="Q820" s="15"/>
      <c r="R820" s="15"/>
      <c r="S820" s="24"/>
      <c r="T820" s="24"/>
      <c r="U820" s="15"/>
      <c r="V820" s="15"/>
      <c r="W820" s="15"/>
      <c r="X820" s="15"/>
      <c r="Y820" s="15"/>
      <c r="Z820" s="2"/>
      <c r="AA820" s="2"/>
      <c r="AB820" s="114"/>
      <c r="AC820" s="8"/>
      <c r="AD820" s="8"/>
      <c r="AE820" s="8"/>
      <c r="AF820" s="8"/>
      <c r="AG820" s="8"/>
      <c r="AH820" s="8"/>
      <c r="AI820" s="8"/>
      <c r="AJ820" s="8"/>
      <c r="AK820" s="8"/>
      <c r="AL820" s="2"/>
      <c r="AM820" s="20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>
      <c r="A821" s="15"/>
      <c r="B821" s="16"/>
      <c r="C821" s="23"/>
      <c r="D821" s="23"/>
      <c r="E821" s="47"/>
      <c r="F821" s="15"/>
      <c r="G821" s="23"/>
      <c r="H821" s="23"/>
      <c r="I821" s="24"/>
      <c r="J821" s="24"/>
      <c r="K821" s="23"/>
      <c r="L821" s="23"/>
      <c r="M821" s="23"/>
      <c r="N821" s="24"/>
      <c r="O821" s="24"/>
      <c r="P821" s="15"/>
      <c r="Q821" s="15"/>
      <c r="R821" s="15"/>
      <c r="S821" s="24"/>
      <c r="T821" s="24"/>
      <c r="U821" s="15"/>
      <c r="V821" s="15"/>
      <c r="W821" s="15"/>
      <c r="X821" s="15"/>
      <c r="Y821" s="15"/>
      <c r="Z821" s="2"/>
      <c r="AA821" s="2"/>
      <c r="AB821" s="114"/>
      <c r="AC821" s="8"/>
      <c r="AD821" s="8"/>
      <c r="AE821" s="8"/>
      <c r="AF821" s="8"/>
      <c r="AG821" s="8"/>
      <c r="AH821" s="8"/>
      <c r="AI821" s="8"/>
      <c r="AJ821" s="8"/>
      <c r="AK821" s="8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5">
      <c r="A822" s="15"/>
      <c r="B822" s="16"/>
      <c r="C822" s="23"/>
      <c r="D822" s="23"/>
      <c r="E822" s="47"/>
      <c r="F822" s="15"/>
      <c r="G822" s="23"/>
      <c r="H822" s="23"/>
      <c r="I822" s="24"/>
      <c r="J822" s="24"/>
      <c r="K822" s="23"/>
      <c r="L822" s="23"/>
      <c r="M822" s="23"/>
      <c r="N822" s="24"/>
      <c r="O822" s="24"/>
      <c r="P822" s="15"/>
      <c r="Q822" s="15"/>
      <c r="R822" s="15"/>
      <c r="S822" s="24"/>
      <c r="T822" s="24"/>
      <c r="U822" s="15"/>
      <c r="V822" s="15"/>
      <c r="W822" s="15"/>
      <c r="X822" s="15"/>
      <c r="Y822" s="15"/>
      <c r="Z822" s="20"/>
      <c r="AA822" s="2"/>
      <c r="AB822" s="114"/>
      <c r="AC822" s="8"/>
      <c r="AD822" s="8"/>
      <c r="AE822" s="8"/>
      <c r="AF822" s="8"/>
      <c r="AG822" s="8"/>
      <c r="AH822" s="8"/>
      <c r="AI822" s="8"/>
      <c r="AJ822" s="8"/>
      <c r="AK822" s="8"/>
      <c r="AL822" s="2"/>
      <c r="AM822" s="2"/>
      <c r="AN822" s="2"/>
      <c r="AO822" s="2"/>
      <c r="AP822" s="2"/>
      <c r="AQ822" s="2"/>
      <c r="AR822" s="2"/>
      <c r="AS822" s="2"/>
      <c r="AT822" s="2"/>
      <c r="AU822" s="115"/>
      <c r="AV822" s="116"/>
    </row>
    <row r="823" spans="1:48" ht="15">
      <c r="A823" s="15"/>
      <c r="B823" s="16"/>
      <c r="C823" s="23"/>
      <c r="D823" s="23"/>
      <c r="E823" s="47"/>
      <c r="F823" s="15"/>
      <c r="G823" s="23"/>
      <c r="H823" s="23"/>
      <c r="I823" s="24"/>
      <c r="J823" s="24"/>
      <c r="K823" s="23"/>
      <c r="L823" s="23"/>
      <c r="M823" s="23"/>
      <c r="N823" s="24"/>
      <c r="O823" s="24"/>
      <c r="P823" s="15"/>
      <c r="Q823" s="15"/>
      <c r="R823" s="15"/>
      <c r="S823" s="24"/>
      <c r="T823" s="24"/>
      <c r="U823" s="15"/>
      <c r="V823" s="15"/>
      <c r="W823" s="15"/>
      <c r="X823" s="15"/>
      <c r="Y823" s="15"/>
      <c r="Z823" s="20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115"/>
      <c r="AV823" s="116"/>
    </row>
    <row r="824" spans="1:48" ht="15">
      <c r="A824" s="15"/>
      <c r="B824" s="16"/>
      <c r="C824" s="23"/>
      <c r="D824" s="23"/>
      <c r="E824" s="47"/>
      <c r="F824" s="15"/>
      <c r="G824" s="23"/>
      <c r="H824" s="23"/>
      <c r="I824" s="24"/>
      <c r="J824" s="24"/>
      <c r="K824" s="23"/>
      <c r="L824" s="23"/>
      <c r="M824" s="23"/>
      <c r="N824" s="24"/>
      <c r="O824" s="24"/>
      <c r="P824" s="15"/>
      <c r="Q824" s="15"/>
      <c r="R824" s="15"/>
      <c r="S824" s="24"/>
      <c r="T824" s="24"/>
      <c r="U824" s="15"/>
      <c r="V824" s="15"/>
      <c r="W824" s="15"/>
      <c r="X824" s="15"/>
      <c r="Y824" s="15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115"/>
      <c r="AV824" s="116"/>
    </row>
    <row r="825" spans="1:48" ht="15">
      <c r="A825" s="15"/>
      <c r="B825" s="16"/>
      <c r="C825" s="23"/>
      <c r="D825" s="23"/>
      <c r="E825" s="47"/>
      <c r="F825" s="15"/>
      <c r="G825" s="23"/>
      <c r="H825" s="23"/>
      <c r="I825" s="24"/>
      <c r="J825" s="24"/>
      <c r="K825" s="23"/>
      <c r="L825" s="23"/>
      <c r="M825" s="23"/>
      <c r="N825" s="24"/>
      <c r="O825" s="24"/>
      <c r="P825" s="15"/>
      <c r="Q825" s="15"/>
      <c r="R825" s="15"/>
      <c r="S825" s="24"/>
      <c r="T825" s="24"/>
      <c r="U825" s="15"/>
      <c r="V825" s="15"/>
      <c r="W825" s="15"/>
      <c r="X825" s="15"/>
      <c r="Y825" s="15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115"/>
      <c r="AV825" s="116"/>
    </row>
    <row r="826" spans="1:48" ht="12.75">
      <c r="A826" s="15"/>
      <c r="B826" s="16"/>
      <c r="C826" s="23"/>
      <c r="D826" s="23"/>
      <c r="E826" s="47"/>
      <c r="F826" s="15"/>
      <c r="G826" s="23"/>
      <c r="H826" s="23"/>
      <c r="I826" s="24"/>
      <c r="J826" s="24"/>
      <c r="K826" s="23"/>
      <c r="L826" s="23"/>
      <c r="M826" s="23"/>
      <c r="N826" s="24"/>
      <c r="O826" s="24"/>
      <c r="P826" s="15"/>
      <c r="Q826" s="15"/>
      <c r="R826" s="15"/>
      <c r="S826" s="24"/>
      <c r="T826" s="24"/>
      <c r="U826" s="15"/>
      <c r="V826" s="15"/>
      <c r="W826" s="15"/>
      <c r="X826" s="15"/>
      <c r="Y826" s="15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>
      <c r="A827" s="15"/>
      <c r="B827" s="16"/>
      <c r="C827" s="23"/>
      <c r="D827" s="23"/>
      <c r="E827" s="47"/>
      <c r="F827" s="15"/>
      <c r="G827" s="23"/>
      <c r="H827" s="23"/>
      <c r="I827" s="24"/>
      <c r="J827" s="24"/>
      <c r="K827" s="23"/>
      <c r="L827" s="23"/>
      <c r="M827" s="23"/>
      <c r="N827" s="24"/>
      <c r="O827" s="24"/>
      <c r="P827" s="15"/>
      <c r="Q827" s="15"/>
      <c r="R827" s="15"/>
      <c r="S827" s="24"/>
      <c r="T827" s="24"/>
      <c r="U827" s="15"/>
      <c r="V827" s="15"/>
      <c r="W827" s="15"/>
      <c r="X827" s="15"/>
      <c r="Y827" s="15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117"/>
      <c r="AV827" s="117"/>
    </row>
    <row r="828" spans="1:48" ht="12.75">
      <c r="A828" s="15"/>
      <c r="B828" s="16"/>
      <c r="C828" s="23"/>
      <c r="D828" s="23"/>
      <c r="E828" s="47"/>
      <c r="F828" s="15"/>
      <c r="G828" s="23"/>
      <c r="H828" s="23"/>
      <c r="I828" s="24"/>
      <c r="J828" s="24"/>
      <c r="K828" s="23"/>
      <c r="L828" s="23"/>
      <c r="M828" s="23"/>
      <c r="N828" s="24"/>
      <c r="O828" s="24"/>
      <c r="P828" s="15"/>
      <c r="Q828" s="15"/>
      <c r="R828" s="15"/>
      <c r="S828" s="24"/>
      <c r="T828" s="24"/>
      <c r="U828" s="15"/>
      <c r="V828" s="15"/>
      <c r="W828" s="15"/>
      <c r="X828" s="15"/>
      <c r="Y828" s="15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117"/>
      <c r="AV828" s="117"/>
    </row>
    <row r="829" spans="1:48" ht="12.75">
      <c r="A829" s="15"/>
      <c r="B829" s="16"/>
      <c r="C829" s="23"/>
      <c r="D829" s="23"/>
      <c r="E829" s="47"/>
      <c r="F829" s="15"/>
      <c r="G829" s="23"/>
      <c r="H829" s="23"/>
      <c r="I829" s="24"/>
      <c r="J829" s="24"/>
      <c r="K829" s="23"/>
      <c r="L829" s="23"/>
      <c r="M829" s="23"/>
      <c r="N829" s="24"/>
      <c r="O829" s="24"/>
      <c r="P829" s="15"/>
      <c r="Q829" s="15"/>
      <c r="R829" s="15"/>
      <c r="S829" s="24"/>
      <c r="T829" s="24"/>
      <c r="U829" s="15"/>
      <c r="V829" s="15"/>
      <c r="W829" s="15"/>
      <c r="X829" s="15"/>
      <c r="Y829" s="15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>
      <c r="A830" s="15"/>
      <c r="B830" s="16"/>
      <c r="C830" s="23"/>
      <c r="D830" s="23"/>
      <c r="E830" s="47"/>
      <c r="F830" s="15"/>
      <c r="G830" s="23"/>
      <c r="H830" s="23"/>
      <c r="I830" s="24"/>
      <c r="J830" s="24"/>
      <c r="K830" s="23"/>
      <c r="L830" s="23"/>
      <c r="M830" s="23"/>
      <c r="N830" s="24"/>
      <c r="O830" s="24"/>
      <c r="P830" s="15"/>
      <c r="Q830" s="15"/>
      <c r="R830" s="15"/>
      <c r="S830" s="24"/>
      <c r="T830" s="24"/>
      <c r="U830" s="15"/>
      <c r="V830" s="15"/>
      <c r="W830" s="15"/>
      <c r="X830" s="15"/>
      <c r="Y830" s="15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>
      <c r="A831" s="15"/>
      <c r="B831" s="16"/>
      <c r="C831" s="23"/>
      <c r="D831" s="23"/>
      <c r="E831" s="47"/>
      <c r="F831" s="15"/>
      <c r="G831" s="23"/>
      <c r="H831" s="23"/>
      <c r="I831" s="24"/>
      <c r="J831" s="24"/>
      <c r="K831" s="23"/>
      <c r="L831" s="23"/>
      <c r="M831" s="23"/>
      <c r="N831" s="24"/>
      <c r="O831" s="24"/>
      <c r="P831" s="15"/>
      <c r="Q831" s="15"/>
      <c r="R831" s="15"/>
      <c r="S831" s="24"/>
      <c r="T831" s="24"/>
      <c r="U831" s="15"/>
      <c r="V831" s="15"/>
      <c r="W831" s="15"/>
      <c r="X831" s="15"/>
      <c r="Y831" s="15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>
      <c r="A832" s="15"/>
      <c r="B832" s="16"/>
      <c r="C832" s="23"/>
      <c r="D832" s="23"/>
      <c r="E832" s="47"/>
      <c r="F832" s="15"/>
      <c r="G832" s="23"/>
      <c r="H832" s="23"/>
      <c r="I832" s="24"/>
      <c r="J832" s="24"/>
      <c r="K832" s="23"/>
      <c r="L832" s="23"/>
      <c r="M832" s="23"/>
      <c r="N832" s="24"/>
      <c r="O832" s="24"/>
      <c r="P832" s="15"/>
      <c r="Q832" s="15"/>
      <c r="R832" s="15"/>
      <c r="S832" s="24"/>
      <c r="T832" s="24"/>
      <c r="U832" s="15"/>
      <c r="V832" s="15"/>
      <c r="W832" s="15"/>
      <c r="X832" s="15"/>
      <c r="Y832" s="15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7" ht="12.75">
      <c r="A833" s="15"/>
      <c r="B833" s="16"/>
      <c r="C833" s="23"/>
      <c r="D833" s="23"/>
      <c r="E833" s="47"/>
      <c r="F833" s="15"/>
      <c r="G833" s="23"/>
      <c r="H833" s="23"/>
      <c r="I833" s="24"/>
      <c r="J833" s="24"/>
      <c r="K833" s="23"/>
      <c r="L833" s="23"/>
      <c r="M833" s="23"/>
      <c r="N833" s="24"/>
      <c r="O833" s="24"/>
      <c r="P833" s="15"/>
      <c r="Q833" s="15"/>
      <c r="R833" s="15"/>
      <c r="S833" s="24"/>
      <c r="T833" s="24"/>
      <c r="U833" s="15"/>
      <c r="V833" s="15"/>
      <c r="W833" s="15"/>
      <c r="X833" s="15"/>
      <c r="Y833" s="15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ht="12.75">
      <c r="A834" s="15"/>
      <c r="B834" s="16"/>
      <c r="C834" s="23"/>
      <c r="D834" s="15"/>
      <c r="E834" s="47"/>
      <c r="F834" s="15"/>
      <c r="G834" s="23"/>
      <c r="H834" s="23"/>
      <c r="I834" s="24"/>
      <c r="J834" s="24"/>
      <c r="K834" s="23"/>
      <c r="L834" s="23"/>
      <c r="M834" s="23"/>
      <c r="N834" s="24"/>
      <c r="O834" s="24"/>
      <c r="P834" s="15"/>
      <c r="Q834" s="15"/>
      <c r="R834" s="15"/>
      <c r="S834" s="24"/>
      <c r="T834" s="24"/>
      <c r="U834" s="15"/>
      <c r="V834" s="15"/>
      <c r="W834" s="15"/>
      <c r="X834" s="15"/>
      <c r="Y834" s="15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ht="12.75">
      <c r="A835" s="15"/>
      <c r="B835" s="16"/>
      <c r="C835" s="23"/>
      <c r="D835" s="23"/>
      <c r="E835" s="47"/>
      <c r="F835" s="15"/>
      <c r="G835" s="23"/>
      <c r="H835" s="23"/>
      <c r="I835" s="24"/>
      <c r="J835" s="24"/>
      <c r="K835" s="23"/>
      <c r="L835" s="23"/>
      <c r="M835" s="23"/>
      <c r="N835" s="24"/>
      <c r="O835" s="24"/>
      <c r="P835" s="15"/>
      <c r="Q835" s="15"/>
      <c r="R835" s="15"/>
      <c r="S835" s="24"/>
      <c r="T835" s="24"/>
      <c r="U835" s="23"/>
      <c r="V835" s="23"/>
      <c r="W835" s="23"/>
      <c r="X835" s="23"/>
      <c r="Y835" s="15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ht="12.75">
      <c r="A836" s="15"/>
      <c r="B836" s="16"/>
      <c r="C836" s="23"/>
      <c r="D836" s="23"/>
      <c r="E836" s="47"/>
      <c r="F836" s="15"/>
      <c r="G836" s="23"/>
      <c r="H836" s="23"/>
      <c r="I836" s="24"/>
      <c r="J836" s="24"/>
      <c r="K836" s="23"/>
      <c r="L836" s="23"/>
      <c r="M836" s="23"/>
      <c r="N836" s="24"/>
      <c r="O836" s="24"/>
      <c r="P836" s="15"/>
      <c r="Q836" s="15"/>
      <c r="R836" s="15"/>
      <c r="S836" s="24"/>
      <c r="T836" s="24"/>
      <c r="U836" s="15"/>
      <c r="V836" s="15"/>
      <c r="W836" s="15"/>
      <c r="X836" s="15"/>
      <c r="Y836" s="15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ht="12.75">
      <c r="A837" s="15"/>
      <c r="B837" s="16"/>
      <c r="C837" s="23"/>
      <c r="D837" s="23"/>
      <c r="E837" s="47"/>
      <c r="F837" s="15"/>
      <c r="G837" s="23"/>
      <c r="H837" s="23"/>
      <c r="I837" s="24"/>
      <c r="J837" s="24"/>
      <c r="K837" s="23"/>
      <c r="L837" s="23"/>
      <c r="M837" s="23"/>
      <c r="N837" s="24"/>
      <c r="O837" s="24"/>
      <c r="P837" s="15"/>
      <c r="Q837" s="15"/>
      <c r="R837" s="15"/>
      <c r="S837" s="24"/>
      <c r="T837" s="24"/>
      <c r="U837" s="15"/>
      <c r="V837" s="15"/>
      <c r="W837" s="15"/>
      <c r="X837" s="15"/>
      <c r="Y837" s="15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ht="12.75">
      <c r="A838" s="15"/>
      <c r="B838" s="16"/>
      <c r="C838" s="23"/>
      <c r="D838" s="23"/>
      <c r="E838" s="47"/>
      <c r="F838" s="15"/>
      <c r="G838" s="23"/>
      <c r="H838" s="23"/>
      <c r="I838" s="24"/>
      <c r="J838" s="24"/>
      <c r="K838" s="23"/>
      <c r="L838" s="23"/>
      <c r="M838" s="23"/>
      <c r="N838" s="24"/>
      <c r="O838" s="24"/>
      <c r="P838" s="15"/>
      <c r="Q838" s="15"/>
      <c r="R838" s="15"/>
      <c r="S838" s="24"/>
      <c r="T838" s="24"/>
      <c r="U838" s="15"/>
      <c r="V838" s="15"/>
      <c r="W838" s="15"/>
      <c r="X838" s="15"/>
      <c r="Y838" s="15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ht="12.75">
      <c r="A839" s="15"/>
      <c r="B839" s="16"/>
      <c r="C839" s="23"/>
      <c r="D839" s="23"/>
      <c r="E839" s="47"/>
      <c r="F839" s="15"/>
      <c r="G839" s="23"/>
      <c r="H839" s="23"/>
      <c r="I839" s="24"/>
      <c r="J839" s="24"/>
      <c r="K839" s="23"/>
      <c r="L839" s="23"/>
      <c r="M839" s="23"/>
      <c r="N839" s="24"/>
      <c r="O839" s="24"/>
      <c r="P839" s="15"/>
      <c r="Q839" s="15"/>
      <c r="R839" s="15"/>
      <c r="S839" s="24"/>
      <c r="T839" s="24"/>
      <c r="U839" s="23"/>
      <c r="V839" s="15"/>
      <c r="W839" s="15"/>
      <c r="X839" s="15"/>
      <c r="Y839" s="15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ht="12.75">
      <c r="A840" s="15"/>
      <c r="B840" s="16"/>
      <c r="C840" s="23"/>
      <c r="D840" s="23"/>
      <c r="E840" s="47"/>
      <c r="F840" s="15"/>
      <c r="G840" s="23"/>
      <c r="H840" s="23"/>
      <c r="I840" s="24"/>
      <c r="J840" s="24"/>
      <c r="K840" s="23"/>
      <c r="L840" s="23"/>
      <c r="M840" s="23"/>
      <c r="N840" s="24"/>
      <c r="O840" s="24"/>
      <c r="P840" s="15"/>
      <c r="Q840" s="15"/>
      <c r="R840" s="15"/>
      <c r="S840" s="24"/>
      <c r="T840" s="24"/>
      <c r="U840" s="15"/>
      <c r="V840" s="15"/>
      <c r="W840" s="15"/>
      <c r="X840" s="15"/>
      <c r="Y840" s="15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ht="12.75">
      <c r="A841" s="15"/>
      <c r="B841" s="16"/>
      <c r="C841" s="23"/>
      <c r="D841" s="23"/>
      <c r="E841" s="47"/>
      <c r="F841" s="15"/>
      <c r="G841" s="23"/>
      <c r="H841" s="23"/>
      <c r="I841" s="24"/>
      <c r="J841" s="24"/>
      <c r="K841" s="23"/>
      <c r="L841" s="23"/>
      <c r="M841" s="23"/>
      <c r="N841" s="24"/>
      <c r="O841" s="24"/>
      <c r="P841" s="15"/>
      <c r="Q841" s="15"/>
      <c r="R841" s="15"/>
      <c r="S841" s="24"/>
      <c r="T841" s="24"/>
      <c r="U841" s="15"/>
      <c r="V841" s="15"/>
      <c r="W841" s="15"/>
      <c r="X841" s="15"/>
      <c r="Y841" s="15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ht="12.75">
      <c r="A842" s="15"/>
      <c r="B842" s="16"/>
      <c r="C842" s="23"/>
      <c r="D842" s="23"/>
      <c r="E842" s="47"/>
      <c r="F842" s="15"/>
      <c r="G842" s="23"/>
      <c r="H842" s="23"/>
      <c r="I842" s="24"/>
      <c r="J842" s="24"/>
      <c r="K842" s="23"/>
      <c r="L842" s="23"/>
      <c r="M842" s="23"/>
      <c r="N842" s="24"/>
      <c r="O842" s="24"/>
      <c r="P842" s="15"/>
      <c r="Q842" s="15"/>
      <c r="R842" s="15"/>
      <c r="S842" s="24"/>
      <c r="T842" s="24"/>
      <c r="U842" s="15"/>
      <c r="V842" s="15"/>
      <c r="W842" s="15"/>
      <c r="X842" s="15"/>
      <c r="Y842" s="15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ht="12.75">
      <c r="A843" s="15"/>
      <c r="B843" s="16"/>
      <c r="C843" s="23"/>
      <c r="D843" s="23"/>
      <c r="E843" s="47"/>
      <c r="F843" s="15"/>
      <c r="G843" s="23"/>
      <c r="H843" s="23"/>
      <c r="I843" s="24"/>
      <c r="J843" s="24"/>
      <c r="K843" s="23"/>
      <c r="L843" s="23"/>
      <c r="M843" s="23"/>
      <c r="N843" s="24"/>
      <c r="O843" s="24"/>
      <c r="P843" s="15"/>
      <c r="Q843" s="15"/>
      <c r="R843" s="15"/>
      <c r="S843" s="24"/>
      <c r="T843" s="24"/>
      <c r="U843" s="15"/>
      <c r="V843" s="15"/>
      <c r="W843" s="15"/>
      <c r="X843" s="15"/>
      <c r="Y843" s="15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ht="12.75">
      <c r="A844" s="15"/>
      <c r="B844" s="16"/>
      <c r="C844" s="23"/>
      <c r="D844" s="23"/>
      <c r="E844" s="47"/>
      <c r="F844" s="15"/>
      <c r="G844" s="23"/>
      <c r="H844" s="23"/>
      <c r="I844" s="24"/>
      <c r="J844" s="24"/>
      <c r="K844" s="23"/>
      <c r="L844" s="23"/>
      <c r="M844" s="23"/>
      <c r="N844" s="24"/>
      <c r="O844" s="24"/>
      <c r="P844" s="15"/>
      <c r="Q844" s="15"/>
      <c r="R844" s="15"/>
      <c r="S844" s="24"/>
      <c r="T844" s="24"/>
      <c r="U844" s="15"/>
      <c r="V844" s="15"/>
      <c r="W844" s="15"/>
      <c r="X844" s="15"/>
      <c r="Y844" s="15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ht="12.75">
      <c r="A845" s="15"/>
      <c r="B845" s="16"/>
      <c r="C845" s="23"/>
      <c r="D845" s="23"/>
      <c r="E845" s="47"/>
      <c r="F845" s="15"/>
      <c r="G845" s="23"/>
      <c r="H845" s="23"/>
      <c r="I845" s="24"/>
      <c r="J845" s="24"/>
      <c r="K845" s="23"/>
      <c r="L845" s="23"/>
      <c r="M845" s="23"/>
      <c r="N845" s="24"/>
      <c r="O845" s="24"/>
      <c r="P845" s="15"/>
      <c r="Q845" s="15"/>
      <c r="R845" s="15"/>
      <c r="S845" s="24"/>
      <c r="T845" s="24"/>
      <c r="U845" s="15"/>
      <c r="V845" s="15"/>
      <c r="W845" s="15"/>
      <c r="X845" s="15"/>
      <c r="Y845" s="15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ht="12.75">
      <c r="A846" s="15"/>
      <c r="B846" s="16"/>
      <c r="C846" s="23"/>
      <c r="D846" s="23"/>
      <c r="E846" s="47"/>
      <c r="F846" s="15"/>
      <c r="G846" s="23"/>
      <c r="H846" s="23"/>
      <c r="I846" s="24"/>
      <c r="J846" s="24"/>
      <c r="K846" s="23"/>
      <c r="L846" s="23"/>
      <c r="M846" s="23"/>
      <c r="N846" s="24"/>
      <c r="O846" s="24"/>
      <c r="P846" s="15"/>
      <c r="Q846" s="15"/>
      <c r="R846" s="15"/>
      <c r="S846" s="24"/>
      <c r="T846" s="24"/>
      <c r="U846" s="15"/>
      <c r="V846" s="15"/>
      <c r="W846" s="15"/>
      <c r="X846" s="15"/>
      <c r="Y846" s="15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ht="12.75">
      <c r="A847" s="15"/>
      <c r="B847" s="16"/>
      <c r="C847" s="23"/>
      <c r="D847" s="23"/>
      <c r="E847" s="47"/>
      <c r="F847" s="15"/>
      <c r="G847" s="23"/>
      <c r="H847" s="23"/>
      <c r="I847" s="24"/>
      <c r="J847" s="24"/>
      <c r="K847" s="23"/>
      <c r="L847" s="23"/>
      <c r="M847" s="23"/>
      <c r="N847" s="24"/>
      <c r="O847" s="24"/>
      <c r="P847" s="15"/>
      <c r="Q847" s="15"/>
      <c r="R847" s="15"/>
      <c r="S847" s="24"/>
      <c r="T847" s="24"/>
      <c r="U847" s="15"/>
      <c r="V847" s="15"/>
      <c r="W847" s="15"/>
      <c r="X847" s="15"/>
      <c r="Y847" s="15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ht="12.75">
      <c r="A848" s="15"/>
      <c r="B848" s="16"/>
      <c r="C848" s="23"/>
      <c r="D848" s="23"/>
      <c r="E848" s="47"/>
      <c r="F848" s="15"/>
      <c r="G848" s="23"/>
      <c r="H848" s="23"/>
      <c r="I848" s="24"/>
      <c r="J848" s="24"/>
      <c r="K848" s="23"/>
      <c r="L848" s="23"/>
      <c r="M848" s="23"/>
      <c r="N848" s="24"/>
      <c r="O848" s="24"/>
      <c r="P848" s="15"/>
      <c r="Q848" s="15"/>
      <c r="R848" s="15"/>
      <c r="S848" s="24"/>
      <c r="T848" s="24"/>
      <c r="U848" s="15"/>
      <c r="V848" s="15"/>
      <c r="W848" s="15"/>
      <c r="X848" s="15"/>
      <c r="Y848" s="15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8" ht="12.75">
      <c r="A849" s="15"/>
      <c r="B849" s="16"/>
      <c r="C849" s="23"/>
      <c r="D849" s="23"/>
      <c r="E849" s="47"/>
      <c r="F849" s="15"/>
      <c r="G849" s="23"/>
      <c r="H849" s="23"/>
      <c r="I849" s="24"/>
      <c r="J849" s="24"/>
      <c r="K849" s="23"/>
      <c r="L849" s="23"/>
      <c r="M849" s="23"/>
      <c r="N849" s="24"/>
      <c r="O849" s="24"/>
      <c r="P849" s="15"/>
      <c r="Q849" s="15"/>
      <c r="R849" s="15"/>
      <c r="S849" s="24"/>
      <c r="T849" s="24"/>
      <c r="U849" s="15"/>
      <c r="V849" s="15"/>
      <c r="W849" s="15"/>
      <c r="X849" s="15"/>
      <c r="Y849" s="15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>
      <c r="A850" s="15"/>
      <c r="B850" s="16"/>
      <c r="C850" s="23"/>
      <c r="D850" s="23"/>
      <c r="E850" s="47"/>
      <c r="F850" s="15"/>
      <c r="G850" s="23"/>
      <c r="H850" s="23"/>
      <c r="I850" s="24"/>
      <c r="J850" s="24"/>
      <c r="K850" s="23"/>
      <c r="L850" s="23"/>
      <c r="M850" s="23"/>
      <c r="N850" s="24"/>
      <c r="O850" s="24"/>
      <c r="P850" s="15"/>
      <c r="Q850" s="15"/>
      <c r="R850" s="15"/>
      <c r="S850" s="24"/>
      <c r="T850" s="24"/>
      <c r="U850" s="15"/>
      <c r="V850" s="15"/>
      <c r="W850" s="15"/>
      <c r="X850" s="15"/>
      <c r="Y850" s="15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>
      <c r="A851" s="15"/>
      <c r="B851" s="16"/>
      <c r="C851" s="23"/>
      <c r="D851" s="23"/>
      <c r="E851" s="47"/>
      <c r="F851" s="15"/>
      <c r="G851" s="23"/>
      <c r="H851" s="23"/>
      <c r="I851" s="24"/>
      <c r="J851" s="24"/>
      <c r="K851" s="23"/>
      <c r="L851" s="23"/>
      <c r="M851" s="23"/>
      <c r="N851" s="24"/>
      <c r="O851" s="24"/>
      <c r="P851" s="15"/>
      <c r="Q851" s="15"/>
      <c r="R851" s="15"/>
      <c r="S851" s="24"/>
      <c r="T851" s="24"/>
      <c r="U851" s="15"/>
      <c r="V851" s="15"/>
      <c r="W851" s="15"/>
      <c r="X851" s="15"/>
      <c r="Y851" s="15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118"/>
      <c r="AV851" s="114"/>
    </row>
    <row r="852" spans="1:48" ht="12.75">
      <c r="A852" s="15"/>
      <c r="B852" s="16"/>
      <c r="C852" s="23"/>
      <c r="D852" s="23"/>
      <c r="E852" s="47"/>
      <c r="F852" s="15"/>
      <c r="G852" s="23"/>
      <c r="H852" s="23"/>
      <c r="I852" s="24"/>
      <c r="J852" s="24"/>
      <c r="K852" s="23"/>
      <c r="L852" s="23"/>
      <c r="M852" s="23"/>
      <c r="N852" s="24"/>
      <c r="O852" s="24"/>
      <c r="P852" s="15"/>
      <c r="Q852" s="15"/>
      <c r="R852" s="15"/>
      <c r="S852" s="24"/>
      <c r="T852" s="24"/>
      <c r="U852" s="15"/>
      <c r="V852" s="15"/>
      <c r="W852" s="15"/>
      <c r="X852" s="15"/>
      <c r="Y852" s="15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114"/>
      <c r="AV852" s="114"/>
    </row>
    <row r="853" spans="1:48" ht="12.75">
      <c r="A853" s="15"/>
      <c r="B853" s="16"/>
      <c r="C853" s="23"/>
      <c r="D853" s="23"/>
      <c r="E853" s="47"/>
      <c r="F853" s="15"/>
      <c r="G853" s="23"/>
      <c r="H853" s="23"/>
      <c r="I853" s="24"/>
      <c r="J853" s="24"/>
      <c r="K853" s="23"/>
      <c r="L853" s="23"/>
      <c r="M853" s="23"/>
      <c r="N853" s="24"/>
      <c r="O853" s="24"/>
      <c r="P853" s="15"/>
      <c r="Q853" s="15"/>
      <c r="R853" s="15"/>
      <c r="S853" s="24"/>
      <c r="T853" s="24"/>
      <c r="U853" s="15"/>
      <c r="V853" s="23"/>
      <c r="W853" s="15"/>
      <c r="X853" s="23"/>
      <c r="Y853" s="15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>
      <c r="A854" s="15"/>
      <c r="B854" s="16"/>
      <c r="C854" s="23"/>
      <c r="D854" s="23"/>
      <c r="E854" s="47"/>
      <c r="F854" s="15"/>
      <c r="G854" s="23"/>
      <c r="H854" s="23"/>
      <c r="I854" s="24"/>
      <c r="J854" s="24"/>
      <c r="K854" s="23"/>
      <c r="L854" s="23"/>
      <c r="M854" s="23"/>
      <c r="N854" s="24"/>
      <c r="O854" s="24"/>
      <c r="P854" s="15"/>
      <c r="Q854" s="15"/>
      <c r="R854" s="15"/>
      <c r="S854" s="24"/>
      <c r="T854" s="24"/>
      <c r="U854" s="15"/>
      <c r="V854" s="23"/>
      <c r="W854" s="15"/>
      <c r="X854" s="23"/>
      <c r="Y854" s="15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>
      <c r="A855" s="15"/>
      <c r="B855" s="16"/>
      <c r="C855" s="23"/>
      <c r="D855" s="23"/>
      <c r="E855" s="47"/>
      <c r="F855" s="15"/>
      <c r="G855" s="23"/>
      <c r="H855" s="23"/>
      <c r="I855" s="24"/>
      <c r="J855" s="24"/>
      <c r="K855" s="23"/>
      <c r="L855" s="23"/>
      <c r="M855" s="23"/>
      <c r="N855" s="24"/>
      <c r="O855" s="24"/>
      <c r="P855" s="15"/>
      <c r="Q855" s="15"/>
      <c r="R855" s="15"/>
      <c r="S855" s="24"/>
      <c r="T855" s="24"/>
      <c r="U855" s="15"/>
      <c r="V855" s="23"/>
      <c r="W855" s="15"/>
      <c r="X855" s="23"/>
      <c r="Y855" s="15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>
      <c r="A856" s="15"/>
      <c r="B856" s="16"/>
      <c r="C856" s="23"/>
      <c r="D856" s="23"/>
      <c r="E856" s="47"/>
      <c r="F856" s="15"/>
      <c r="G856" s="23"/>
      <c r="H856" s="23"/>
      <c r="I856" s="24"/>
      <c r="J856" s="24"/>
      <c r="K856" s="23"/>
      <c r="L856" s="23"/>
      <c r="M856" s="23"/>
      <c r="N856" s="24"/>
      <c r="O856" s="24"/>
      <c r="P856" s="15"/>
      <c r="Q856" s="15"/>
      <c r="R856" s="15"/>
      <c r="S856" s="24"/>
      <c r="T856" s="24"/>
      <c r="U856" s="15"/>
      <c r="V856" s="23"/>
      <c r="W856" s="15"/>
      <c r="X856" s="23"/>
      <c r="Y856" s="15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>
      <c r="A857" s="15"/>
      <c r="B857" s="16"/>
      <c r="C857" s="23"/>
      <c r="D857" s="23"/>
      <c r="E857" s="47"/>
      <c r="F857" s="15"/>
      <c r="G857" s="23"/>
      <c r="H857" s="23"/>
      <c r="I857" s="24"/>
      <c r="J857" s="24"/>
      <c r="K857" s="23"/>
      <c r="L857" s="23"/>
      <c r="M857" s="23"/>
      <c r="N857" s="24"/>
      <c r="O857" s="24"/>
      <c r="P857" s="15"/>
      <c r="Q857" s="15"/>
      <c r="R857" s="15"/>
      <c r="S857" s="24"/>
      <c r="T857" s="24"/>
      <c r="U857" s="15"/>
      <c r="V857" s="23"/>
      <c r="W857" s="15"/>
      <c r="X857" s="23"/>
      <c r="Y857" s="15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>
      <c r="A858" s="15"/>
      <c r="B858" s="16"/>
      <c r="C858" s="23"/>
      <c r="D858" s="23"/>
      <c r="E858" s="47"/>
      <c r="F858" s="15"/>
      <c r="G858" s="23"/>
      <c r="H858" s="23"/>
      <c r="I858" s="24"/>
      <c r="J858" s="24"/>
      <c r="K858" s="23"/>
      <c r="L858" s="23"/>
      <c r="M858" s="23"/>
      <c r="N858" s="24"/>
      <c r="O858" s="24"/>
      <c r="P858" s="15"/>
      <c r="Q858" s="15"/>
      <c r="R858" s="15"/>
      <c r="S858" s="24"/>
      <c r="T858" s="24"/>
      <c r="U858" s="15"/>
      <c r="V858" s="15"/>
      <c r="W858" s="15"/>
      <c r="X858" s="15"/>
      <c r="Y858" s="15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>
      <c r="A859" s="15"/>
      <c r="B859" s="16"/>
      <c r="C859" s="23"/>
      <c r="D859" s="23"/>
      <c r="E859" s="47"/>
      <c r="F859" s="15"/>
      <c r="G859" s="23"/>
      <c r="H859" s="23"/>
      <c r="I859" s="24"/>
      <c r="J859" s="24"/>
      <c r="K859" s="23"/>
      <c r="L859" s="23"/>
      <c r="M859" s="23"/>
      <c r="N859" s="24"/>
      <c r="O859" s="24"/>
      <c r="P859" s="15"/>
      <c r="Q859" s="15"/>
      <c r="R859" s="15"/>
      <c r="S859" s="24"/>
      <c r="T859" s="24"/>
      <c r="U859" s="15"/>
      <c r="V859" s="15"/>
      <c r="W859" s="15"/>
      <c r="X859" s="15"/>
      <c r="Y859" s="15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>
      <c r="A860" s="15"/>
      <c r="B860" s="16"/>
      <c r="C860" s="23"/>
      <c r="D860" s="23"/>
      <c r="E860" s="47"/>
      <c r="F860" s="15"/>
      <c r="G860" s="23"/>
      <c r="H860" s="23"/>
      <c r="I860" s="24"/>
      <c r="J860" s="24"/>
      <c r="K860" s="23"/>
      <c r="L860" s="23"/>
      <c r="M860" s="23"/>
      <c r="N860" s="24"/>
      <c r="O860" s="24"/>
      <c r="P860" s="15"/>
      <c r="Q860" s="15"/>
      <c r="R860" s="15"/>
      <c r="S860" s="24"/>
      <c r="T860" s="24"/>
      <c r="U860" s="15"/>
      <c r="V860" s="15"/>
      <c r="W860" s="15"/>
      <c r="X860" s="15"/>
      <c r="Y860" s="15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0"/>
    </row>
    <row r="861" spans="1:48" ht="12.75">
      <c r="A861" s="15"/>
      <c r="B861" s="16"/>
      <c r="C861" s="23"/>
      <c r="D861" s="23"/>
      <c r="E861" s="47"/>
      <c r="F861" s="15"/>
      <c r="G861" s="23"/>
      <c r="H861" s="23"/>
      <c r="I861" s="24"/>
      <c r="J861" s="24"/>
      <c r="K861" s="23"/>
      <c r="L861" s="23"/>
      <c r="M861" s="23"/>
      <c r="N861" s="24"/>
      <c r="O861" s="24"/>
      <c r="P861" s="15"/>
      <c r="Q861" s="15"/>
      <c r="R861" s="15"/>
      <c r="S861" s="24"/>
      <c r="T861" s="24"/>
      <c r="U861" s="15"/>
      <c r="V861" s="15"/>
      <c r="W861" s="15"/>
      <c r="X861" s="15"/>
      <c r="Y861" s="15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>
      <c r="A862" s="15"/>
      <c r="B862" s="16"/>
      <c r="C862" s="23"/>
      <c r="D862" s="23"/>
      <c r="E862" s="47"/>
      <c r="F862" s="15"/>
      <c r="G862" s="23"/>
      <c r="H862" s="23"/>
      <c r="I862" s="24"/>
      <c r="J862" s="24"/>
      <c r="K862" s="23"/>
      <c r="L862" s="23"/>
      <c r="M862" s="23"/>
      <c r="N862" s="24"/>
      <c r="O862" s="24"/>
      <c r="P862" s="15"/>
      <c r="Q862" s="15"/>
      <c r="R862" s="15"/>
      <c r="S862" s="24"/>
      <c r="T862" s="24"/>
      <c r="U862" s="15"/>
      <c r="V862" s="23"/>
      <c r="W862" s="15"/>
      <c r="X862" s="23"/>
      <c r="Y862" s="15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>
      <c r="A863" s="15"/>
      <c r="B863" s="16"/>
      <c r="C863" s="23"/>
      <c r="D863" s="23"/>
      <c r="E863" s="47"/>
      <c r="F863" s="15"/>
      <c r="G863" s="23"/>
      <c r="H863" s="23"/>
      <c r="I863" s="24"/>
      <c r="J863" s="24"/>
      <c r="K863" s="23"/>
      <c r="L863" s="23"/>
      <c r="M863" s="23"/>
      <c r="N863" s="24"/>
      <c r="O863" s="24"/>
      <c r="P863" s="15"/>
      <c r="Q863" s="15"/>
      <c r="R863" s="15"/>
      <c r="S863" s="24"/>
      <c r="T863" s="24"/>
      <c r="U863" s="15"/>
      <c r="V863" s="15"/>
      <c r="W863" s="15"/>
      <c r="X863" s="15"/>
      <c r="Y863" s="15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>
      <c r="A864" s="15"/>
      <c r="B864" s="16"/>
      <c r="C864" s="23"/>
      <c r="D864" s="23"/>
      <c r="E864" s="47"/>
      <c r="F864" s="15"/>
      <c r="G864" s="23"/>
      <c r="H864" s="23"/>
      <c r="I864" s="24"/>
      <c r="J864" s="24"/>
      <c r="K864" s="23"/>
      <c r="L864" s="23"/>
      <c r="M864" s="23"/>
      <c r="N864" s="24"/>
      <c r="O864" s="24"/>
      <c r="P864" s="15"/>
      <c r="Q864" s="15"/>
      <c r="R864" s="15"/>
      <c r="S864" s="24"/>
      <c r="T864" s="24"/>
      <c r="U864" s="15"/>
      <c r="V864" s="15"/>
      <c r="W864" s="15"/>
      <c r="X864" s="15"/>
      <c r="Y864" s="15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25" ht="12.75">
      <c r="A865" s="15"/>
      <c r="B865" s="16"/>
      <c r="C865" s="23"/>
      <c r="D865" s="23"/>
      <c r="E865" s="47"/>
      <c r="F865" s="15"/>
      <c r="G865" s="23"/>
      <c r="H865" s="23"/>
      <c r="I865" s="24"/>
      <c r="J865" s="24"/>
      <c r="K865" s="23"/>
      <c r="L865" s="23"/>
      <c r="M865" s="23"/>
      <c r="N865" s="24"/>
      <c r="O865" s="24"/>
      <c r="P865" s="15"/>
      <c r="Q865" s="15"/>
      <c r="R865" s="15"/>
      <c r="S865" s="24"/>
      <c r="T865" s="24"/>
      <c r="U865" s="15"/>
      <c r="V865" s="23"/>
      <c r="W865" s="15"/>
      <c r="X865" s="23"/>
      <c r="Y865" s="15"/>
    </row>
    <row r="866" spans="1:25" ht="12.75">
      <c r="A866" s="15"/>
      <c r="B866" s="16"/>
      <c r="C866" s="23"/>
      <c r="D866" s="23"/>
      <c r="E866" s="47"/>
      <c r="F866" s="15"/>
      <c r="G866" s="23"/>
      <c r="H866" s="23"/>
      <c r="I866" s="24"/>
      <c r="J866" s="24"/>
      <c r="K866" s="23"/>
      <c r="L866" s="23"/>
      <c r="M866" s="23"/>
      <c r="N866" s="24"/>
      <c r="O866" s="24"/>
      <c r="P866" s="15"/>
      <c r="Q866" s="15"/>
      <c r="R866" s="15"/>
      <c r="S866" s="24"/>
      <c r="T866" s="24"/>
      <c r="U866" s="15"/>
      <c r="V866" s="15"/>
      <c r="W866" s="15"/>
      <c r="X866" s="15"/>
      <c r="Y866" s="15"/>
    </row>
    <row r="867" spans="1:25" ht="12.75">
      <c r="A867" s="15"/>
      <c r="B867" s="16"/>
      <c r="C867" s="23"/>
      <c r="D867" s="23"/>
      <c r="E867" s="47"/>
      <c r="F867" s="15"/>
      <c r="G867" s="23"/>
      <c r="H867" s="23"/>
      <c r="I867" s="24"/>
      <c r="J867" s="24"/>
      <c r="K867" s="23"/>
      <c r="L867" s="23"/>
      <c r="M867" s="23"/>
      <c r="N867" s="24"/>
      <c r="O867" s="24"/>
      <c r="P867" s="15"/>
      <c r="Q867" s="15"/>
      <c r="R867" s="15"/>
      <c r="S867" s="24"/>
      <c r="T867" s="24"/>
      <c r="U867" s="15"/>
      <c r="V867" s="15"/>
      <c r="W867" s="15"/>
      <c r="X867" s="15"/>
      <c r="Y867" s="15"/>
    </row>
    <row r="868" spans="1:25" ht="12.75">
      <c r="A868" s="15"/>
      <c r="B868" s="16"/>
      <c r="C868" s="23"/>
      <c r="D868" s="23"/>
      <c r="E868" s="47"/>
      <c r="F868" s="15"/>
      <c r="G868" s="23"/>
      <c r="H868" s="23"/>
      <c r="I868" s="24"/>
      <c r="J868" s="24"/>
      <c r="K868" s="23"/>
      <c r="L868" s="23"/>
      <c r="M868" s="23"/>
      <c r="N868" s="24"/>
      <c r="O868" s="24"/>
      <c r="P868" s="15"/>
      <c r="Q868" s="15"/>
      <c r="R868" s="15"/>
      <c r="S868" s="24"/>
      <c r="T868" s="24"/>
      <c r="U868" s="15"/>
      <c r="V868" s="15"/>
      <c r="W868" s="15"/>
      <c r="X868" s="15"/>
      <c r="Y868" s="15"/>
    </row>
    <row r="869" spans="1:25" ht="12.75">
      <c r="A869" s="15"/>
      <c r="B869" s="16"/>
      <c r="C869" s="23"/>
      <c r="D869" s="23"/>
      <c r="E869" s="47"/>
      <c r="F869" s="15"/>
      <c r="G869" s="23"/>
      <c r="H869" s="23"/>
      <c r="I869" s="24"/>
      <c r="J869" s="24"/>
      <c r="K869" s="23"/>
      <c r="L869" s="23"/>
      <c r="M869" s="23"/>
      <c r="N869" s="24"/>
      <c r="O869" s="24"/>
      <c r="P869" s="15"/>
      <c r="Q869" s="15"/>
      <c r="R869" s="15"/>
      <c r="S869" s="24"/>
      <c r="T869" s="24"/>
      <c r="U869" s="15"/>
      <c r="V869" s="15"/>
      <c r="W869" s="15"/>
      <c r="X869" s="15"/>
      <c r="Y869" s="15"/>
    </row>
    <row r="870" spans="1:25" ht="12.75">
      <c r="A870" s="15"/>
      <c r="B870" s="16"/>
      <c r="C870" s="23"/>
      <c r="D870" s="23"/>
      <c r="E870" s="47"/>
      <c r="F870" s="15"/>
      <c r="G870" s="23"/>
      <c r="H870" s="23"/>
      <c r="I870" s="24"/>
      <c r="J870" s="24"/>
      <c r="K870" s="23"/>
      <c r="L870" s="23"/>
      <c r="M870" s="23"/>
      <c r="N870" s="24"/>
      <c r="O870" s="24"/>
      <c r="P870" s="15"/>
      <c r="Q870" s="15"/>
      <c r="R870" s="15"/>
      <c r="S870" s="24"/>
      <c r="T870" s="24"/>
      <c r="U870" s="15"/>
      <c r="V870" s="15"/>
      <c r="W870" s="15"/>
      <c r="X870" s="15"/>
      <c r="Y870" s="15"/>
    </row>
    <row r="871" spans="1:25" ht="12.75">
      <c r="A871" s="15"/>
      <c r="B871" s="16"/>
      <c r="C871" s="23"/>
      <c r="D871" s="23"/>
      <c r="E871" s="47"/>
      <c r="F871" s="15"/>
      <c r="G871" s="23"/>
      <c r="H871" s="23"/>
      <c r="I871" s="24"/>
      <c r="J871" s="24"/>
      <c r="K871" s="23"/>
      <c r="L871" s="23"/>
      <c r="M871" s="23"/>
      <c r="N871" s="24"/>
      <c r="O871" s="24"/>
      <c r="P871" s="15"/>
      <c r="Q871" s="15"/>
      <c r="R871" s="15"/>
      <c r="S871" s="24"/>
      <c r="T871" s="24"/>
      <c r="U871" s="15"/>
      <c r="V871" s="15"/>
      <c r="W871" s="15"/>
      <c r="X871" s="15"/>
      <c r="Y871" s="15"/>
    </row>
    <row r="872" spans="1:25" ht="12.75">
      <c r="A872" s="15"/>
      <c r="B872" s="16"/>
      <c r="C872" s="23"/>
      <c r="D872" s="23"/>
      <c r="E872" s="47"/>
      <c r="F872" s="15"/>
      <c r="G872" s="23"/>
      <c r="H872" s="23"/>
      <c r="I872" s="24"/>
      <c r="J872" s="24"/>
      <c r="K872" s="23"/>
      <c r="L872" s="23"/>
      <c r="M872" s="23"/>
      <c r="N872" s="24"/>
      <c r="O872" s="24"/>
      <c r="P872" s="15"/>
      <c r="Q872" s="15"/>
      <c r="R872" s="15"/>
      <c r="S872" s="24"/>
      <c r="T872" s="24"/>
      <c r="U872" s="15"/>
      <c r="V872" s="15"/>
      <c r="W872" s="15"/>
      <c r="X872" s="15"/>
      <c r="Y872" s="15"/>
    </row>
    <row r="873" spans="1:25" ht="12.75">
      <c r="A873" s="15"/>
      <c r="B873" s="16"/>
      <c r="C873" s="23"/>
      <c r="D873" s="23"/>
      <c r="E873" s="47"/>
      <c r="F873" s="15"/>
      <c r="G873" s="23"/>
      <c r="H873" s="23"/>
      <c r="I873" s="24"/>
      <c r="J873" s="24"/>
      <c r="K873" s="23"/>
      <c r="L873" s="23"/>
      <c r="M873" s="23"/>
      <c r="N873" s="24"/>
      <c r="O873" s="24"/>
      <c r="P873" s="15"/>
      <c r="Q873" s="15"/>
      <c r="R873" s="15"/>
      <c r="S873" s="24"/>
      <c r="T873" s="24"/>
      <c r="U873" s="15"/>
      <c r="V873" s="23"/>
      <c r="W873" s="15"/>
      <c r="X873" s="23"/>
      <c r="Y873" s="15"/>
    </row>
    <row r="874" spans="1:25" ht="12.75">
      <c r="A874" s="15"/>
      <c r="B874" s="16"/>
      <c r="C874" s="23"/>
      <c r="D874" s="23"/>
      <c r="E874" s="47"/>
      <c r="F874" s="15"/>
      <c r="G874" s="23"/>
      <c r="H874" s="23"/>
      <c r="I874" s="24"/>
      <c r="J874" s="24"/>
      <c r="K874" s="15"/>
      <c r="L874" s="15"/>
      <c r="M874" s="15"/>
      <c r="N874" s="24"/>
      <c r="O874" s="24"/>
      <c r="P874" s="15"/>
      <c r="Q874" s="23"/>
      <c r="R874" s="23"/>
      <c r="S874" s="24"/>
      <c r="T874" s="24"/>
      <c r="U874" s="15"/>
      <c r="V874" s="23"/>
      <c r="W874" s="15"/>
      <c r="X874" s="23"/>
      <c r="Y874" s="15"/>
    </row>
    <row r="875" spans="1:25" ht="12.75">
      <c r="A875" s="15"/>
      <c r="B875" s="16"/>
      <c r="C875" s="23"/>
      <c r="D875" s="23"/>
      <c r="E875" s="47"/>
      <c r="F875" s="15"/>
      <c r="G875" s="23"/>
      <c r="H875" s="23"/>
      <c r="I875" s="24"/>
      <c r="J875" s="24"/>
      <c r="K875" s="15"/>
      <c r="L875" s="15"/>
      <c r="M875" s="15"/>
      <c r="N875" s="24"/>
      <c r="O875" s="24"/>
      <c r="P875" s="15"/>
      <c r="Q875" s="23"/>
      <c r="R875" s="23"/>
      <c r="S875" s="24"/>
      <c r="T875" s="24"/>
      <c r="U875" s="15"/>
      <c r="V875" s="23"/>
      <c r="W875" s="15"/>
      <c r="X875" s="23"/>
      <c r="Y875" s="15"/>
    </row>
    <row r="876" spans="1:25" ht="12.75">
      <c r="A876" s="15"/>
      <c r="B876" s="16"/>
      <c r="C876" s="23"/>
      <c r="D876" s="23"/>
      <c r="E876" s="47"/>
      <c r="F876" s="15"/>
      <c r="G876" s="23"/>
      <c r="H876" s="23"/>
      <c r="I876" s="24"/>
      <c r="J876" s="24"/>
      <c r="K876" s="15"/>
      <c r="L876" s="15"/>
      <c r="M876" s="15"/>
      <c r="N876" s="24"/>
      <c r="O876" s="24"/>
      <c r="P876" s="15"/>
      <c r="Q876" s="23"/>
      <c r="R876" s="23"/>
      <c r="S876" s="24"/>
      <c r="T876" s="24"/>
      <c r="U876" s="15"/>
      <c r="V876" s="15"/>
      <c r="W876" s="15"/>
      <c r="X876" s="15"/>
      <c r="Y876" s="15"/>
    </row>
    <row r="877" spans="1:25" ht="12.75">
      <c r="A877" s="15"/>
      <c r="B877" s="16"/>
      <c r="C877" s="23"/>
      <c r="D877" s="23"/>
      <c r="E877" s="47"/>
      <c r="F877" s="15"/>
      <c r="G877" s="23"/>
      <c r="H877" s="23"/>
      <c r="I877" s="24"/>
      <c r="J877" s="24"/>
      <c r="K877" s="15"/>
      <c r="L877" s="15"/>
      <c r="M877" s="15"/>
      <c r="N877" s="24"/>
      <c r="O877" s="24"/>
      <c r="P877" s="15"/>
      <c r="Q877" s="23"/>
      <c r="R877" s="23"/>
      <c r="S877" s="24"/>
      <c r="T877" s="24"/>
      <c r="U877" s="15"/>
      <c r="V877" s="23"/>
      <c r="W877" s="15"/>
      <c r="X877" s="23"/>
      <c r="Y877" s="15"/>
    </row>
    <row r="878" spans="1:25" ht="12.75">
      <c r="A878" s="15"/>
      <c r="B878" s="16"/>
      <c r="C878" s="23"/>
      <c r="D878" s="23"/>
      <c r="E878" s="47"/>
      <c r="F878" s="15"/>
      <c r="G878" s="23"/>
      <c r="H878" s="23"/>
      <c r="I878" s="24"/>
      <c r="J878" s="24"/>
      <c r="K878" s="15"/>
      <c r="L878" s="15"/>
      <c r="M878" s="15"/>
      <c r="N878" s="24"/>
      <c r="O878" s="24"/>
      <c r="P878" s="15"/>
      <c r="Q878" s="23"/>
      <c r="R878" s="23"/>
      <c r="S878" s="24"/>
      <c r="T878" s="24"/>
      <c r="U878" s="15"/>
      <c r="V878" s="23"/>
      <c r="W878" s="15"/>
      <c r="X878" s="23"/>
      <c r="Y878" s="15"/>
    </row>
    <row r="879" spans="1:25" ht="12.75">
      <c r="A879" s="15"/>
      <c r="B879" s="16"/>
      <c r="C879" s="23"/>
      <c r="D879" s="23"/>
      <c r="E879" s="47"/>
      <c r="F879" s="15"/>
      <c r="G879" s="15"/>
      <c r="H879" s="15"/>
      <c r="I879" s="24"/>
      <c r="J879" s="24"/>
      <c r="K879" s="15"/>
      <c r="L879" s="15"/>
      <c r="M879" s="15"/>
      <c r="N879" s="24"/>
      <c r="O879" s="24"/>
      <c r="P879" s="15"/>
      <c r="Q879" s="23"/>
      <c r="R879" s="23"/>
      <c r="S879" s="24"/>
      <c r="T879" s="24"/>
      <c r="U879" s="15"/>
      <c r="V879" s="23"/>
      <c r="W879" s="15"/>
      <c r="X879" s="23"/>
      <c r="Y879" s="15"/>
    </row>
    <row r="880" spans="1:25" ht="12.75">
      <c r="A880" s="15"/>
      <c r="B880" s="16"/>
      <c r="C880" s="23"/>
      <c r="D880" s="23"/>
      <c r="E880" s="47"/>
      <c r="F880" s="23"/>
      <c r="G880" s="23"/>
      <c r="H880" s="23"/>
      <c r="I880" s="24"/>
      <c r="J880" s="24"/>
      <c r="K880" s="15"/>
      <c r="L880" s="15"/>
      <c r="M880" s="15"/>
      <c r="N880" s="24"/>
      <c r="O880" s="24"/>
      <c r="P880" s="23"/>
      <c r="Q880" s="23"/>
      <c r="R880" s="23"/>
      <c r="S880" s="24"/>
      <c r="T880" s="24"/>
      <c r="U880" s="15"/>
      <c r="V880" s="15"/>
      <c r="W880" s="15"/>
      <c r="X880" s="15"/>
      <c r="Y880" s="15"/>
    </row>
    <row r="881" spans="1:55" ht="12.75">
      <c r="A881" s="15"/>
      <c r="B881" s="16"/>
      <c r="C881" s="23"/>
      <c r="D881" s="23"/>
      <c r="E881" s="47"/>
      <c r="F881" s="15"/>
      <c r="G881" s="23"/>
      <c r="H881" s="23"/>
      <c r="I881" s="24"/>
      <c r="J881" s="24"/>
      <c r="K881" s="15"/>
      <c r="L881" s="15"/>
      <c r="M881" s="15"/>
      <c r="N881" s="24"/>
      <c r="O881" s="24"/>
      <c r="P881" s="15"/>
      <c r="Q881" s="23"/>
      <c r="R881" s="23"/>
      <c r="S881" s="24"/>
      <c r="T881" s="24"/>
      <c r="U881" s="15"/>
      <c r="V881" s="23"/>
      <c r="W881" s="15"/>
      <c r="X881" s="23"/>
      <c r="Y881" s="15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</row>
    <row r="882" spans="1:55" ht="12.75">
      <c r="A882" s="15"/>
      <c r="B882" s="16"/>
      <c r="C882" s="23"/>
      <c r="D882" s="23"/>
      <c r="E882" s="47"/>
      <c r="F882" s="15"/>
      <c r="G882" s="23"/>
      <c r="H882" s="23"/>
      <c r="I882" s="24"/>
      <c r="J882" s="24"/>
      <c r="K882" s="15"/>
      <c r="L882" s="15"/>
      <c r="M882" s="15"/>
      <c r="N882" s="24"/>
      <c r="O882" s="24"/>
      <c r="P882" s="15"/>
      <c r="Q882" s="23"/>
      <c r="R882" s="23"/>
      <c r="S882" s="24"/>
      <c r="T882" s="24"/>
      <c r="U882" s="15"/>
      <c r="V882" s="23"/>
      <c r="W882" s="15"/>
      <c r="X882" s="23"/>
      <c r="Y882" s="15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</row>
    <row r="883" spans="1:55" ht="12.75">
      <c r="A883" s="15"/>
      <c r="B883" s="16"/>
      <c r="C883" s="23"/>
      <c r="D883" s="23"/>
      <c r="E883" s="47"/>
      <c r="F883" s="23"/>
      <c r="G883" s="23"/>
      <c r="H883" s="23"/>
      <c r="I883" s="24"/>
      <c r="J883" s="24"/>
      <c r="K883" s="15"/>
      <c r="L883" s="15"/>
      <c r="M883" s="15"/>
      <c r="N883" s="24"/>
      <c r="O883" s="24"/>
      <c r="P883" s="15"/>
      <c r="Q883" s="23"/>
      <c r="R883" s="23"/>
      <c r="S883" s="24"/>
      <c r="T883" s="24"/>
      <c r="U883" s="15"/>
      <c r="V883" s="23"/>
      <c r="W883" s="15"/>
      <c r="X883" s="23"/>
      <c r="Y883" s="15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</row>
    <row r="884" spans="1:55" ht="12.75">
      <c r="A884" s="15"/>
      <c r="B884" s="16"/>
      <c r="C884" s="23"/>
      <c r="D884" s="23"/>
      <c r="E884" s="47"/>
      <c r="F884" s="15"/>
      <c r="G884" s="23"/>
      <c r="H884" s="23"/>
      <c r="I884" s="24"/>
      <c r="J884" s="24"/>
      <c r="K884" s="15"/>
      <c r="L884" s="15"/>
      <c r="M884" s="15"/>
      <c r="N884" s="24"/>
      <c r="O884" s="24"/>
      <c r="P884" s="15"/>
      <c r="Q884" s="23"/>
      <c r="R884" s="23"/>
      <c r="S884" s="24"/>
      <c r="T884" s="24"/>
      <c r="U884" s="15"/>
      <c r="V884" s="15"/>
      <c r="W884" s="15"/>
      <c r="X884" s="15"/>
      <c r="Y884" s="15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</row>
    <row r="885" spans="1:55" ht="12.75">
      <c r="A885" s="15"/>
      <c r="B885" s="16"/>
      <c r="C885" s="23"/>
      <c r="D885" s="23"/>
      <c r="E885" s="47"/>
      <c r="F885" s="15"/>
      <c r="G885" s="23"/>
      <c r="H885" s="23"/>
      <c r="I885" s="24"/>
      <c r="J885" s="24"/>
      <c r="K885" s="15"/>
      <c r="L885" s="15"/>
      <c r="M885" s="15"/>
      <c r="N885" s="24"/>
      <c r="O885" s="24"/>
      <c r="P885" s="15"/>
      <c r="Q885" s="23"/>
      <c r="R885" s="23"/>
      <c r="S885" s="24"/>
      <c r="T885" s="24"/>
      <c r="U885" s="15"/>
      <c r="V885" s="15"/>
      <c r="W885" s="15"/>
      <c r="X885" s="15"/>
      <c r="Y885" s="15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</row>
    <row r="886" spans="1:55" ht="12.75">
      <c r="A886" s="15"/>
      <c r="B886" s="16"/>
      <c r="C886" s="23"/>
      <c r="D886" s="23"/>
      <c r="E886" s="47"/>
      <c r="F886" s="15"/>
      <c r="G886" s="23"/>
      <c r="H886" s="23"/>
      <c r="I886" s="24"/>
      <c r="J886" s="24"/>
      <c r="K886" s="15"/>
      <c r="L886" s="15"/>
      <c r="M886" s="15"/>
      <c r="N886" s="24"/>
      <c r="O886" s="24"/>
      <c r="P886" s="15"/>
      <c r="Q886" s="23"/>
      <c r="R886" s="23"/>
      <c r="S886" s="24"/>
      <c r="T886" s="24"/>
      <c r="U886" s="15"/>
      <c r="V886" s="23"/>
      <c r="W886" s="15"/>
      <c r="X886" s="23"/>
      <c r="Y886" s="15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</row>
    <row r="887" spans="1:55" ht="12.75">
      <c r="A887" s="15"/>
      <c r="B887" s="16"/>
      <c r="C887" s="23"/>
      <c r="D887" s="23"/>
      <c r="E887" s="47"/>
      <c r="F887" s="15"/>
      <c r="G887" s="23"/>
      <c r="H887" s="23"/>
      <c r="I887" s="24"/>
      <c r="J887" s="24"/>
      <c r="K887" s="15"/>
      <c r="L887" s="15"/>
      <c r="M887" s="15"/>
      <c r="N887" s="24"/>
      <c r="O887" s="24"/>
      <c r="P887" s="15"/>
      <c r="Q887" s="23"/>
      <c r="R887" s="23"/>
      <c r="S887" s="24"/>
      <c r="T887" s="24"/>
      <c r="U887" s="15"/>
      <c r="V887" s="23"/>
      <c r="W887" s="15"/>
      <c r="X887" s="23"/>
      <c r="Y887" s="15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</row>
    <row r="888" spans="1:55" ht="12.75">
      <c r="A888" s="15"/>
      <c r="B888" s="16"/>
      <c r="C888" s="23"/>
      <c r="D888" s="23"/>
      <c r="E888" s="47"/>
      <c r="F888" s="15"/>
      <c r="G888" s="23"/>
      <c r="H888" s="23"/>
      <c r="I888" s="24"/>
      <c r="J888" s="24"/>
      <c r="K888" s="15"/>
      <c r="L888" s="15"/>
      <c r="M888" s="15"/>
      <c r="N888" s="24"/>
      <c r="O888" s="24"/>
      <c r="P888" s="15"/>
      <c r="Q888" s="23"/>
      <c r="R888" s="23"/>
      <c r="S888" s="24"/>
      <c r="T888" s="24"/>
      <c r="U888" s="15"/>
      <c r="V888" s="15"/>
      <c r="W888" s="15"/>
      <c r="X888" s="15"/>
      <c r="Y888" s="15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</row>
    <row r="889" spans="1:55" ht="12.75">
      <c r="A889" s="15"/>
      <c r="B889" s="16"/>
      <c r="C889" s="23"/>
      <c r="D889" s="23"/>
      <c r="E889" s="47"/>
      <c r="F889" s="15"/>
      <c r="G889" s="23"/>
      <c r="H889" s="23"/>
      <c r="I889" s="24"/>
      <c r="J889" s="24"/>
      <c r="K889" s="15"/>
      <c r="L889" s="15"/>
      <c r="M889" s="15"/>
      <c r="N889" s="24"/>
      <c r="O889" s="24"/>
      <c r="P889" s="15"/>
      <c r="Q889" s="23"/>
      <c r="R889" s="23"/>
      <c r="S889" s="24"/>
      <c r="T889" s="24"/>
      <c r="U889" s="15"/>
      <c r="V889" s="23"/>
      <c r="W889" s="15"/>
      <c r="X889" s="23"/>
      <c r="Y889" s="15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</row>
    <row r="890" spans="1:55" ht="12.75">
      <c r="A890" s="15"/>
      <c r="B890" s="16"/>
      <c r="C890" s="23"/>
      <c r="D890" s="23"/>
      <c r="E890" s="47"/>
      <c r="F890" s="15"/>
      <c r="G890" s="23"/>
      <c r="H890" s="23"/>
      <c r="I890" s="24"/>
      <c r="J890" s="24"/>
      <c r="K890" s="15"/>
      <c r="L890" s="15"/>
      <c r="M890" s="15"/>
      <c r="N890" s="24"/>
      <c r="O890" s="24"/>
      <c r="P890" s="15"/>
      <c r="Q890" s="23"/>
      <c r="R890" s="23"/>
      <c r="S890" s="24"/>
      <c r="T890" s="24"/>
      <c r="U890" s="15"/>
      <c r="V890" s="15"/>
      <c r="W890" s="15"/>
      <c r="X890" s="15"/>
      <c r="Y890" s="15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</row>
    <row r="891" spans="1:55" ht="12.75">
      <c r="A891" s="15"/>
      <c r="B891" s="16"/>
      <c r="C891" s="23"/>
      <c r="D891" s="23"/>
      <c r="E891" s="47"/>
      <c r="F891" s="15"/>
      <c r="G891" s="23"/>
      <c r="H891" s="23"/>
      <c r="I891" s="24"/>
      <c r="J891" s="24"/>
      <c r="K891" s="15"/>
      <c r="L891" s="15"/>
      <c r="M891" s="15"/>
      <c r="N891" s="24"/>
      <c r="O891" s="24"/>
      <c r="P891" s="15"/>
      <c r="Q891" s="23"/>
      <c r="R891" s="23"/>
      <c r="S891" s="24"/>
      <c r="T891" s="24"/>
      <c r="U891" s="15"/>
      <c r="V891" s="23"/>
      <c r="W891" s="15"/>
      <c r="X891" s="23"/>
      <c r="Y891" s="15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119"/>
    </row>
    <row r="892" spans="1:55" ht="12.75">
      <c r="A892" s="15"/>
      <c r="B892" s="16"/>
      <c r="C892" s="23"/>
      <c r="D892" s="23"/>
      <c r="E892" s="47"/>
      <c r="F892" s="15"/>
      <c r="G892" s="23"/>
      <c r="H892" s="23"/>
      <c r="I892" s="24"/>
      <c r="J892" s="24"/>
      <c r="K892" s="15"/>
      <c r="L892" s="15"/>
      <c r="M892" s="15"/>
      <c r="N892" s="24"/>
      <c r="O892" s="24"/>
      <c r="P892" s="15"/>
      <c r="Q892" s="15"/>
      <c r="R892" s="15"/>
      <c r="S892" s="24"/>
      <c r="T892" s="24"/>
      <c r="U892" s="15"/>
      <c r="V892" s="23"/>
      <c r="W892" s="15"/>
      <c r="X892" s="23"/>
      <c r="Y892" s="15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119"/>
    </row>
    <row r="893" spans="1:55" ht="12.75">
      <c r="A893" s="15"/>
      <c r="B893" s="16"/>
      <c r="C893" s="23"/>
      <c r="D893" s="23"/>
      <c r="E893" s="47"/>
      <c r="F893" s="15"/>
      <c r="G893" s="23"/>
      <c r="H893" s="23"/>
      <c r="I893" s="24"/>
      <c r="J893" s="24"/>
      <c r="K893" s="15"/>
      <c r="L893" s="15"/>
      <c r="M893" s="15"/>
      <c r="N893" s="24"/>
      <c r="O893" s="24"/>
      <c r="P893" s="15"/>
      <c r="Q893" s="15"/>
      <c r="R893" s="15"/>
      <c r="S893" s="24"/>
      <c r="T893" s="24"/>
      <c r="U893" s="15"/>
      <c r="V893" s="15"/>
      <c r="W893" s="15"/>
      <c r="X893" s="15"/>
      <c r="Y893" s="15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119"/>
    </row>
    <row r="894" spans="1:55" ht="12.75">
      <c r="A894" s="15"/>
      <c r="B894" s="16"/>
      <c r="C894" s="23"/>
      <c r="D894" s="23"/>
      <c r="E894" s="47"/>
      <c r="F894" s="15"/>
      <c r="G894" s="23"/>
      <c r="H894" s="23"/>
      <c r="I894" s="24"/>
      <c r="J894" s="24"/>
      <c r="K894" s="15"/>
      <c r="L894" s="15"/>
      <c r="M894" s="15"/>
      <c r="N894" s="24"/>
      <c r="O894" s="24"/>
      <c r="P894" s="15"/>
      <c r="Q894" s="15"/>
      <c r="R894" s="15"/>
      <c r="S894" s="24"/>
      <c r="T894" s="24"/>
      <c r="U894" s="15"/>
      <c r="V894" s="15"/>
      <c r="W894" s="15"/>
      <c r="X894" s="15"/>
      <c r="Y894" s="15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119"/>
    </row>
    <row r="895" spans="1:55" ht="12.75">
      <c r="A895" s="15"/>
      <c r="B895" s="16"/>
      <c r="C895" s="23"/>
      <c r="D895" s="23"/>
      <c r="E895" s="47"/>
      <c r="F895" s="15"/>
      <c r="G895" s="23"/>
      <c r="H895" s="23"/>
      <c r="I895" s="24"/>
      <c r="J895" s="24"/>
      <c r="K895" s="15"/>
      <c r="L895" s="15"/>
      <c r="M895" s="15"/>
      <c r="N895" s="24"/>
      <c r="O895" s="24"/>
      <c r="P895" s="15"/>
      <c r="Q895" s="15"/>
      <c r="R895" s="15"/>
      <c r="S895" s="24"/>
      <c r="T895" s="24"/>
      <c r="U895" s="15"/>
      <c r="V895" s="15"/>
      <c r="W895" s="15"/>
      <c r="X895" s="15"/>
      <c r="Y895" s="15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8"/>
      <c r="AW895" s="8"/>
      <c r="AX895" s="8"/>
      <c r="AY895" s="8"/>
      <c r="AZ895" s="8"/>
      <c r="BA895" s="8"/>
      <c r="BB895" s="8"/>
      <c r="BC895" s="2"/>
    </row>
    <row r="896" spans="1:55" ht="12.75">
      <c r="A896" s="15"/>
      <c r="B896" s="16"/>
      <c r="C896" s="23"/>
      <c r="D896" s="23"/>
      <c r="E896" s="47"/>
      <c r="F896" s="15"/>
      <c r="G896" s="23"/>
      <c r="H896" s="23"/>
      <c r="I896" s="24"/>
      <c r="J896" s="24"/>
      <c r="K896" s="15"/>
      <c r="L896" s="15"/>
      <c r="M896" s="15"/>
      <c r="N896" s="24"/>
      <c r="O896" s="24"/>
      <c r="P896" s="15"/>
      <c r="Q896" s="15"/>
      <c r="R896" s="15"/>
      <c r="S896" s="24"/>
      <c r="T896" s="24"/>
      <c r="U896" s="15"/>
      <c r="V896" s="15"/>
      <c r="W896" s="15"/>
      <c r="X896" s="15"/>
      <c r="Y896" s="15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8"/>
      <c r="AW896" s="8"/>
      <c r="AX896" s="8"/>
      <c r="AY896" s="8"/>
      <c r="AZ896" s="8"/>
      <c r="BA896" s="8"/>
      <c r="BB896" s="8"/>
      <c r="BC896" s="2"/>
    </row>
    <row r="897" spans="1:54" ht="12.75">
      <c r="A897" s="15"/>
      <c r="B897" s="16"/>
      <c r="C897" s="23"/>
      <c r="D897" s="23"/>
      <c r="E897" s="47"/>
      <c r="F897" s="15"/>
      <c r="G897" s="23"/>
      <c r="H897" s="23"/>
      <c r="I897" s="24"/>
      <c r="J897" s="24"/>
      <c r="K897" s="15"/>
      <c r="L897" s="15"/>
      <c r="M897" s="15"/>
      <c r="N897" s="24"/>
      <c r="O897" s="24"/>
      <c r="P897" s="15"/>
      <c r="Q897" s="23"/>
      <c r="R897" s="23"/>
      <c r="S897" s="24"/>
      <c r="T897" s="24"/>
      <c r="U897" s="15"/>
      <c r="V897" s="15"/>
      <c r="W897" s="15"/>
      <c r="X897" s="15"/>
      <c r="Y897" s="15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 ht="12.75">
      <c r="A898" s="15"/>
      <c r="B898" s="16"/>
      <c r="C898" s="23"/>
      <c r="D898" s="23"/>
      <c r="E898" s="47"/>
      <c r="F898" s="15"/>
      <c r="G898" s="23"/>
      <c r="H898" s="23"/>
      <c r="I898" s="24"/>
      <c r="J898" s="24"/>
      <c r="K898" s="15"/>
      <c r="L898" s="15"/>
      <c r="M898" s="15"/>
      <c r="N898" s="24"/>
      <c r="O898" s="24"/>
      <c r="P898" s="15"/>
      <c r="Q898" s="23"/>
      <c r="R898" s="23"/>
      <c r="S898" s="24"/>
      <c r="T898" s="24"/>
      <c r="U898" s="15"/>
      <c r="V898" s="15"/>
      <c r="W898" s="15"/>
      <c r="X898" s="15"/>
      <c r="Y898" s="15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 ht="12.75">
      <c r="A899" s="15"/>
      <c r="B899" s="16"/>
      <c r="C899" s="23"/>
      <c r="D899" s="23"/>
      <c r="E899" s="47"/>
      <c r="F899" s="15"/>
      <c r="G899" s="23"/>
      <c r="H899" s="23"/>
      <c r="I899" s="24"/>
      <c r="J899" s="24"/>
      <c r="K899" s="15"/>
      <c r="L899" s="15"/>
      <c r="M899" s="15"/>
      <c r="N899" s="24"/>
      <c r="O899" s="24"/>
      <c r="P899" s="15"/>
      <c r="Q899" s="23"/>
      <c r="R899" s="23"/>
      <c r="S899" s="24"/>
      <c r="T899" s="24"/>
      <c r="U899" s="15"/>
      <c r="V899" s="15"/>
      <c r="W899" s="15"/>
      <c r="X899" s="15"/>
      <c r="Y899" s="15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 ht="12.75">
      <c r="A900" s="15"/>
      <c r="B900" s="16"/>
      <c r="C900" s="23"/>
      <c r="D900" s="23"/>
      <c r="E900" s="47"/>
      <c r="F900" s="15"/>
      <c r="G900" s="23"/>
      <c r="H900" s="23"/>
      <c r="I900" s="24"/>
      <c r="J900" s="24"/>
      <c r="K900" s="15"/>
      <c r="L900" s="15"/>
      <c r="M900" s="15"/>
      <c r="N900" s="24"/>
      <c r="O900" s="24"/>
      <c r="P900" s="15"/>
      <c r="Q900" s="23"/>
      <c r="R900" s="23"/>
      <c r="S900" s="24"/>
      <c r="T900" s="24"/>
      <c r="U900" s="15"/>
      <c r="V900" s="15"/>
      <c r="W900" s="15"/>
      <c r="X900" s="15"/>
      <c r="Y900" s="15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0"/>
    </row>
    <row r="901" spans="1:54" ht="12.75">
      <c r="A901" s="15"/>
      <c r="B901" s="16"/>
      <c r="C901" s="23"/>
      <c r="D901" s="23"/>
      <c r="E901" s="47"/>
      <c r="F901" s="15"/>
      <c r="G901" s="23"/>
      <c r="H901" s="23"/>
      <c r="I901" s="24"/>
      <c r="J901" s="24"/>
      <c r="K901" s="15"/>
      <c r="L901" s="15"/>
      <c r="M901" s="15"/>
      <c r="N901" s="24"/>
      <c r="O901" s="24"/>
      <c r="P901" s="15"/>
      <c r="Q901" s="23"/>
      <c r="R901" s="23"/>
      <c r="S901" s="24"/>
      <c r="T901" s="24"/>
      <c r="U901" s="15"/>
      <c r="V901" s="15"/>
      <c r="W901" s="15"/>
      <c r="X901" s="15"/>
      <c r="Y901" s="15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 ht="12.75">
      <c r="A902" s="15"/>
      <c r="B902" s="16"/>
      <c r="C902" s="23"/>
      <c r="D902" s="23"/>
      <c r="E902" s="47"/>
      <c r="F902" s="15"/>
      <c r="G902" s="23"/>
      <c r="H902" s="23"/>
      <c r="I902" s="24"/>
      <c r="J902" s="24"/>
      <c r="K902" s="15"/>
      <c r="L902" s="15"/>
      <c r="M902" s="15"/>
      <c r="N902" s="24"/>
      <c r="O902" s="24"/>
      <c r="P902" s="15"/>
      <c r="Q902" s="23"/>
      <c r="R902" s="23"/>
      <c r="S902" s="24"/>
      <c r="T902" s="24"/>
      <c r="U902" s="15"/>
      <c r="V902" s="15"/>
      <c r="W902" s="15"/>
      <c r="X902" s="15"/>
      <c r="Y902" s="15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 ht="12.75">
      <c r="A903" s="15"/>
      <c r="B903" s="16"/>
      <c r="C903" s="23"/>
      <c r="D903" s="23"/>
      <c r="E903" s="47"/>
      <c r="F903" s="15"/>
      <c r="G903" s="23"/>
      <c r="H903" s="23"/>
      <c r="I903" s="24"/>
      <c r="J903" s="24"/>
      <c r="K903" s="15"/>
      <c r="L903" s="15"/>
      <c r="M903" s="15"/>
      <c r="N903" s="24"/>
      <c r="O903" s="24"/>
      <c r="P903" s="15"/>
      <c r="Q903" s="23"/>
      <c r="R903" s="23"/>
      <c r="S903" s="24"/>
      <c r="T903" s="24"/>
      <c r="U903" s="15"/>
      <c r="V903" s="15"/>
      <c r="W903" s="15"/>
      <c r="X903" s="15"/>
      <c r="Y903" s="15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 ht="12.75">
      <c r="A904" s="15"/>
      <c r="B904" s="16"/>
      <c r="C904" s="23"/>
      <c r="D904" s="23"/>
      <c r="E904" s="47"/>
      <c r="F904" s="15"/>
      <c r="G904" s="23"/>
      <c r="H904" s="23"/>
      <c r="I904" s="24"/>
      <c r="J904" s="24"/>
      <c r="K904" s="15"/>
      <c r="L904" s="15"/>
      <c r="M904" s="15"/>
      <c r="N904" s="24"/>
      <c r="O904" s="24"/>
      <c r="P904" s="15"/>
      <c r="Q904" s="23"/>
      <c r="R904" s="23"/>
      <c r="S904" s="24"/>
      <c r="T904" s="24"/>
      <c r="U904" s="23"/>
      <c r="V904" s="15"/>
      <c r="W904" s="15"/>
      <c r="X904" s="15"/>
      <c r="Y904" s="15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 ht="12.75">
      <c r="A905" s="15"/>
      <c r="B905" s="16"/>
      <c r="C905" s="23"/>
      <c r="D905" s="23"/>
      <c r="E905" s="47"/>
      <c r="F905" s="15"/>
      <c r="G905" s="23"/>
      <c r="H905" s="23"/>
      <c r="I905" s="24"/>
      <c r="J905" s="24"/>
      <c r="K905" s="15"/>
      <c r="L905" s="15"/>
      <c r="M905" s="15"/>
      <c r="N905" s="24"/>
      <c r="O905" s="24"/>
      <c r="P905" s="15"/>
      <c r="Q905" s="23"/>
      <c r="R905" s="23"/>
      <c r="S905" s="24"/>
      <c r="T905" s="24"/>
      <c r="U905" s="15"/>
      <c r="V905" s="15"/>
      <c r="W905" s="15"/>
      <c r="X905" s="15"/>
      <c r="Y905" s="15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 ht="12.75">
      <c r="A906" s="15"/>
      <c r="B906" s="16"/>
      <c r="C906" s="23"/>
      <c r="D906" s="23"/>
      <c r="E906" s="47"/>
      <c r="F906" s="15"/>
      <c r="G906" s="23"/>
      <c r="H906" s="23"/>
      <c r="I906" s="24"/>
      <c r="J906" s="24"/>
      <c r="K906" s="15"/>
      <c r="L906" s="15"/>
      <c r="M906" s="15"/>
      <c r="N906" s="24"/>
      <c r="O906" s="24"/>
      <c r="P906" s="15"/>
      <c r="Q906" s="23"/>
      <c r="R906" s="23"/>
      <c r="S906" s="24"/>
      <c r="T906" s="24"/>
      <c r="U906" s="15"/>
      <c r="V906" s="15"/>
      <c r="W906" s="15"/>
      <c r="X906" s="15"/>
      <c r="Y906" s="15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 ht="12.75">
      <c r="A907" s="15"/>
      <c r="B907" s="16"/>
      <c r="C907" s="23"/>
      <c r="D907" s="23"/>
      <c r="E907" s="47"/>
      <c r="F907" s="15"/>
      <c r="G907" s="23"/>
      <c r="H907" s="23"/>
      <c r="I907" s="24"/>
      <c r="J907" s="24"/>
      <c r="K907" s="15"/>
      <c r="L907" s="15"/>
      <c r="M907" s="15"/>
      <c r="N907" s="24"/>
      <c r="O907" s="24"/>
      <c r="P907" s="15"/>
      <c r="Q907" s="23"/>
      <c r="R907" s="23"/>
      <c r="S907" s="24"/>
      <c r="T907" s="24"/>
      <c r="U907" s="15"/>
      <c r="V907" s="15"/>
      <c r="W907" s="15"/>
      <c r="X907" s="15"/>
      <c r="Y907" s="15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 ht="12.75">
      <c r="A908" s="15"/>
      <c r="B908" s="16"/>
      <c r="C908" s="23"/>
      <c r="D908" s="23"/>
      <c r="E908" s="47"/>
      <c r="F908" s="15"/>
      <c r="G908" s="23"/>
      <c r="H908" s="23"/>
      <c r="I908" s="24"/>
      <c r="J908" s="24"/>
      <c r="K908" s="15"/>
      <c r="L908" s="15"/>
      <c r="M908" s="15"/>
      <c r="N908" s="24"/>
      <c r="O908" s="24"/>
      <c r="P908" s="15"/>
      <c r="Q908" s="23"/>
      <c r="R908" s="23"/>
      <c r="S908" s="24"/>
      <c r="T908" s="24"/>
      <c r="U908" s="15"/>
      <c r="V908" s="15"/>
      <c r="W908" s="15"/>
      <c r="X908" s="15"/>
      <c r="Y908" s="15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 ht="12.75">
      <c r="A909" s="15"/>
      <c r="B909" s="16"/>
      <c r="C909" s="23"/>
      <c r="D909" s="23"/>
      <c r="E909" s="47"/>
      <c r="F909" s="15"/>
      <c r="G909" s="23"/>
      <c r="H909" s="23"/>
      <c r="I909" s="24"/>
      <c r="J909" s="24"/>
      <c r="K909" s="15"/>
      <c r="L909" s="15"/>
      <c r="M909" s="15"/>
      <c r="N909" s="24"/>
      <c r="O909" s="24"/>
      <c r="P909" s="15"/>
      <c r="Q909" s="23"/>
      <c r="R909" s="23"/>
      <c r="S909" s="24"/>
      <c r="T909" s="24"/>
      <c r="U909" s="15"/>
      <c r="V909" s="15"/>
      <c r="W909" s="15"/>
      <c r="X909" s="15"/>
      <c r="Y909" s="15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 ht="12.75">
      <c r="A910" s="15"/>
      <c r="B910" s="16"/>
      <c r="C910" s="23"/>
      <c r="D910" s="23"/>
      <c r="E910" s="47"/>
      <c r="F910" s="15"/>
      <c r="G910" s="23"/>
      <c r="H910" s="23"/>
      <c r="I910" s="24"/>
      <c r="J910" s="24"/>
      <c r="K910" s="15"/>
      <c r="L910" s="15"/>
      <c r="M910" s="15"/>
      <c r="N910" s="24"/>
      <c r="O910" s="24"/>
      <c r="P910" s="15"/>
      <c r="Q910" s="23"/>
      <c r="R910" s="23"/>
      <c r="S910" s="24"/>
      <c r="T910" s="24"/>
      <c r="U910" s="15"/>
      <c r="V910" s="15"/>
      <c r="W910" s="15"/>
      <c r="X910" s="15"/>
      <c r="Y910" s="15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 ht="12.75">
      <c r="A911" s="15"/>
      <c r="B911" s="16"/>
      <c r="C911" s="23"/>
      <c r="D911" s="23"/>
      <c r="E911" s="47"/>
      <c r="F911" s="15"/>
      <c r="G911" s="23"/>
      <c r="H911" s="23"/>
      <c r="I911" s="24"/>
      <c r="J911" s="24"/>
      <c r="K911" s="15"/>
      <c r="L911" s="15"/>
      <c r="M911" s="15"/>
      <c r="N911" s="24"/>
      <c r="O911" s="24"/>
      <c r="P911" s="15"/>
      <c r="Q911" s="23"/>
      <c r="R911" s="23"/>
      <c r="S911" s="24"/>
      <c r="T911" s="24"/>
      <c r="U911" s="15"/>
      <c r="V911" s="15"/>
      <c r="W911" s="15"/>
      <c r="X911" s="15"/>
      <c r="Y911" s="15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 ht="12.75">
      <c r="A912" s="15"/>
      <c r="B912" s="16"/>
      <c r="C912" s="23"/>
      <c r="D912" s="23"/>
      <c r="E912" s="47"/>
      <c r="F912" s="15"/>
      <c r="G912" s="23"/>
      <c r="H912" s="15"/>
      <c r="I912" s="24"/>
      <c r="J912" s="24"/>
      <c r="K912" s="15"/>
      <c r="L912" s="15"/>
      <c r="M912" s="15"/>
      <c r="N912" s="24"/>
      <c r="O912" s="24"/>
      <c r="P912" s="15"/>
      <c r="Q912" s="15"/>
      <c r="R912" s="15"/>
      <c r="S912" s="24"/>
      <c r="T912" s="24"/>
      <c r="U912" s="23"/>
      <c r="V912" s="23"/>
      <c r="W912" s="15"/>
      <c r="X912" s="23"/>
      <c r="Y912" s="15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25" ht="12.75">
      <c r="A913" s="15"/>
      <c r="B913" s="15"/>
      <c r="C913" s="15"/>
      <c r="D913" s="21" t="s">
        <v>923</v>
      </c>
      <c r="E913" s="16" t="s">
        <v>923</v>
      </c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24"/>
      <c r="T913" s="24">
        <f>SUM(P913:S913)</f>
        <v>0</v>
      </c>
      <c r="U913" s="23"/>
      <c r="V913" s="23"/>
      <c r="W913" s="15"/>
      <c r="X913" s="23"/>
      <c r="Y913" s="15"/>
    </row>
    <row r="914" spans="1:25" ht="12.75">
      <c r="A914" s="15"/>
      <c r="B914" s="15"/>
      <c r="C914" s="15"/>
      <c r="D914" s="21" t="s">
        <v>923</v>
      </c>
      <c r="E914" s="16" t="s">
        <v>923</v>
      </c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24"/>
      <c r="T914" s="24">
        <f>SUM(P914:S914)</f>
        <v>0</v>
      </c>
      <c r="U914" s="23"/>
      <c r="V914" s="23"/>
      <c r="W914" s="15"/>
      <c r="X914" s="23"/>
      <c r="Y914" s="15"/>
    </row>
    <row r="915" spans="1:2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120"/>
      <c r="T915" s="121"/>
      <c r="U915" s="2"/>
      <c r="V915" s="2"/>
      <c r="W915" s="2"/>
      <c r="X915" s="2"/>
      <c r="Y915" s="2"/>
    </row>
    <row r="916" spans="1:2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120"/>
      <c r="T916" s="120"/>
      <c r="U916" s="20"/>
      <c r="V916" s="20"/>
      <c r="W916" s="2"/>
      <c r="X916" s="20"/>
      <c r="Y916" s="2"/>
    </row>
    <row r="917" spans="1:2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120"/>
      <c r="T917" s="120"/>
      <c r="U917" s="20"/>
      <c r="V917" s="20"/>
      <c r="W917" s="2"/>
      <c r="X917" s="20"/>
      <c r="Y917" s="2"/>
    </row>
    <row r="918" spans="1:2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120"/>
      <c r="T918" s="120"/>
      <c r="U918" s="20"/>
      <c r="V918" s="20"/>
      <c r="W918" s="2"/>
      <c r="X918" s="20"/>
      <c r="Y918" s="2"/>
    </row>
    <row r="919" spans="1:2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121"/>
      <c r="U919" s="2"/>
      <c r="V919" s="2"/>
      <c r="W919" s="2"/>
      <c r="X919" s="2"/>
      <c r="Y919" s="2"/>
    </row>
    <row r="920" spans="1:2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120"/>
      <c r="U920" s="20"/>
      <c r="V920" s="20"/>
      <c r="W920" s="2"/>
      <c r="X920" s="20"/>
      <c r="Y920" s="2"/>
    </row>
    <row r="921" spans="1:2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120"/>
      <c r="U921" s="20"/>
      <c r="V921" s="20"/>
      <c r="W921" s="2"/>
      <c r="X921" s="20"/>
      <c r="Y921" s="2"/>
    </row>
    <row r="922" spans="1:2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120"/>
      <c r="U922" s="20"/>
      <c r="V922" s="20"/>
      <c r="W922" s="2"/>
      <c r="X922" s="20"/>
      <c r="Y922" s="2"/>
    </row>
    <row r="923" spans="1:2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121"/>
      <c r="U923" s="2"/>
      <c r="V923" s="2"/>
      <c r="W923" s="2"/>
      <c r="X923" s="2"/>
      <c r="Y923" s="2"/>
    </row>
    <row r="924" spans="1:2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121"/>
      <c r="U924" s="2"/>
      <c r="V924" s="2"/>
      <c r="W924" s="2"/>
      <c r="X924" s="2"/>
      <c r="Y924" s="2"/>
    </row>
    <row r="925" spans="1:2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120"/>
      <c r="U925" s="20"/>
      <c r="V925" s="20"/>
      <c r="W925" s="2"/>
      <c r="X925" s="20"/>
      <c r="Y925" s="2"/>
    </row>
    <row r="926" spans="1:2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120"/>
      <c r="U926" s="20"/>
      <c r="V926" s="20"/>
      <c r="W926" s="2"/>
      <c r="X926" s="20"/>
      <c r="Y926" s="2"/>
    </row>
    <row r="927" spans="1:2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121"/>
      <c r="U927" s="2"/>
      <c r="V927" s="2"/>
      <c r="W927" s="2"/>
      <c r="X927" s="2"/>
      <c r="Y927" s="2"/>
    </row>
    <row r="928" spans="1:2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120"/>
      <c r="U928" s="20"/>
      <c r="V928" s="20"/>
      <c r="W928" s="2"/>
      <c r="X928" s="20"/>
      <c r="Y928" s="2"/>
    </row>
    <row r="929" spans="1:6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120"/>
      <c r="U929" s="20"/>
      <c r="V929" s="20"/>
      <c r="W929" s="2"/>
      <c r="X929" s="20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</row>
    <row r="930" spans="1:63" ht="7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121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</row>
    <row r="931" spans="1:6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120"/>
      <c r="U931" s="20"/>
      <c r="V931" s="20"/>
      <c r="W931" s="2"/>
      <c r="X931" s="20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</row>
    <row r="932" spans="1:6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121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</row>
    <row r="933" spans="1:6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121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</row>
    <row r="934" spans="1:6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121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</row>
    <row r="935" spans="1:6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121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8"/>
      <c r="BC935" s="8"/>
      <c r="BD935" s="8"/>
      <c r="BE935" s="8"/>
      <c r="BF935" s="8"/>
      <c r="BG935" s="8"/>
      <c r="BH935" s="8"/>
      <c r="BI935" s="8"/>
      <c r="BJ935" s="8"/>
      <c r="BK935" s="8"/>
    </row>
    <row r="936" spans="1:6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121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8"/>
      <c r="BC936" s="8"/>
      <c r="BD936" s="8"/>
      <c r="BE936" s="8"/>
      <c r="BF936" s="8"/>
      <c r="BG936" s="8"/>
      <c r="BH936" s="8"/>
      <c r="BI936" s="8"/>
      <c r="BJ936" s="8"/>
      <c r="BK936" s="8"/>
    </row>
    <row r="937" spans="1:6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121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8"/>
      <c r="BC937" s="8"/>
      <c r="BD937" s="8"/>
      <c r="BE937" s="8"/>
      <c r="BF937" s="8"/>
      <c r="BG937" s="8"/>
      <c r="BH937" s="8"/>
      <c r="BI937" s="8"/>
      <c r="BJ937" s="8"/>
      <c r="BK937" s="8"/>
    </row>
    <row r="938" spans="1:6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121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8"/>
      <c r="BC938" s="8"/>
      <c r="BD938" s="8"/>
      <c r="BE938" s="8"/>
      <c r="BF938" s="8"/>
      <c r="BG938" s="8"/>
      <c r="BH938" s="8"/>
      <c r="BI938" s="8"/>
      <c r="BJ938" s="8"/>
      <c r="BK938" s="8"/>
    </row>
    <row r="939" spans="1:6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121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8"/>
      <c r="BC939" s="8"/>
      <c r="BD939" s="8"/>
      <c r="BE939" s="8"/>
      <c r="BF939" s="8"/>
      <c r="BG939" s="8"/>
      <c r="BH939" s="8"/>
      <c r="BI939" s="8"/>
      <c r="BJ939" s="8"/>
      <c r="BK939" s="8"/>
    </row>
    <row r="940" spans="1:6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121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8"/>
      <c r="BC940" s="8"/>
      <c r="BD940" s="8"/>
      <c r="BE940" s="8"/>
      <c r="BF940" s="8"/>
      <c r="BG940" s="8"/>
      <c r="BH940" s="8"/>
      <c r="BI940" s="8"/>
      <c r="BJ940" s="8"/>
      <c r="BK940" s="8"/>
    </row>
    <row r="941" spans="1:6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121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8"/>
      <c r="BC941" s="8"/>
      <c r="BD941" s="8"/>
      <c r="BE941" s="8"/>
      <c r="BF941" s="8"/>
      <c r="BG941" s="8"/>
      <c r="BH941" s="8"/>
      <c r="BI941" s="8"/>
      <c r="BJ941" s="8"/>
      <c r="BK941" s="8"/>
    </row>
    <row r="942" spans="1:6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121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8"/>
      <c r="BC942" s="8"/>
      <c r="BD942" s="8"/>
      <c r="BE942" s="8"/>
      <c r="BF942" s="8"/>
      <c r="BG942" s="8"/>
      <c r="BH942" s="8"/>
      <c r="BI942" s="8"/>
      <c r="BJ942" s="8"/>
      <c r="BK942" s="8"/>
    </row>
    <row r="943" spans="1:6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121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8"/>
      <c r="BC943" s="8"/>
      <c r="BD943" s="8"/>
      <c r="BE943" s="8"/>
      <c r="BF943" s="8"/>
      <c r="BG943" s="8"/>
      <c r="BH943" s="8"/>
      <c r="BI943" s="8"/>
      <c r="BJ943" s="8"/>
      <c r="BK943" s="8"/>
    </row>
    <row r="944" spans="1:6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121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8"/>
      <c r="BC944" s="8"/>
      <c r="BD944" s="8"/>
      <c r="BE944" s="8"/>
      <c r="BF944" s="8"/>
      <c r="BG944" s="8"/>
      <c r="BH944" s="8"/>
      <c r="BI944" s="8"/>
      <c r="BJ944" s="8"/>
      <c r="BK944" s="8"/>
    </row>
    <row r="945" spans="1:6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121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8"/>
      <c r="BC945" s="8"/>
      <c r="BD945" s="8"/>
      <c r="BE945" s="8"/>
      <c r="BF945" s="8"/>
      <c r="BG945" s="8"/>
      <c r="BH945" s="8"/>
      <c r="BI945" s="8"/>
      <c r="BJ945" s="8"/>
      <c r="BK945" s="8"/>
    </row>
    <row r="946" spans="1:6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121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8"/>
      <c r="BC946" s="8"/>
      <c r="BD946" s="8"/>
      <c r="BE946" s="8"/>
      <c r="BF946" s="8"/>
      <c r="BG946" s="8"/>
      <c r="BH946" s="8"/>
      <c r="BI946" s="8"/>
      <c r="BJ946" s="8"/>
      <c r="BK946" s="8"/>
    </row>
    <row r="947" spans="1:6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121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8"/>
      <c r="BC947" s="8"/>
      <c r="BD947" s="8"/>
      <c r="BE947" s="8"/>
      <c r="BF947" s="8"/>
      <c r="BG947" s="8"/>
      <c r="BH947" s="8"/>
      <c r="BI947" s="8"/>
      <c r="BJ947" s="8"/>
      <c r="BK947" s="8"/>
    </row>
    <row r="948" spans="1:6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121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8"/>
      <c r="BC948" s="8"/>
      <c r="BD948" s="8"/>
      <c r="BE948" s="8"/>
      <c r="BF948" s="8"/>
      <c r="BG948" s="8"/>
      <c r="BH948" s="8"/>
      <c r="BI948" s="8"/>
      <c r="BJ948" s="8"/>
      <c r="BK948" s="8"/>
    </row>
    <row r="949" spans="1:6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121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8"/>
      <c r="BC949" s="8"/>
      <c r="BD949" s="8"/>
      <c r="BE949" s="8"/>
      <c r="BF949" s="8"/>
      <c r="BG949" s="8"/>
      <c r="BH949" s="8"/>
      <c r="BI949" s="8"/>
      <c r="BJ949" s="8"/>
      <c r="BK949" s="8"/>
    </row>
    <row r="950" spans="1:6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121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8"/>
      <c r="BC950" s="8"/>
      <c r="BD950" s="8"/>
      <c r="BE950" s="8"/>
      <c r="BF950" s="8"/>
      <c r="BG950" s="8"/>
      <c r="BH950" s="8"/>
      <c r="BI950" s="8"/>
      <c r="BJ950" s="8"/>
      <c r="BK950" s="8"/>
    </row>
    <row r="951" spans="1:6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121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8"/>
      <c r="BC951" s="8"/>
      <c r="BD951" s="8"/>
      <c r="BE951" s="8"/>
      <c r="BF951" s="8"/>
      <c r="BG951" s="8"/>
      <c r="BH951" s="8"/>
      <c r="BI951" s="8"/>
      <c r="BJ951" s="8"/>
      <c r="BK951" s="8"/>
    </row>
    <row r="952" spans="1:6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121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8"/>
      <c r="BC952" s="8"/>
      <c r="BD952" s="8"/>
      <c r="BE952" s="8"/>
      <c r="BF952" s="8"/>
      <c r="BG952" s="8"/>
      <c r="BH952" s="8"/>
      <c r="BI952" s="8"/>
      <c r="BJ952" s="8"/>
      <c r="BK952" s="8"/>
    </row>
    <row r="953" spans="1:6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121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8"/>
      <c r="BC953" s="8"/>
      <c r="BD953" s="8"/>
      <c r="BE953" s="8"/>
      <c r="BF953" s="8"/>
      <c r="BG953" s="8"/>
      <c r="BH953" s="8"/>
      <c r="BI953" s="8"/>
      <c r="BJ953" s="8"/>
      <c r="BK953" s="8"/>
    </row>
    <row r="954" spans="1:6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121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8"/>
      <c r="BC954" s="8"/>
      <c r="BD954" s="8"/>
      <c r="BE954" s="8"/>
      <c r="BF954" s="8"/>
      <c r="BG954" s="8"/>
      <c r="BH954" s="8"/>
      <c r="BI954" s="8"/>
      <c r="BJ954" s="8"/>
      <c r="BK954" s="8"/>
    </row>
    <row r="955" spans="1:6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121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8"/>
      <c r="BC955" s="8"/>
      <c r="BD955" s="8"/>
      <c r="BE955" s="8"/>
      <c r="BF955" s="8"/>
      <c r="BG955" s="8"/>
      <c r="BH955" s="8"/>
      <c r="BI955" s="8"/>
      <c r="BJ955" s="8"/>
      <c r="BK955" s="8"/>
    </row>
    <row r="956" spans="1:6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121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8"/>
      <c r="BC956" s="8"/>
      <c r="BD956" s="8"/>
      <c r="BE956" s="8"/>
      <c r="BF956" s="8"/>
      <c r="BG956" s="8"/>
      <c r="BH956" s="8"/>
      <c r="BI956" s="8"/>
      <c r="BJ956" s="8"/>
      <c r="BK956" s="8"/>
    </row>
    <row r="957" spans="1:6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121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8"/>
      <c r="BC957" s="8"/>
      <c r="BD957" s="8"/>
      <c r="BE957" s="8"/>
      <c r="BF957" s="8"/>
      <c r="BG957" s="8"/>
      <c r="BH957" s="8"/>
      <c r="BI957" s="8"/>
      <c r="BJ957" s="8"/>
      <c r="BK957" s="8"/>
    </row>
    <row r="958" spans="1:6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121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8"/>
      <c r="BC958" s="8"/>
      <c r="BD958" s="8"/>
      <c r="BE958" s="8"/>
      <c r="BF958" s="8"/>
      <c r="BG958" s="8"/>
      <c r="BH958" s="8"/>
      <c r="BI958" s="8"/>
      <c r="BJ958" s="8"/>
      <c r="BK958" s="8"/>
    </row>
    <row r="959" spans="1:6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121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8"/>
      <c r="BC959" s="8"/>
      <c r="BD959" s="8"/>
      <c r="BE959" s="8"/>
      <c r="BF959" s="8"/>
      <c r="BG959" s="8"/>
      <c r="BH959" s="8"/>
      <c r="BI959" s="8"/>
      <c r="BJ959" s="8"/>
      <c r="BK959" s="8"/>
    </row>
    <row r="960" spans="1:6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121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8"/>
      <c r="BC960" s="8"/>
      <c r="BD960" s="8"/>
      <c r="BE960" s="8"/>
      <c r="BF960" s="8"/>
      <c r="BG960" s="8"/>
      <c r="BH960" s="8"/>
      <c r="BI960" s="8"/>
      <c r="BJ960" s="8"/>
      <c r="BK960" s="8"/>
    </row>
    <row r="961" spans="1:6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121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8"/>
      <c r="BC961" s="8"/>
      <c r="BD961" s="8"/>
      <c r="BE961" s="8"/>
      <c r="BF961" s="8"/>
      <c r="BG961" s="8"/>
      <c r="BH961" s="8"/>
      <c r="BI961" s="8"/>
      <c r="BJ961" s="8"/>
      <c r="BK961" s="8"/>
    </row>
    <row r="962" spans="1:6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121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8"/>
      <c r="BC962" s="8"/>
      <c r="BD962" s="8"/>
      <c r="BE962" s="8"/>
      <c r="BF962" s="8"/>
      <c r="BG962" s="8"/>
      <c r="BH962" s="8"/>
      <c r="BI962" s="8"/>
      <c r="BJ962" s="8"/>
      <c r="BK962" s="8"/>
    </row>
    <row r="963" spans="1:6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121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8"/>
      <c r="BC963" s="8"/>
      <c r="BD963" s="8"/>
      <c r="BE963" s="8"/>
      <c r="BF963" s="8"/>
      <c r="BG963" s="8"/>
      <c r="BH963" s="8"/>
      <c r="BI963" s="8"/>
      <c r="BJ963" s="8"/>
      <c r="BK963" s="8"/>
    </row>
    <row r="964" spans="1:6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121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8"/>
      <c r="BC964" s="8"/>
      <c r="BD964" s="8"/>
      <c r="BE964" s="8"/>
      <c r="BF964" s="8"/>
      <c r="BG964" s="8"/>
      <c r="BH964" s="8"/>
      <c r="BI964" s="8"/>
      <c r="BJ964" s="8"/>
      <c r="BK964" s="8"/>
    </row>
    <row r="965" spans="1:6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121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8"/>
      <c r="BC965" s="8"/>
      <c r="BD965" s="8"/>
      <c r="BE965" s="8"/>
      <c r="BF965" s="8"/>
      <c r="BG965" s="8"/>
      <c r="BH965" s="8"/>
      <c r="BI965" s="8"/>
      <c r="BJ965" s="8"/>
      <c r="BK965" s="8"/>
    </row>
    <row r="966" spans="1:6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121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8"/>
      <c r="BC966" s="8"/>
      <c r="BD966" s="8"/>
      <c r="BE966" s="8"/>
      <c r="BF966" s="8"/>
      <c r="BG966" s="8"/>
      <c r="BH966" s="8"/>
      <c r="BI966" s="8"/>
      <c r="BJ966" s="8"/>
      <c r="BK966" s="8"/>
    </row>
    <row r="967" spans="1:6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121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8"/>
      <c r="BC967" s="8"/>
      <c r="BD967" s="8"/>
      <c r="BE967" s="8"/>
      <c r="BF967" s="8"/>
      <c r="BG967" s="8"/>
      <c r="BH967" s="8"/>
      <c r="BI967" s="8"/>
      <c r="BJ967" s="8"/>
      <c r="BK967" s="8"/>
    </row>
    <row r="968" spans="1:6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121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8"/>
      <c r="BC968" s="8"/>
      <c r="BD968" s="8"/>
      <c r="BE968" s="8"/>
      <c r="BF968" s="8"/>
      <c r="BG968" s="8"/>
      <c r="BH968" s="8"/>
      <c r="BI968" s="8"/>
      <c r="BJ968" s="8"/>
      <c r="BK968" s="8"/>
    </row>
    <row r="969" spans="1:6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121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8"/>
      <c r="BC969" s="8"/>
      <c r="BD969" s="8"/>
      <c r="BE969" s="8"/>
      <c r="BF969" s="8"/>
      <c r="BG969" s="8"/>
      <c r="BH969" s="8"/>
      <c r="BI969" s="8"/>
      <c r="BJ969" s="8"/>
      <c r="BK969" s="8"/>
    </row>
    <row r="970" spans="1:6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121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8"/>
      <c r="BC970" s="8"/>
      <c r="BD970" s="8"/>
      <c r="BE970" s="8"/>
      <c r="BF970" s="8"/>
      <c r="BG970" s="8"/>
      <c r="BH970" s="8"/>
      <c r="BI970" s="8"/>
      <c r="BJ970" s="8"/>
      <c r="BK970" s="8"/>
    </row>
    <row r="971" spans="1:6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121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8"/>
      <c r="BC971" s="8"/>
      <c r="BD971" s="8"/>
      <c r="BE971" s="8"/>
      <c r="BF971" s="8"/>
      <c r="BG971" s="8"/>
      <c r="BH971" s="8"/>
      <c r="BI971" s="8"/>
      <c r="BJ971" s="8"/>
      <c r="BK971" s="8"/>
    </row>
    <row r="972" spans="1:6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121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8"/>
      <c r="BC972" s="8"/>
      <c r="BD972" s="8"/>
      <c r="BE972" s="8"/>
      <c r="BF972" s="8"/>
      <c r="BG972" s="8"/>
      <c r="BH972" s="8"/>
      <c r="BI972" s="8"/>
      <c r="BJ972" s="8"/>
      <c r="BK972" s="8"/>
    </row>
    <row r="973" spans="1:6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121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8"/>
      <c r="BC973" s="8"/>
      <c r="BD973" s="8"/>
      <c r="BE973" s="8"/>
      <c r="BF973" s="8"/>
      <c r="BG973" s="8"/>
      <c r="BH973" s="8"/>
      <c r="BI973" s="8"/>
      <c r="BJ973" s="8"/>
      <c r="BK973" s="8"/>
    </row>
    <row r="974" spans="1:6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121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8"/>
      <c r="BC974" s="8"/>
      <c r="BD974" s="8"/>
      <c r="BE974" s="8"/>
      <c r="BF974" s="8"/>
      <c r="BG974" s="8"/>
      <c r="BH974" s="8"/>
      <c r="BI974" s="8"/>
      <c r="BJ974" s="8"/>
      <c r="BK974" s="8"/>
    </row>
    <row r="975" spans="1:6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121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8"/>
      <c r="BC975" s="8"/>
      <c r="BD975" s="8"/>
      <c r="BE975" s="8"/>
      <c r="BF975" s="8"/>
      <c r="BG975" s="8"/>
      <c r="BH975" s="8"/>
      <c r="BI975" s="8"/>
      <c r="BJ975" s="8"/>
      <c r="BK975" s="8"/>
    </row>
    <row r="976" spans="1:6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121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8"/>
      <c r="BC976" s="8"/>
      <c r="BD976" s="8"/>
      <c r="BE976" s="8"/>
      <c r="BF976" s="8"/>
      <c r="BG976" s="8"/>
      <c r="BH976" s="8"/>
      <c r="BI976" s="8"/>
      <c r="BJ976" s="8"/>
      <c r="BK976" s="8"/>
    </row>
    <row r="977" spans="1:20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121"/>
    </row>
    <row r="978" spans="1:20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121"/>
    </row>
    <row r="979" spans="1:20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121"/>
    </row>
    <row r="980" spans="1:2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121"/>
    </row>
    <row r="981" spans="1:20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121"/>
    </row>
    <row r="982" spans="1:20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121"/>
    </row>
    <row r="983" spans="1:20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120"/>
    </row>
    <row r="984" spans="1:20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120"/>
    </row>
    <row r="985" spans="1:20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121"/>
    </row>
    <row r="986" spans="1:20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121"/>
    </row>
    <row r="987" spans="1:20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120"/>
    </row>
    <row r="988" spans="1:20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121"/>
    </row>
    <row r="989" spans="1:20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120"/>
    </row>
    <row r="990" spans="1:20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121"/>
    </row>
    <row r="991" spans="1:20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121"/>
    </row>
    <row r="992" spans="1:20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120"/>
    </row>
    <row r="993" spans="1:20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120"/>
    </row>
    <row r="994" spans="1:20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120"/>
    </row>
    <row r="995" spans="1:20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121"/>
    </row>
    <row r="996" spans="1:20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120"/>
    </row>
    <row r="997" spans="1:20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120"/>
    </row>
    <row r="998" spans="1:20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120"/>
    </row>
    <row r="999" spans="1:20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121"/>
    </row>
    <row r="1000" spans="1:2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120"/>
    </row>
    <row r="1001" spans="1:2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120"/>
    </row>
    <row r="1002" spans="1:2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120"/>
    </row>
    <row r="1003" spans="1:2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121"/>
    </row>
    <row r="1004" spans="1:2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121"/>
    </row>
    <row r="1005" spans="1:2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120"/>
    </row>
    <row r="1006" spans="1:2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120"/>
    </row>
    <row r="1007" spans="1:2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121"/>
    </row>
    <row r="1008" spans="1:2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121"/>
    </row>
    <row r="1009" spans="1:8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120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</row>
    <row r="1010" spans="1:8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12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</row>
    <row r="1011" spans="1:8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121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</row>
    <row r="1012" spans="1:8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121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</row>
    <row r="1013" spans="1:8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121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</row>
    <row r="1014" spans="1:8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121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</row>
    <row r="1015" spans="1:8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121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</row>
    <row r="1016" spans="1:8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121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</row>
    <row r="1017" spans="1:8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121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</row>
    <row r="1018" spans="1:8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121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</row>
    <row r="1019" spans="1:8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121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8"/>
      <c r="BX1019" s="114"/>
      <c r="BY1019" s="114"/>
      <c r="BZ1019" s="114"/>
      <c r="CA1019" s="114"/>
      <c r="CB1019" s="114"/>
      <c r="CC1019" s="114"/>
      <c r="CD1019" s="114"/>
      <c r="CE1019" s="114"/>
      <c r="CF1019" s="114"/>
      <c r="CG1019" s="2"/>
      <c r="CH1019" s="2"/>
    </row>
    <row r="1020" spans="1:8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121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8"/>
      <c r="BX1020" s="114"/>
      <c r="BY1020" s="114"/>
      <c r="BZ1020" s="114"/>
      <c r="CA1020" s="114"/>
      <c r="CB1020" s="114"/>
      <c r="CC1020" s="114"/>
      <c r="CD1020" s="114"/>
      <c r="CE1020" s="114"/>
      <c r="CF1020" s="114"/>
      <c r="CG1020" s="2"/>
      <c r="CH1020" s="2"/>
    </row>
    <row r="1021" spans="1:8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121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2"/>
      <c r="CH1021" s="2"/>
    </row>
    <row r="1022" spans="1:8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121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2"/>
      <c r="CH1022" s="2"/>
    </row>
    <row r="1023" spans="1:8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121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2"/>
      <c r="CH1023" s="2"/>
    </row>
    <row r="1024" spans="1:8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121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2"/>
      <c r="CH1024" s="20"/>
    </row>
    <row r="1025" spans="1:95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121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8"/>
      <c r="BY1025" s="8"/>
      <c r="BZ1025" s="8"/>
      <c r="CA1025" s="8"/>
      <c r="CB1025" s="8"/>
      <c r="CC1025" s="8"/>
      <c r="CD1025" s="8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</row>
    <row r="1026" spans="1:95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121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</row>
    <row r="1027" spans="1:95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121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</row>
    <row r="1028" spans="1:95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120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</row>
    <row r="1029" spans="1:95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121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</row>
    <row r="1030" spans="1:95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120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</row>
    <row r="1031" spans="1:95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121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</row>
    <row r="1032" spans="1:95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121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</row>
    <row r="1033" spans="1:95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121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117"/>
    </row>
    <row r="1034" spans="1:95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121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117"/>
    </row>
    <row r="1035" spans="1:95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120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122"/>
    </row>
    <row r="1036" spans="1:95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121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122"/>
    </row>
    <row r="1037" spans="1:95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120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122"/>
    </row>
    <row r="1038" spans="1:95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121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122"/>
    </row>
    <row r="1039" spans="1:95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121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122"/>
    </row>
    <row r="1040" spans="1:95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120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86"/>
      <c r="AH1040" s="85"/>
      <c r="AI1040" s="85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122"/>
    </row>
    <row r="1041" spans="1:95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120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84"/>
      <c r="AH1041" s="84"/>
      <c r="AI1041" s="84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122"/>
    </row>
    <row r="1042" spans="1:95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120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84"/>
      <c r="AH1042" s="84"/>
      <c r="AI1042" s="84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122"/>
    </row>
    <row r="1043" spans="1:95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121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84"/>
      <c r="AH1043" s="84"/>
      <c r="AI1043" s="84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122"/>
    </row>
    <row r="1044" spans="1:95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120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84"/>
      <c r="AH1044" s="84"/>
      <c r="AI1044" s="84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122"/>
    </row>
    <row r="1045" spans="1:95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120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84"/>
      <c r="AH1045" s="84"/>
      <c r="AI1045" s="84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122"/>
    </row>
    <row r="1046" spans="1:95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120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84"/>
      <c r="AH1046" s="84"/>
      <c r="AI1046" s="84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122"/>
    </row>
    <row r="1047" spans="1:95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121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84"/>
      <c r="AH1047" s="84"/>
      <c r="AI1047" s="84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122"/>
    </row>
    <row r="1048" spans="1:95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120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84"/>
      <c r="AH1048" s="84"/>
      <c r="AI1048" s="84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122"/>
    </row>
    <row r="1049" spans="1:95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120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84"/>
      <c r="AH1049" s="84"/>
      <c r="AI1049" s="84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122"/>
    </row>
    <row r="1050" spans="1:95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120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84"/>
      <c r="AH1050" s="84"/>
      <c r="AI1050" s="84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122"/>
    </row>
    <row r="1051" spans="1:95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84"/>
      <c r="AH1051" s="84"/>
      <c r="AI1051" s="84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122"/>
    </row>
    <row r="1052" spans="1:95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84"/>
      <c r="AH1052" s="84"/>
      <c r="AI1052" s="84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122"/>
    </row>
    <row r="1053" spans="1:95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0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84"/>
      <c r="AH1053" s="84"/>
      <c r="AI1053" s="84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122"/>
    </row>
    <row r="1054" spans="1:95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0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84"/>
      <c r="AH1054" s="84"/>
      <c r="AI1054" s="84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122"/>
    </row>
    <row r="1055" spans="1:95" ht="7.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122"/>
    </row>
    <row r="1056" spans="1:95" ht="7.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84"/>
      <c r="AH1056" s="84"/>
      <c r="AI1056" s="84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</row>
    <row r="1057" spans="1:95" ht="7.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0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84"/>
      <c r="AH1057" s="84"/>
      <c r="AI1057" s="84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114"/>
    </row>
    <row r="1058" spans="1:95" ht="7.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114"/>
    </row>
    <row r="1059" spans="1:95" ht="7.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114"/>
    </row>
    <row r="1060" spans="1:95" ht="7.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114"/>
    </row>
    <row r="1061" spans="1:95" ht="7.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114"/>
    </row>
    <row r="1062" spans="1:95" ht="7.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114"/>
    </row>
    <row r="1063" spans="1:95" ht="7.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114"/>
    </row>
    <row r="1064" spans="1:95" ht="7.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0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114"/>
    </row>
    <row r="1065" spans="1:95" ht="7.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114"/>
    </row>
    <row r="1066" spans="1:95" ht="7.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123"/>
      <c r="Z1066" s="123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</row>
    <row r="1067" spans="1:95" ht="7.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</row>
    <row r="1068" spans="1:95" ht="7.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</row>
    <row r="1069" spans="1:95" ht="7.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</row>
    <row r="1070" spans="1:95" ht="7.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</row>
    <row r="1074" spans="1:94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8"/>
      <c r="CI1074" s="2"/>
      <c r="CJ1074" s="8"/>
      <c r="CK1074" s="8"/>
      <c r="CL1074" s="8"/>
      <c r="CM1074" s="8"/>
      <c r="CN1074" s="8"/>
      <c r="CO1074" s="8"/>
      <c r="CP1074" s="8"/>
    </row>
    <row r="1075" spans="1:94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8"/>
      <c r="CI1075" s="2"/>
      <c r="CJ1075" s="8"/>
      <c r="CK1075" s="8"/>
      <c r="CL1075" s="8"/>
      <c r="CM1075" s="8"/>
      <c r="CN1075" s="8"/>
      <c r="CO1075" s="8"/>
      <c r="CP1075" s="8"/>
    </row>
    <row r="1098" spans="1:96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8"/>
    </row>
    <row r="1099" spans="1:96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8"/>
    </row>
    <row r="1100" spans="1:96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8"/>
    </row>
    <row r="1101" spans="1:96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</row>
    <row r="1103" spans="1:96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</row>
    <row r="1104" spans="1:96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</row>
    <row r="1105" spans="1:24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8" spans="1:24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1" spans="1:24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4" spans="1:24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7" spans="1:24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0"/>
      <c r="U1117" s="20"/>
      <c r="V1117" s="20"/>
      <c r="W1117" s="2"/>
      <c r="X1117" s="20"/>
    </row>
    <row r="1118" spans="1:24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0"/>
      <c r="U1118" s="20"/>
      <c r="V1118" s="20"/>
      <c r="W1118" s="2"/>
      <c r="X1118" s="20"/>
    </row>
    <row r="1164" spans="1:15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86"/>
      <c r="O1164" s="86"/>
    </row>
    <row r="1165" spans="1:15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86"/>
      <c r="O1165" s="86"/>
    </row>
    <row r="1166" spans="1:15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86"/>
      <c r="O1166" s="86"/>
    </row>
    <row r="1167" spans="1:15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86"/>
      <c r="O1167" s="86"/>
    </row>
    <row r="1174" spans="1:7" ht="12.75">
      <c r="A1174" s="2"/>
      <c r="B1174" s="2"/>
      <c r="C1174" s="2"/>
      <c r="D1174" s="2"/>
      <c r="E1174" s="2"/>
      <c r="F1174" s="2"/>
      <c r="G1174" s="2"/>
    </row>
    <row r="1175" spans="1:7" ht="12.75">
      <c r="A1175" s="2"/>
      <c r="B1175" s="2"/>
      <c r="C1175" s="2"/>
      <c r="D1175" s="2"/>
      <c r="E1175" s="2"/>
      <c r="F1175" s="2"/>
      <c r="G1175" s="2"/>
    </row>
    <row r="1176" spans="1:7" ht="12.75">
      <c r="A1176" s="2"/>
      <c r="B1176" s="2"/>
      <c r="C1176" s="2"/>
      <c r="D1176" s="2"/>
      <c r="E1176" s="2"/>
      <c r="F1176" s="2"/>
      <c r="G1176" s="2"/>
    </row>
    <row r="1177" spans="1:7" ht="12.75">
      <c r="A1177" s="2"/>
      <c r="B1177" s="2"/>
      <c r="C1177" s="2"/>
      <c r="D1177" s="2"/>
      <c r="E1177" s="2"/>
      <c r="F1177" s="2"/>
      <c r="G1177" s="2"/>
    </row>
    <row r="1178" spans="1:7" ht="12.75">
      <c r="A1178" s="2"/>
      <c r="B1178" s="2"/>
      <c r="C1178" s="2"/>
      <c r="D1178" s="2"/>
      <c r="E1178" s="2"/>
      <c r="F1178" s="2"/>
      <c r="G1178" s="2"/>
    </row>
    <row r="1179" spans="1:7" ht="12.75">
      <c r="A1179" s="2"/>
      <c r="B1179" s="2"/>
      <c r="C1179" s="2"/>
      <c r="D1179" s="2"/>
      <c r="E1179" s="2"/>
      <c r="F1179" s="2"/>
      <c r="G1179" s="2"/>
    </row>
    <row r="1180" spans="1:7" ht="12.75">
      <c r="A1180" s="2"/>
      <c r="B1180" s="2"/>
      <c r="C1180" s="2"/>
      <c r="D1180" s="2"/>
      <c r="E1180" s="2"/>
      <c r="F1180" s="2"/>
      <c r="G1180" s="2"/>
    </row>
    <row r="1181" spans="1:7" ht="12.75">
      <c r="A1181" s="2"/>
      <c r="B1181" s="2"/>
      <c r="C1181" s="2"/>
      <c r="D1181" s="2"/>
      <c r="E1181" s="2"/>
      <c r="F1181" s="2"/>
      <c r="G1181" s="2"/>
    </row>
    <row r="1182" spans="1:7" ht="12.75">
      <c r="A1182" s="2"/>
      <c r="B1182" s="2"/>
      <c r="C1182" s="2"/>
      <c r="D1182" s="2"/>
      <c r="E1182" s="2"/>
      <c r="F1182" s="2"/>
      <c r="G1182" s="2"/>
    </row>
    <row r="1183" spans="1:7" ht="12.75">
      <c r="A1183" s="2"/>
      <c r="B1183" s="2"/>
      <c r="C1183" s="2"/>
      <c r="D1183" s="2"/>
      <c r="E1183" s="2"/>
      <c r="F1183" s="2"/>
      <c r="G1183" s="2"/>
    </row>
    <row r="1184" spans="1:7" ht="12.75">
      <c r="A1184" s="2"/>
      <c r="B1184" s="2"/>
      <c r="C1184" s="2"/>
      <c r="D1184" s="2"/>
      <c r="E1184" s="2"/>
      <c r="F1184" s="2"/>
      <c r="G1184" s="2"/>
    </row>
    <row r="1185" spans="1:7" ht="12.75">
      <c r="A1185" s="2"/>
      <c r="B1185" s="2"/>
      <c r="C1185" s="2"/>
      <c r="D1185" s="2"/>
      <c r="E1185" s="2"/>
      <c r="F1185" s="2"/>
      <c r="G1185" s="2"/>
    </row>
    <row r="1186" spans="1:7" ht="12.75">
      <c r="A1186" s="2"/>
      <c r="B1186" s="2"/>
      <c r="C1186" s="2"/>
      <c r="D1186" s="2"/>
      <c r="E1186" s="2"/>
      <c r="F1186" s="2"/>
      <c r="G1186" s="2"/>
    </row>
    <row r="1187" spans="1:7" ht="12.75">
      <c r="A1187" s="2"/>
      <c r="B1187" s="2"/>
      <c r="C1187" s="2"/>
      <c r="D1187" s="2"/>
      <c r="E1187" s="2"/>
      <c r="F1187" s="2"/>
      <c r="G1187" s="2"/>
    </row>
    <row r="1188" spans="1:7" ht="12.75">
      <c r="A1188" s="2"/>
      <c r="B1188" s="2"/>
      <c r="C1188" s="2"/>
      <c r="D1188" s="2"/>
      <c r="E1188" s="2"/>
      <c r="F1188" s="2"/>
      <c r="G1188" s="2"/>
    </row>
    <row r="1189" spans="1:7" ht="10.5" customHeight="1">
      <c r="A1189" s="2"/>
      <c r="B1189" s="2"/>
      <c r="C1189" s="2"/>
      <c r="D1189" s="2"/>
      <c r="E1189" s="2"/>
      <c r="F1189" s="2"/>
      <c r="G1189" s="2"/>
    </row>
    <row r="1190" spans="1:7" ht="9" customHeight="1">
      <c r="A1190" s="2"/>
      <c r="B1190" s="2"/>
      <c r="C1190" s="2"/>
      <c r="D1190" s="2"/>
      <c r="E1190" s="2"/>
      <c r="F1190" s="2"/>
      <c r="G1190" s="2"/>
    </row>
    <row r="1191" spans="1:7" ht="12.75">
      <c r="A1191" s="2"/>
      <c r="B1191" s="2"/>
      <c r="C1191" s="2"/>
      <c r="D1191" s="2"/>
      <c r="E1191" s="2"/>
      <c r="F1191" s="2"/>
      <c r="G1191" s="2"/>
    </row>
    <row r="1192" spans="1:7" ht="12.75">
      <c r="A1192" s="2"/>
      <c r="B1192" s="2"/>
      <c r="C1192" s="2"/>
      <c r="D1192" s="2"/>
      <c r="E1192" s="2"/>
      <c r="F1192" s="2"/>
      <c r="G1192" s="2"/>
    </row>
    <row r="1194" spans="1:7" ht="12.75" customHeight="1">
      <c r="A1194" s="2"/>
      <c r="B1194" s="2"/>
      <c r="C1194" s="2"/>
      <c r="D1194" s="2"/>
      <c r="E1194" s="2"/>
      <c r="F1194" s="2"/>
      <c r="G1194" s="2"/>
    </row>
    <row r="1197" spans="1:7" ht="12.75">
      <c r="A1197" s="2"/>
      <c r="B1197" s="2"/>
      <c r="C1197" s="2"/>
      <c r="D1197" s="2"/>
      <c r="E1197" s="2"/>
      <c r="F1197" s="2"/>
      <c r="G1197" s="2"/>
    </row>
    <row r="1198" spans="1:7" ht="12.75">
      <c r="A1198" s="2"/>
      <c r="B1198" s="2"/>
      <c r="C1198" s="2"/>
      <c r="D1198" s="2"/>
      <c r="E1198" s="2"/>
      <c r="F1198" s="2"/>
      <c r="G1198" s="2"/>
    </row>
    <row r="1269" ht="14.25" customHeight="1"/>
    <row r="1272" ht="13.5" customHeight="1"/>
    <row r="1273" ht="13.5" customHeight="1"/>
    <row r="1274" ht="9" customHeight="1"/>
    <row r="1275" ht="5.25" customHeight="1"/>
    <row r="1276" ht="5.25" customHeight="1"/>
    <row r="1277" ht="5.25" customHeight="1"/>
    <row r="1278" ht="5.25" customHeight="1"/>
    <row r="1279" ht="5.25" customHeight="1"/>
    <row r="1280" ht="5.25" customHeight="1"/>
    <row r="1281" ht="5.25" customHeight="1"/>
    <row r="1282" ht="5.25" customHeight="1"/>
    <row r="1283" ht="5.25" customHeight="1"/>
    <row r="1284" ht="5.25" customHeight="1"/>
    <row r="1285" ht="5.25" customHeight="1"/>
    <row r="1286" ht="5.25" customHeight="1"/>
    <row r="1287" ht="5.25" customHeight="1"/>
    <row r="1288" ht="5.25" customHeight="1"/>
    <row r="1289" ht="5.25" customHeight="1"/>
    <row r="1290" ht="5.25" customHeight="1"/>
    <row r="1291" ht="5.25" customHeight="1"/>
    <row r="1292" ht="5.25" customHeight="1"/>
    <row r="1293" ht="5.25" customHeight="1"/>
    <row r="1294" ht="5.25" customHeight="1"/>
    <row r="1295" ht="5.25" customHeight="1"/>
    <row r="1296" ht="5.25" customHeight="1"/>
    <row r="1297" ht="5.25" customHeight="1"/>
    <row r="1298" ht="5.25" customHeight="1"/>
    <row r="1299" ht="5.25" customHeight="1"/>
    <row r="1300" ht="5.25" customHeight="1"/>
    <row r="1301" ht="5.25" customHeight="1"/>
    <row r="1302" ht="5.25" customHeight="1"/>
    <row r="1303" ht="5.25" customHeight="1"/>
    <row r="1304" ht="5.25" customHeight="1"/>
    <row r="1305" ht="5.25" customHeight="1"/>
    <row r="1306" ht="5.25" customHeight="1"/>
    <row r="1307" ht="5.25" customHeight="1"/>
    <row r="1308" ht="5.25" customHeight="1"/>
    <row r="1309" ht="5.25" customHeight="1"/>
    <row r="1310" ht="5.25" customHeight="1"/>
    <row r="1311" ht="5.25" customHeight="1"/>
    <row r="1312" ht="5.25" customHeight="1"/>
    <row r="1313" ht="5.25" customHeight="1"/>
    <row r="1314" ht="5.25" customHeight="1"/>
    <row r="1315" ht="5.25" customHeight="1"/>
    <row r="1316" ht="5.25" customHeight="1"/>
    <row r="1317" ht="5.25" customHeight="1"/>
    <row r="1318" ht="5.25" customHeight="1"/>
    <row r="1319" ht="5.25" customHeight="1"/>
    <row r="1320" ht="5.25" customHeight="1"/>
    <row r="1321" ht="5.25" customHeight="1"/>
    <row r="1322" ht="5.25" customHeight="1"/>
    <row r="1323" ht="5.25" customHeight="1"/>
    <row r="1324" ht="5.25" customHeight="1"/>
    <row r="1325" ht="5.25" customHeight="1"/>
    <row r="1326" ht="5.25" customHeight="1"/>
    <row r="1327" ht="5.25" customHeight="1"/>
    <row r="1328" ht="5.25" customHeight="1"/>
    <row r="1329" ht="5.25" customHeight="1"/>
    <row r="1330" ht="5.25" customHeight="1"/>
    <row r="1331" ht="5.25" customHeight="1"/>
    <row r="1332" ht="5.25" customHeight="1"/>
    <row r="1333" ht="5.25" customHeight="1"/>
    <row r="1334" ht="5.25" customHeight="1"/>
    <row r="1335" ht="5.25" customHeight="1"/>
    <row r="1336" ht="5.25" customHeight="1"/>
    <row r="1337" ht="5.25" customHeight="1"/>
    <row r="1338" ht="5.25" customHeight="1"/>
    <row r="1339" ht="5.25" customHeight="1"/>
    <row r="1340" ht="5.25" customHeight="1"/>
    <row r="1341" ht="5.25" customHeight="1"/>
    <row r="1342" ht="5.25" customHeight="1"/>
    <row r="1343" ht="5.25" customHeight="1"/>
    <row r="1344" ht="5.25" customHeight="1"/>
    <row r="1345" ht="5.25" customHeight="1"/>
    <row r="1346" ht="5.25" customHeight="1"/>
    <row r="1347" ht="5.25" customHeight="1"/>
    <row r="1348" ht="5.25" customHeight="1"/>
    <row r="1349" ht="5.25" customHeight="1"/>
    <row r="1350" ht="5.25" customHeight="1"/>
    <row r="1351" ht="5.25" customHeight="1"/>
    <row r="1352" ht="5.25" customHeight="1"/>
    <row r="1353" ht="9" customHeight="1"/>
    <row r="1354" ht="14.25" customHeight="1"/>
    <row r="1355" ht="14.25" customHeight="1"/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40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cols>
    <col min="1" max="1" width="8.66015625" style="0" customWidth="1"/>
    <col min="2" max="7" width="6.66015625" style="0" customWidth="1"/>
    <col min="8" max="8" width="7.66015625" style="0" customWidth="1"/>
    <col min="9" max="9" width="6.66015625" style="0" customWidth="1"/>
    <col min="10" max="10" width="10.66015625" style="0" customWidth="1"/>
  </cols>
  <sheetData>
    <row r="1" spans="1:11" ht="10.5" customHeight="1">
      <c r="A1" s="219" t="s">
        <v>1072</v>
      </c>
      <c r="B1" s="220"/>
      <c r="C1" s="221"/>
      <c r="D1" s="221"/>
      <c r="E1" s="221"/>
      <c r="F1" s="221"/>
      <c r="G1" s="221"/>
      <c r="H1" s="221"/>
      <c r="I1" s="221"/>
      <c r="J1" s="116"/>
      <c r="K1" s="2"/>
    </row>
    <row r="2" spans="1:11" ht="10.5" customHeight="1">
      <c r="A2" s="219"/>
      <c r="B2" s="220"/>
      <c r="C2" s="221"/>
      <c r="D2" s="221"/>
      <c r="E2" s="221"/>
      <c r="F2" s="221"/>
      <c r="G2" s="221"/>
      <c r="H2" s="221"/>
      <c r="I2" s="221"/>
      <c r="J2" s="116"/>
      <c r="K2" s="2"/>
    </row>
    <row r="3" spans="1:11" ht="10.5" customHeight="1">
      <c r="A3" s="219" t="s">
        <v>1073</v>
      </c>
      <c r="B3" s="220"/>
      <c r="C3" s="221"/>
      <c r="D3" s="221"/>
      <c r="E3" s="221"/>
      <c r="F3" s="221"/>
      <c r="G3" s="221"/>
      <c r="H3" s="221"/>
      <c r="I3" s="221"/>
      <c r="J3" s="116"/>
      <c r="K3" s="2"/>
    </row>
    <row r="4" spans="1:11" ht="10.5" customHeight="1">
      <c r="A4" s="219" t="s">
        <v>1027</v>
      </c>
      <c r="B4" s="220"/>
      <c r="C4" s="221"/>
      <c r="D4" s="221"/>
      <c r="E4" s="221"/>
      <c r="F4" s="221"/>
      <c r="G4" s="221"/>
      <c r="H4" s="221"/>
      <c r="I4" s="221"/>
      <c r="J4" s="116"/>
      <c r="K4" s="2"/>
    </row>
    <row r="5" spans="1:11" ht="10.5" customHeight="1">
      <c r="A5" s="219" t="s">
        <v>1074</v>
      </c>
      <c r="B5" s="220"/>
      <c r="C5" s="221"/>
      <c r="D5" s="221"/>
      <c r="E5" s="221"/>
      <c r="F5" s="221"/>
      <c r="G5" s="221"/>
      <c r="H5" s="221"/>
      <c r="I5" s="221"/>
      <c r="J5" s="116"/>
      <c r="K5" s="2"/>
    </row>
    <row r="6" spans="1:11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3"/>
      <c r="B7" s="222" t="s">
        <v>1028</v>
      </c>
      <c r="C7" s="222"/>
      <c r="D7" s="222"/>
      <c r="E7" s="222"/>
      <c r="F7" s="222"/>
      <c r="G7" s="243"/>
      <c r="H7" s="236" t="s">
        <v>1066</v>
      </c>
      <c r="I7" s="237"/>
      <c r="J7" s="223"/>
      <c r="K7" s="2"/>
    </row>
    <row r="8" spans="1:11" ht="12.75">
      <c r="A8" s="20"/>
      <c r="B8" s="224" t="s">
        <v>1030</v>
      </c>
      <c r="C8" s="224" t="s">
        <v>1031</v>
      </c>
      <c r="D8" s="224" t="s">
        <v>1032</v>
      </c>
      <c r="E8" s="224" t="s">
        <v>1033</v>
      </c>
      <c r="F8" s="224" t="s">
        <v>1034</v>
      </c>
      <c r="G8" s="225" t="s">
        <v>1035</v>
      </c>
      <c r="H8" s="224" t="s">
        <v>1036</v>
      </c>
      <c r="I8" s="239" t="s">
        <v>1037</v>
      </c>
      <c r="J8" s="241" t="s">
        <v>60</v>
      </c>
      <c r="K8" s="2"/>
    </row>
    <row r="9" spans="1:11" ht="12.75">
      <c r="A9" s="3" t="s">
        <v>1068</v>
      </c>
      <c r="B9" s="244">
        <f aca="true" t="shared" si="0" ref="B9:J9">SUM(B11:B29)</f>
        <v>602633</v>
      </c>
      <c r="C9" s="244">
        <f t="shared" si="0"/>
        <v>262561</v>
      </c>
      <c r="D9" s="244">
        <f t="shared" si="0"/>
        <v>425257</v>
      </c>
      <c r="E9" s="244">
        <f t="shared" si="0"/>
        <v>228481</v>
      </c>
      <c r="F9" s="244">
        <f t="shared" si="0"/>
        <v>121781</v>
      </c>
      <c r="G9" s="245">
        <f t="shared" si="0"/>
        <v>90640</v>
      </c>
      <c r="H9" s="244">
        <f t="shared" si="0"/>
        <v>1110921</v>
      </c>
      <c r="I9" s="245">
        <f t="shared" si="0"/>
        <v>62290</v>
      </c>
      <c r="J9" s="244">
        <f t="shared" si="0"/>
        <v>2904564</v>
      </c>
      <c r="K9" s="2"/>
    </row>
    <row r="10" spans="1:11" ht="3.75" customHeight="1">
      <c r="A10" s="2"/>
      <c r="B10" s="246"/>
      <c r="C10" s="246"/>
      <c r="D10" s="246"/>
      <c r="E10" s="246"/>
      <c r="F10" s="246"/>
      <c r="G10" s="247"/>
      <c r="H10" s="246"/>
      <c r="I10" s="247"/>
      <c r="J10" s="246"/>
      <c r="K10" s="2"/>
    </row>
    <row r="11" spans="1:11" ht="12.75">
      <c r="A11" s="2" t="s">
        <v>1039</v>
      </c>
      <c r="B11" s="246">
        <f>ROUND(+'FTE Calc'!E6,0)</f>
        <v>38841</v>
      </c>
      <c r="C11" s="246">
        <f>ROUND(+'FTE Calc'!E7,0)</f>
        <v>10855</v>
      </c>
      <c r="D11" s="246">
        <f>ROUND(+'FTE Calc'!E8,0)</f>
        <v>25789</v>
      </c>
      <c r="E11" s="246">
        <f>ROUND(+'FTE Calc'!E9,0)</f>
        <v>16843</v>
      </c>
      <c r="F11" s="246">
        <f>ROUND(+'FTE Calc'!E10,0)</f>
        <v>14358</v>
      </c>
      <c r="G11" s="247">
        <f>ROUND(+'FTE Calc'!E11,0)</f>
        <v>2697</v>
      </c>
      <c r="H11" s="246">
        <f>ROUND(+'FTE Calc'!E12,0)</f>
        <v>61426</v>
      </c>
      <c r="I11" s="247">
        <f>ROUND(+'FTE Calc'!E13,0)</f>
        <v>7732</v>
      </c>
      <c r="J11" s="246">
        <f>SUM(A11:I11)</f>
        <v>178541</v>
      </c>
      <c r="K11" s="2"/>
    </row>
    <row r="12" spans="1:11" ht="12.75">
      <c r="A12" s="2" t="s">
        <v>1040</v>
      </c>
      <c r="B12" s="246">
        <f>ROUND(+'FTE Calc'!E25,0)</f>
        <v>13238</v>
      </c>
      <c r="C12" s="246">
        <f>ROUND(+'FTE Calc'!E26,0)</f>
        <v>0</v>
      </c>
      <c r="D12" s="246">
        <f>ROUND(+'FTE Calc'!E27,0)</f>
        <v>24956</v>
      </c>
      <c r="E12" s="246">
        <f>ROUND(+'FTE Calc'!E28,0)</f>
        <v>0</v>
      </c>
      <c r="F12" s="246">
        <f>ROUND(+'FTE Calc'!E29,0)</f>
        <v>7327</v>
      </c>
      <c r="G12" s="247">
        <f>ROUND(+'FTE Calc'!E30,0)</f>
        <v>7439</v>
      </c>
      <c r="H12" s="246">
        <f>ROUND(+'FTE Calc'!E31,0)</f>
        <v>19817</v>
      </c>
      <c r="I12" s="247">
        <f>ROUND(+'FTE Calc'!E32,0)</f>
        <v>0</v>
      </c>
      <c r="J12" s="246">
        <f>SUM(A12:I12)</f>
        <v>72777</v>
      </c>
      <c r="K12" s="2"/>
    </row>
    <row r="13" spans="1:11" ht="12.75">
      <c r="A13" s="2" t="s">
        <v>1041</v>
      </c>
      <c r="B13" s="246">
        <f>ROUND(+'FTE Calc'!E44,0)</f>
        <v>85036</v>
      </c>
      <c r="C13" s="246">
        <f>ROUND(+'FTE Calc'!E45,0)</f>
        <v>34821</v>
      </c>
      <c r="D13" s="246">
        <f>ROUND(+'FTE Calc'!E46,0)</f>
        <v>27617</v>
      </c>
      <c r="E13" s="246">
        <f>ROUND(+'FTE Calc'!E47,0)</f>
        <v>17254</v>
      </c>
      <c r="F13" s="246">
        <f>ROUND(+'FTE Calc'!E48,0)</f>
        <v>0</v>
      </c>
      <c r="G13" s="247">
        <f>ROUND(+'FTE Calc'!E49,0)</f>
        <v>0</v>
      </c>
      <c r="H13" s="246">
        <f>ROUND(+'FTE Calc'!E50,0)</f>
        <v>236177</v>
      </c>
      <c r="I13" s="247">
        <f>ROUND(+'FTE Calc'!E51,0)</f>
        <v>0</v>
      </c>
      <c r="J13" s="246">
        <f>SUM(A13:I13)</f>
        <v>400905</v>
      </c>
      <c r="K13" s="2"/>
    </row>
    <row r="14" spans="1:11" ht="3.75" customHeight="1">
      <c r="A14" s="2"/>
      <c r="B14" s="246"/>
      <c r="C14" s="246"/>
      <c r="D14" s="246"/>
      <c r="E14" s="246"/>
      <c r="F14" s="246"/>
      <c r="G14" s="247"/>
      <c r="H14" s="246"/>
      <c r="I14" s="247"/>
      <c r="J14" s="246"/>
      <c r="K14" s="2"/>
    </row>
    <row r="15" spans="1:11" ht="12.75">
      <c r="A15" s="2" t="s">
        <v>1042</v>
      </c>
      <c r="B15" s="246">
        <f>ROUND(+'FTE Calc'!E63,0)</f>
        <v>49887</v>
      </c>
      <c r="C15" s="246">
        <f>ROUND(+'FTE Calc'!E64,0)</f>
        <v>14390</v>
      </c>
      <c r="D15" s="246">
        <f>ROUND(+'FTE Calc'!E65,0)</f>
        <v>14145</v>
      </c>
      <c r="E15" s="246">
        <f>ROUND(+'FTE Calc'!E66,0)</f>
        <v>25675</v>
      </c>
      <c r="F15" s="246">
        <f>ROUND(+'FTE Calc'!E67,0)</f>
        <v>28662</v>
      </c>
      <c r="G15" s="247">
        <f>ROUND(+'FTE Calc'!E68,0)</f>
        <v>11261</v>
      </c>
      <c r="H15" s="246">
        <f>ROUND(+'FTE Calc'!E69,0)</f>
        <v>34606</v>
      </c>
      <c r="I15" s="247">
        <f>ROUND(+'FTE Calc'!E70,0)</f>
        <v>35524</v>
      </c>
      <c r="J15" s="246">
        <f>SUM(A15:I15)</f>
        <v>214150</v>
      </c>
      <c r="K15" s="2"/>
    </row>
    <row r="16" spans="1:11" ht="12.75">
      <c r="A16" s="2" t="s">
        <v>1043</v>
      </c>
      <c r="B16" s="246">
        <f>ROUND(+'FTE Calc'!E82,0)</f>
        <v>18481</v>
      </c>
      <c r="C16" s="246">
        <f>ROUND(+'FTE Calc'!E83,0)</f>
        <v>14230</v>
      </c>
      <c r="D16" s="246">
        <f>ROUND(+'FTE Calc'!E84,0)</f>
        <v>32861</v>
      </c>
      <c r="E16" s="246">
        <f>ROUND(+'FTE Calc'!E85,0)</f>
        <v>7253</v>
      </c>
      <c r="F16" s="246">
        <f>ROUND(+'FTE Calc'!E86,0)</f>
        <v>8849</v>
      </c>
      <c r="G16" s="247">
        <f>ROUND(+'FTE Calc'!E87,0)</f>
        <v>2117</v>
      </c>
      <c r="H16" s="246">
        <f>ROUND(+'FTE Calc'!E88,0)</f>
        <v>27820</v>
      </c>
      <c r="I16" s="247">
        <f>ROUND(+'FTE Calc'!E89,0)</f>
        <v>0</v>
      </c>
      <c r="J16" s="246">
        <f>SUM(A16:I16)</f>
        <v>111611</v>
      </c>
      <c r="K16" s="2"/>
    </row>
    <row r="17" spans="1:11" ht="12.75">
      <c r="A17" s="2" t="s">
        <v>1044</v>
      </c>
      <c r="B17" s="246">
        <f>ROUND(+'FTE Calc'!E101,0)</f>
        <v>24238</v>
      </c>
      <c r="C17" s="246">
        <f>ROUND(+'FTE Calc'!E102,0)</f>
        <v>26593</v>
      </c>
      <c r="D17" s="246">
        <f>ROUND(+'FTE Calc'!E103,0)</f>
        <v>37446</v>
      </c>
      <c r="E17" s="246">
        <f>ROUND(+'FTE Calc'!E104,0)</f>
        <v>28835</v>
      </c>
      <c r="F17" s="246">
        <f>ROUND(+'FTE Calc'!E105,0)</f>
        <v>13473</v>
      </c>
      <c r="G17" s="247">
        <f>ROUND(+'FTE Calc'!E106,0)</f>
        <v>0</v>
      </c>
      <c r="H17" s="246">
        <f>ROUND(+'FTE Calc'!E107,0)</f>
        <v>15555</v>
      </c>
      <c r="I17" s="247">
        <f>ROUND(+'FTE Calc'!E108,0)</f>
        <v>13700</v>
      </c>
      <c r="J17" s="246">
        <f>SUM(A17:I17)</f>
        <v>159840</v>
      </c>
      <c r="K17" s="2"/>
    </row>
    <row r="18" spans="1:11" ht="3.75" customHeight="1">
      <c r="A18" s="2"/>
      <c r="B18" s="246"/>
      <c r="C18" s="246"/>
      <c r="D18" s="246"/>
      <c r="E18" s="246"/>
      <c r="F18" s="246"/>
      <c r="G18" s="247"/>
      <c r="H18" s="246"/>
      <c r="I18" s="247"/>
      <c r="J18" s="246"/>
      <c r="K18" s="2"/>
    </row>
    <row r="19" spans="1:11" ht="12.75">
      <c r="A19" s="2" t="s">
        <v>1045</v>
      </c>
      <c r="B19" s="246">
        <f>ROUND(+'FTE Calc'!E120,0)</f>
        <v>26826</v>
      </c>
      <c r="C19" s="246">
        <f>ROUND(+'FTE Calc'!E121,0)</f>
        <v>8141</v>
      </c>
      <c r="D19" s="246">
        <f>ROUND(+'FTE Calc'!E122,0)</f>
        <v>0</v>
      </c>
      <c r="E19" s="246">
        <f>ROUND(+'FTE Calc'!E123,0)</f>
        <v>33858</v>
      </c>
      <c r="F19" s="246">
        <f>ROUND(+'FTE Calc'!E124,0)</f>
        <v>5698</v>
      </c>
      <c r="G19" s="247">
        <f>ROUND(+'FTE Calc'!E125,0)</f>
        <v>1626</v>
      </c>
      <c r="H19" s="246">
        <f>ROUND(+'FTE Calc'!E126,0)</f>
        <v>61729</v>
      </c>
      <c r="I19" s="247">
        <f>ROUND(+'FTE Calc'!E127,0)</f>
        <v>0</v>
      </c>
      <c r="J19" s="246">
        <f>SUM(A19:I19)</f>
        <v>137878</v>
      </c>
      <c r="K19" s="2"/>
    </row>
    <row r="20" spans="1:11" ht="12.75">
      <c r="A20" s="2" t="s">
        <v>1075</v>
      </c>
      <c r="B20" s="246">
        <f>ROUND(+'FTE Calc'!E139,0)</f>
        <v>13441</v>
      </c>
      <c r="C20" s="246">
        <f>ROUND(+'FTE Calc'!E140,0)</f>
        <v>24386</v>
      </c>
      <c r="D20" s="246">
        <f>ROUND(+'FTE Calc'!E141,0)</f>
        <v>5917</v>
      </c>
      <c r="E20" s="246">
        <f>ROUND(+'FTE Calc'!E142,0)</f>
        <v>0</v>
      </c>
      <c r="F20" s="246">
        <f>ROUND(+'FTE Calc'!E143,0)</f>
        <v>6947</v>
      </c>
      <c r="G20" s="247">
        <f>ROUND(+'FTE Calc'!E144,0)</f>
        <v>4805</v>
      </c>
      <c r="H20" s="246">
        <f>ROUND(+'FTE Calc'!E145,0)</f>
        <v>40853</v>
      </c>
      <c r="I20" s="247">
        <f>ROUND(+'FTE Calc'!E146,0)</f>
        <v>0</v>
      </c>
      <c r="J20" s="246">
        <f>SUM(A20:I20)</f>
        <v>96349</v>
      </c>
      <c r="K20" s="2"/>
    </row>
    <row r="21" spans="1:11" ht="12.75">
      <c r="A21" s="2" t="s">
        <v>1047</v>
      </c>
      <c r="B21" s="246">
        <f>ROUND(+'FTE Calc'!E158,0)</f>
        <v>41333</v>
      </c>
      <c r="C21" s="246">
        <f>ROUND(+'FTE Calc'!E159,0)</f>
        <v>10975</v>
      </c>
      <c r="D21" s="246">
        <f>ROUND(+'FTE Calc'!E160,0)</f>
        <v>60069</v>
      </c>
      <c r="E21" s="246">
        <f>ROUND(+'FTE Calc'!E161,0)</f>
        <v>12235</v>
      </c>
      <c r="F21" s="246">
        <f>ROUND(+'FTE Calc'!E162,0)</f>
        <v>2634</v>
      </c>
      <c r="G21" s="247">
        <f>ROUND(+'FTE Calc'!E163,0)</f>
        <v>7151</v>
      </c>
      <c r="H21" s="246">
        <f>ROUND(+'FTE Calc'!E164,0)</f>
        <v>100710</v>
      </c>
      <c r="I21" s="247">
        <f>ROUND(+'FTE Calc'!E165,0)</f>
        <v>0</v>
      </c>
      <c r="J21" s="246">
        <f>SUM(A21:I21)</f>
        <v>235107</v>
      </c>
      <c r="K21" s="2"/>
    </row>
    <row r="22" spans="1:11" ht="3.75" customHeight="1">
      <c r="A22" s="2"/>
      <c r="B22" s="246"/>
      <c r="C22" s="246"/>
      <c r="D22" s="246"/>
      <c r="E22" s="246"/>
      <c r="F22" s="246"/>
      <c r="G22" s="247"/>
      <c r="H22" s="246"/>
      <c r="I22" s="247"/>
      <c r="J22" s="246"/>
      <c r="K22" s="2"/>
    </row>
    <row r="23" spans="1:11" ht="12.75">
      <c r="A23" s="2" t="s">
        <v>1048</v>
      </c>
      <c r="B23" s="246">
        <f>ROUND(+'FTE Calc'!E177,0)</f>
        <v>33899</v>
      </c>
      <c r="C23" s="246">
        <f>ROUND(+'FTE Calc'!E178,0)</f>
        <v>0</v>
      </c>
      <c r="D23" s="246">
        <f>ROUND(+'FTE Calc'!E179,0)</f>
        <v>11418</v>
      </c>
      <c r="E23" s="246">
        <f>ROUND(+'FTE Calc'!E180,0)</f>
        <v>11057</v>
      </c>
      <c r="F23" s="246">
        <f>ROUND(+'FTE Calc'!E181,0)</f>
        <v>12913</v>
      </c>
      <c r="G23" s="247">
        <f>ROUND(+'FTE Calc'!E182,0)</f>
        <v>5148</v>
      </c>
      <c r="H23" s="246">
        <f>ROUND(+'FTE Calc'!E183,0)</f>
        <v>42890</v>
      </c>
      <c r="I23" s="247">
        <f>ROUND(+'FTE Calc'!E184,0)</f>
        <v>0</v>
      </c>
      <c r="J23" s="246">
        <f>SUM(A23:I23)</f>
        <v>117325</v>
      </c>
      <c r="K23" s="2"/>
    </row>
    <row r="24" spans="1:11" ht="12.75">
      <c r="A24" s="2" t="s">
        <v>1049</v>
      </c>
      <c r="B24" s="246">
        <f>ROUND(+'FTE Calc'!E196,0)</f>
        <v>20880</v>
      </c>
      <c r="C24" s="246">
        <f>ROUND(+'FTE Calc'!E197,0)</f>
        <v>15923</v>
      </c>
      <c r="D24" s="246">
        <f>ROUND(+'FTE Calc'!E198,0)</f>
        <v>4626</v>
      </c>
      <c r="E24" s="246">
        <f>ROUND(+'FTE Calc'!E199,0)</f>
        <v>12841</v>
      </c>
      <c r="F24" s="246">
        <f>ROUND(+'FTE Calc'!E200,0)</f>
        <v>8103</v>
      </c>
      <c r="G24" s="247">
        <f>ROUND(+'FTE Calc'!E201,0)</f>
        <v>11452</v>
      </c>
      <c r="H24" s="246">
        <f>ROUND(+'FTE Calc'!E202,0)</f>
        <v>44278</v>
      </c>
      <c r="I24" s="247">
        <f>ROUND(+'FTE Calc'!E203,0)</f>
        <v>0</v>
      </c>
      <c r="J24" s="246">
        <f>SUM(A24:I24)</f>
        <v>118103</v>
      </c>
      <c r="K24" s="2"/>
    </row>
    <row r="25" spans="1:11" ht="12.75">
      <c r="A25" s="2" t="s">
        <v>1050</v>
      </c>
      <c r="B25" s="246">
        <f>ROUND(+'FTE Calc'!E215,0)</f>
        <v>22616</v>
      </c>
      <c r="C25" s="246">
        <f>ROUND(+'FTE Calc'!E216,0)</f>
        <v>16807</v>
      </c>
      <c r="D25" s="246">
        <f>ROUND(+'FTE Calc'!E217,0)</f>
        <v>33061</v>
      </c>
      <c r="E25" s="246">
        <f>ROUND(+'FTE Calc'!E218,0)</f>
        <v>21154</v>
      </c>
      <c r="F25" s="246">
        <f>ROUND(+'FTE Calc'!E219,0)</f>
        <v>5600</v>
      </c>
      <c r="G25" s="247">
        <f>ROUND(+'FTE Calc'!E220,0)</f>
        <v>0</v>
      </c>
      <c r="H25" s="246">
        <f>ROUND(+'FTE Calc'!E221,0)</f>
        <v>48946</v>
      </c>
      <c r="I25" s="247">
        <f>ROUND(+'FTE Calc'!E222,0)</f>
        <v>5334</v>
      </c>
      <c r="J25" s="246">
        <f>SUM(A25:I25)</f>
        <v>153518</v>
      </c>
      <c r="K25" s="2"/>
    </row>
    <row r="26" spans="1:11" ht="3.75" customHeight="1">
      <c r="A26" s="2"/>
      <c r="B26" s="246"/>
      <c r="C26" s="246"/>
      <c r="D26" s="246"/>
      <c r="E26" s="246"/>
      <c r="F26" s="246"/>
      <c r="G26" s="247"/>
      <c r="H26" s="246"/>
      <c r="I26" s="247"/>
      <c r="J26" s="246"/>
      <c r="K26" s="2"/>
    </row>
    <row r="27" spans="1:11" ht="12.75">
      <c r="A27" s="2" t="s">
        <v>1051</v>
      </c>
      <c r="B27" s="246">
        <f>ROUND(+'FTE Calc'!E234,0)</f>
        <v>149857</v>
      </c>
      <c r="C27" s="246">
        <f>ROUND(+'FTE Calc'!E235,0)</f>
        <v>30923</v>
      </c>
      <c r="D27" s="246">
        <f>ROUND(+'FTE Calc'!E236,0)</f>
        <v>117266</v>
      </c>
      <c r="E27" s="246">
        <f>ROUND(+'FTE Calc'!E237,0)</f>
        <v>30578</v>
      </c>
      <c r="F27" s="246">
        <f>ROUND(+'FTE Calc'!E238,0)</f>
        <v>3917</v>
      </c>
      <c r="G27" s="247">
        <f>ROUND(+'FTE Calc'!E239,0)</f>
        <v>6755</v>
      </c>
      <c r="H27" s="246">
        <f>ROUND(+'FTE Calc'!E240,0)</f>
        <v>297126</v>
      </c>
      <c r="I27" s="247">
        <f>ROUND(+'FTE Calc'!E241,0)</f>
        <v>0</v>
      </c>
      <c r="J27" s="246">
        <f>SUM(A27:I27)</f>
        <v>636422</v>
      </c>
      <c r="K27" s="2"/>
    </row>
    <row r="28" spans="1:11" ht="12.75">
      <c r="A28" s="2" t="s">
        <v>1052</v>
      </c>
      <c r="B28" s="246">
        <f>ROUND(+'FTE Calc'!E253,0)</f>
        <v>45296</v>
      </c>
      <c r="C28" s="246">
        <f>ROUND(+'FTE Calc'!E254,0)</f>
        <v>54517</v>
      </c>
      <c r="D28" s="246">
        <f>ROUND(+'FTE Calc'!E255,0)</f>
        <v>20221</v>
      </c>
      <c r="E28" s="246">
        <f>ROUND(+'FTE Calc'!E256,0)</f>
        <v>10898</v>
      </c>
      <c r="F28" s="246">
        <f>ROUND(+'FTE Calc'!E257,0)</f>
        <v>3300</v>
      </c>
      <c r="G28" s="247">
        <f>ROUND(+'FTE Calc'!E258,0)</f>
        <v>8135</v>
      </c>
      <c r="H28" s="246">
        <f>ROUND(+'FTE Calc'!E259,0)</f>
        <v>72004</v>
      </c>
      <c r="I28" s="247">
        <f>ROUND(+'FTE Calc'!E260,0)</f>
        <v>0</v>
      </c>
      <c r="J28" s="246">
        <f>SUM(A28:I28)</f>
        <v>214371</v>
      </c>
      <c r="K28" s="2"/>
    </row>
    <row r="29" spans="1:11" ht="12.75">
      <c r="A29" s="10" t="s">
        <v>1053</v>
      </c>
      <c r="B29" s="248">
        <f>ROUND(+'FTE Calc'!E272,0)</f>
        <v>18764</v>
      </c>
      <c r="C29" s="248">
        <f>ROUND(+'FTE Calc'!E273,0)</f>
        <v>0</v>
      </c>
      <c r="D29" s="248">
        <f>ROUND(+'FTE Calc'!E274,0)</f>
        <v>9865</v>
      </c>
      <c r="E29" s="248">
        <f>ROUND(+'FTE Calc'!E275,0)</f>
        <v>0</v>
      </c>
      <c r="F29" s="248">
        <f>ROUND(+'FTE Calc'!E276,0)</f>
        <v>0</v>
      </c>
      <c r="G29" s="249">
        <f>ROUND(+'FTE Calc'!E277,0)</f>
        <v>22054</v>
      </c>
      <c r="H29" s="248">
        <f>ROUND(+'FTE Calc'!E278,0)</f>
        <v>6984</v>
      </c>
      <c r="I29" s="249">
        <f>ROUND(+'FTE Calc'!E279,0)</f>
        <v>0</v>
      </c>
      <c r="J29" s="248">
        <f>SUM(A29:I29)</f>
        <v>57667</v>
      </c>
      <c r="K29" s="2"/>
    </row>
    <row r="30" spans="1:11" ht="3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9" customHeight="1">
      <c r="A31" s="230" t="s">
        <v>1076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0" ht="7.5" customHeight="1">
      <c r="A33" s="230" t="s">
        <v>1077</v>
      </c>
      <c r="B33" s="231"/>
      <c r="C33" s="231"/>
      <c r="D33" s="231"/>
      <c r="E33" s="231"/>
      <c r="F33" s="231"/>
      <c r="G33" s="231"/>
      <c r="H33" s="231"/>
      <c r="I33" s="231"/>
      <c r="J33" s="231"/>
    </row>
    <row r="34" spans="1:10" ht="7.5" customHeight="1">
      <c r="A34" s="230" t="s">
        <v>1078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7.5" customHeight="1">
      <c r="A35" s="230" t="s">
        <v>1079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7.5" customHeight="1">
      <c r="A36" s="230" t="s">
        <v>1080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7.5" customHeight="1">
      <c r="A37" s="230" t="s">
        <v>1081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7.5" customHeight="1">
      <c r="A38" s="230" t="s">
        <v>1082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7.5" customHeight="1">
      <c r="A39" s="230" t="s">
        <v>1083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7.5" customHeight="1">
      <c r="A40" s="230" t="s">
        <v>1084</v>
      </c>
      <c r="B40" s="2"/>
      <c r="C40" s="2"/>
      <c r="D40" s="2"/>
      <c r="E40" s="2"/>
      <c r="F40" s="2"/>
      <c r="G40" s="2"/>
      <c r="H40" s="2"/>
      <c r="I40" s="2"/>
      <c r="J40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45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cols>
    <col min="1" max="1" width="8.66015625" style="0" customWidth="1"/>
    <col min="2" max="9" width="7.66015625" style="0" customWidth="1"/>
    <col min="10" max="10" width="11.66015625" style="0" customWidth="1"/>
  </cols>
  <sheetData>
    <row r="1" spans="1:10" ht="10.5" customHeight="1">
      <c r="A1" s="219" t="s">
        <v>1085</v>
      </c>
      <c r="B1" s="220"/>
      <c r="C1" s="220"/>
      <c r="D1" s="116"/>
      <c r="E1" s="116"/>
      <c r="F1" s="116"/>
      <c r="G1" s="116"/>
      <c r="H1" s="116"/>
      <c r="I1" s="8"/>
      <c r="J1" s="8"/>
    </row>
    <row r="2" spans="1:10" ht="10.5" customHeight="1">
      <c r="A2" s="219"/>
      <c r="B2" s="220"/>
      <c r="C2" s="220"/>
      <c r="D2" s="116"/>
      <c r="E2" s="116"/>
      <c r="F2" s="116"/>
      <c r="G2" s="116"/>
      <c r="H2" s="116"/>
      <c r="I2" s="8"/>
      <c r="J2" s="8"/>
    </row>
    <row r="3" spans="1:10" ht="10.5" customHeight="1">
      <c r="A3" s="219" t="s">
        <v>1086</v>
      </c>
      <c r="B3" s="220"/>
      <c r="C3" s="220"/>
      <c r="D3" s="116"/>
      <c r="E3" s="116"/>
      <c r="F3" s="116"/>
      <c r="G3" s="116"/>
      <c r="H3" s="116"/>
      <c r="I3" s="8"/>
      <c r="J3" s="8"/>
    </row>
    <row r="4" spans="1:10" ht="10.5" customHeight="1">
      <c r="A4" s="219" t="s">
        <v>1027</v>
      </c>
      <c r="B4" s="220"/>
      <c r="C4" s="220"/>
      <c r="D4" s="116"/>
      <c r="E4" s="116"/>
      <c r="F4" s="116"/>
      <c r="G4" s="116"/>
      <c r="H4" s="116"/>
      <c r="I4" s="8"/>
      <c r="J4" s="8"/>
    </row>
    <row r="5" spans="1:10" ht="10.5" customHeight="1">
      <c r="A5" s="219" t="s">
        <v>1003</v>
      </c>
      <c r="B5" s="220"/>
      <c r="C5" s="220"/>
      <c r="D5" s="116"/>
      <c r="E5" s="116"/>
      <c r="F5" s="116"/>
      <c r="G5" s="116"/>
      <c r="H5" s="116"/>
      <c r="I5" s="8"/>
      <c r="J5" s="8"/>
    </row>
    <row r="6" spans="1:10" ht="10.5" customHeight="1">
      <c r="A6" s="8" t="s">
        <v>1087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10" ht="3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7.5" customHeight="1">
      <c r="A8" s="3"/>
      <c r="B8" s="236" t="s">
        <v>1028</v>
      </c>
      <c r="C8" s="236"/>
      <c r="D8" s="236"/>
      <c r="E8" s="236"/>
      <c r="F8" s="236"/>
      <c r="G8" s="243"/>
      <c r="H8" s="236" t="s">
        <v>1066</v>
      </c>
      <c r="I8" s="237"/>
      <c r="J8" s="223"/>
    </row>
    <row r="9" spans="1:10" ht="7.5" customHeight="1">
      <c r="A9" s="20"/>
      <c r="B9" s="224" t="s">
        <v>1030</v>
      </c>
      <c r="C9" s="224" t="s">
        <v>1031</v>
      </c>
      <c r="D9" s="224" t="s">
        <v>1032</v>
      </c>
      <c r="E9" s="224" t="s">
        <v>1033</v>
      </c>
      <c r="F9" s="224" t="s">
        <v>1034</v>
      </c>
      <c r="G9" s="225" t="s">
        <v>1035</v>
      </c>
      <c r="H9" s="224" t="s">
        <v>1036</v>
      </c>
      <c r="I9" s="239" t="s">
        <v>1037</v>
      </c>
      <c r="J9" s="241" t="s">
        <v>1088</v>
      </c>
    </row>
    <row r="10" spans="1:10" ht="12.75">
      <c r="A10" s="3" t="s">
        <v>1068</v>
      </c>
      <c r="B10" s="251">
        <f aca="true" t="shared" si="0" ref="B10:J10">SUM(B12:B30)</f>
        <v>3259627</v>
      </c>
      <c r="C10" s="251">
        <f t="shared" si="0"/>
        <v>1145767</v>
      </c>
      <c r="D10" s="251">
        <f t="shared" si="0"/>
        <v>1739314</v>
      </c>
      <c r="E10" s="251">
        <f t="shared" si="0"/>
        <v>792717</v>
      </c>
      <c r="F10" s="251">
        <f t="shared" si="0"/>
        <v>361240</v>
      </c>
      <c r="G10" s="252">
        <f t="shared" si="0"/>
        <v>327064</v>
      </c>
      <c r="H10" s="251">
        <f t="shared" si="0"/>
        <v>3272629</v>
      </c>
      <c r="I10" s="252">
        <f t="shared" si="0"/>
        <v>271176</v>
      </c>
      <c r="J10" s="251">
        <f t="shared" si="0"/>
        <v>11722896.318274999</v>
      </c>
    </row>
    <row r="11" spans="1:10" ht="3.75" customHeight="1">
      <c r="A11" s="2"/>
      <c r="B11" s="122"/>
      <c r="C11" s="122"/>
      <c r="D11" s="122"/>
      <c r="E11" s="122"/>
      <c r="F11" s="122"/>
      <c r="G11" s="228"/>
      <c r="H11" s="122"/>
      <c r="I11" s="228"/>
      <c r="J11" s="122"/>
    </row>
    <row r="12" spans="1:10" ht="12.75">
      <c r="A12" s="2" t="s">
        <v>1039</v>
      </c>
      <c r="B12" s="122">
        <f>ROUND(+'Apprp. Summary'!B7/1000,0)</f>
        <v>194858</v>
      </c>
      <c r="C12" s="122">
        <f>ROUND(+'Apprp. Summary'!B8/1000,0)</f>
        <v>38408</v>
      </c>
      <c r="D12" s="122">
        <f>ROUND(+'Apprp. Summary'!B9/1000,0)</f>
        <v>103680</v>
      </c>
      <c r="E12" s="122">
        <f>ROUND(+'Apprp. Summary'!B10/1000,0)</f>
        <v>52627</v>
      </c>
      <c r="F12" s="122">
        <f>ROUND(+'Apprp. Summary'!B11/1000,0)</f>
        <v>55514</v>
      </c>
      <c r="G12" s="228">
        <f>ROUND(+'Apprp. Summary'!B12/1000,0)</f>
        <v>8298</v>
      </c>
      <c r="H12" s="122">
        <f>ROUND(('Apprp. Summary'!B13+'Apprp. Summary'!F13)/1000,0)</f>
        <v>157271</v>
      </c>
      <c r="I12" s="228">
        <f>ROUND(('Apprp. Summary'!B14+'Apprp. Summary'!F14)/1000,0)</f>
        <v>35937</v>
      </c>
      <c r="J12" s="122">
        <f>('Apprp. Summary'!B17+'Apprp. Summary'!F17)/1000</f>
        <v>646592.374</v>
      </c>
    </row>
    <row r="13" spans="1:10" ht="12.75">
      <c r="A13" s="2" t="s">
        <v>1040</v>
      </c>
      <c r="B13" s="122">
        <f>ROUND(+'Apprp. Summary'!B26/1000,0)</f>
        <v>78196</v>
      </c>
      <c r="C13" s="122">
        <f>ROUND(+'Apprp. Summary'!B27/1000,0)</f>
        <v>0</v>
      </c>
      <c r="D13" s="122">
        <f>ROUND(+'Apprp. Summary'!B28/1000,0)</f>
        <v>112304</v>
      </c>
      <c r="E13" s="122">
        <f>ROUND(+'Apprp. Summary'!B29/1000,0)</f>
        <v>0</v>
      </c>
      <c r="F13" s="122">
        <f>ROUND(+'Apprp. Summary'!B30/1000,0)</f>
        <v>29278</v>
      </c>
      <c r="G13" s="228">
        <f>ROUND(+'Apprp. Summary'!B31/1000,0)</f>
        <v>34672</v>
      </c>
      <c r="H13" s="122">
        <f>ROUND(('Apprp. Summary'!B32+'Apprp. Summary'!F32)/1000,0)</f>
        <v>78989</v>
      </c>
      <c r="I13" s="228">
        <f>ROUND(('Apprp. Summary'!B33+'Apprp. Summary'!F33)/1000,0)</f>
        <v>0</v>
      </c>
      <c r="J13" s="122">
        <f>('Apprp. Summary'!B36+'Apprp. Summary'!F36)/1000</f>
        <v>333437.675</v>
      </c>
    </row>
    <row r="14" spans="1:10" ht="12.75">
      <c r="A14" s="2" t="s">
        <v>1041</v>
      </c>
      <c r="B14" s="122">
        <f>ROUND(+'Apprp. Summary'!B45/1000,0)</f>
        <v>551680</v>
      </c>
      <c r="C14" s="122">
        <f>ROUND(+'Apprp. Summary'!B46/1000,0)</f>
        <v>183317</v>
      </c>
      <c r="D14" s="122">
        <f>ROUND(+'Apprp. Summary'!B47/1000,0)</f>
        <v>151037</v>
      </c>
      <c r="E14" s="122">
        <f>ROUND(+'Apprp. Summary'!B48/1000,0)</f>
        <v>100382</v>
      </c>
      <c r="F14" s="122">
        <f>ROUND(+'Apprp. Summary'!B49/1000,0)</f>
        <v>0</v>
      </c>
      <c r="G14" s="228">
        <f>ROUND(+'Apprp. Summary'!B50/1000,0)</f>
        <v>0</v>
      </c>
      <c r="H14" s="122">
        <f>ROUND(('Apprp. Summary'!B51+'Apprp. Summary'!F51)/1000,0)</f>
        <v>643917</v>
      </c>
      <c r="I14" s="228">
        <f>ROUND(('Apprp. Summary'!B52+'Apprp. Summary'!F52)/1000,0)</f>
        <v>0</v>
      </c>
      <c r="J14" s="122">
        <f>('Apprp. Summary'!B55+'Apprp. Summary'!F55)/1000</f>
        <v>1630332.938</v>
      </c>
    </row>
    <row r="15" spans="1:10" ht="3.75" customHeight="1">
      <c r="A15" s="2"/>
      <c r="B15" s="122"/>
      <c r="C15" s="122"/>
      <c r="D15" s="122"/>
      <c r="E15" s="122"/>
      <c r="F15" s="122"/>
      <c r="G15" s="228"/>
      <c r="H15" s="122"/>
      <c r="I15" s="228"/>
      <c r="J15" s="122"/>
    </row>
    <row r="16" spans="1:10" ht="12.75">
      <c r="A16" s="2" t="s">
        <v>1042</v>
      </c>
      <c r="B16" s="122" t="str">
        <f>IF('Apprp. Summary'!B64&gt;0,ROUND(+'Apprp. Summary'!B64/1000,0),"--")</f>
        <v>--</v>
      </c>
      <c r="C16" s="122" t="str">
        <f>IF('Apprp. Summary'!B65&gt;0,ROUND(+'Apprp. Summary'!B65/1000,0),"--")</f>
        <v>--</v>
      </c>
      <c r="D16" s="122" t="str">
        <f>IF('Apprp. Summary'!B66&gt;0,ROUND(+'Apprp. Summary'!B66/1000,0),"--")</f>
        <v>--</v>
      </c>
      <c r="E16" s="122" t="str">
        <f>IF('Apprp. Summary'!B67&gt;0,ROUND(+'Apprp. Summary'!B67/1000,0),"--")</f>
        <v>--</v>
      </c>
      <c r="F16" s="122" t="str">
        <f>IF('Apprp. Summary'!B67&gt;0,ROUND(+'Apprp. Summary'!B68/1000,0),"--")</f>
        <v>--</v>
      </c>
      <c r="G16" s="228" t="str">
        <f>IF('Apprp. Summary'!B69&gt;0,ROUND(+'Apprp. Summary'!B69/1000,0),"--")</f>
        <v>--</v>
      </c>
      <c r="H16" s="122" t="str">
        <f>IF('Apprp. Summary'!B70&gt;0,ROUND(+'Apprp. Summary'!B70/1000,0),"--")</f>
        <v>--</v>
      </c>
      <c r="I16" s="228">
        <f>IF('Apprp. Summary'!B71&gt;0,ROUND(+'Apprp. Summary'!B71/1000,0),"--")</f>
        <v>139746</v>
      </c>
      <c r="J16" s="122">
        <f>('Apprp. Summary'!B74+'Apprp. Summary'!F74)/1000</f>
        <v>139745.864</v>
      </c>
    </row>
    <row r="17" spans="1:10" ht="12.75">
      <c r="A17" s="2" t="s">
        <v>1043</v>
      </c>
      <c r="B17" s="122">
        <f>ROUND(+'Apprp. Summary'!B83/1000,0)</f>
        <v>83325</v>
      </c>
      <c r="C17" s="122">
        <f>ROUND(+'Apprp. Summary'!B84/1000,0)</f>
        <v>73202</v>
      </c>
      <c r="D17" s="122">
        <f>ROUND(+'Apprp. Summary'!B85/1000,0)</f>
        <v>132680</v>
      </c>
      <c r="E17" s="122">
        <f>ROUND(+'Apprp. Summary'!B86/1000,0)</f>
        <v>28700</v>
      </c>
      <c r="F17" s="122">
        <f>ROUND(+'Apprp. Summary'!B87/1000,0)</f>
        <v>25390</v>
      </c>
      <c r="G17" s="228">
        <f>ROUND(+'Apprp. Summary'!B88/1000,0)</f>
        <v>16252</v>
      </c>
      <c r="H17" s="122">
        <f>ROUND(('Apprp. Summary'!B89+'Apprp. Summary'!F89)/1000,0)</f>
        <v>64885</v>
      </c>
      <c r="I17" s="228">
        <f>ROUND(('Apprp. Summary'!B90+'Apprp. Summary'!F90)/1000,0)</f>
        <v>0</v>
      </c>
      <c r="J17" s="122">
        <f>('Apprp. Summary'!B93+'Apprp. Summary'!F93)/1000</f>
        <v>424432.4</v>
      </c>
    </row>
    <row r="18" spans="1:10" ht="12.75">
      <c r="A18" s="2" t="s">
        <v>1044</v>
      </c>
      <c r="B18" s="122">
        <f>ROUND(+'Apprp. Summary'!B102/1000,0)</f>
        <v>107394</v>
      </c>
      <c r="C18" s="122">
        <f>ROUND(+'Apprp. Summary'!B103/1000,0)</f>
        <v>75409</v>
      </c>
      <c r="D18" s="122">
        <f>ROUND(+'Apprp. Summary'!B104/1000,0)</f>
        <v>110480</v>
      </c>
      <c r="E18" s="122">
        <f>ROUND(+'Apprp. Summary'!B105/1000,0)</f>
        <v>65820</v>
      </c>
      <c r="F18" s="122">
        <f>ROUND(+'Apprp. Summary'!B106/1000,0)</f>
        <v>35487</v>
      </c>
      <c r="G18" s="228">
        <f>ROUND(+'Apprp. Summary'!B107/1000,0)</f>
        <v>0</v>
      </c>
      <c r="H18" s="122">
        <f>ROUND(('Apprp. Summary'!B108+'Apprp. Summary'!F108)/1000,0)</f>
        <v>35188</v>
      </c>
      <c r="I18" s="228">
        <f>ROUND(('Apprp. Summary'!B110+'Apprp. Summary'!F109)/1000,0)</f>
        <v>66091</v>
      </c>
      <c r="J18" s="122">
        <f>('Apprp. Summary'!B112+'Apprp. Summary'!F112)/1000</f>
        <v>553622.314</v>
      </c>
    </row>
    <row r="19" spans="1:10" ht="3.75" customHeight="1">
      <c r="A19" s="2"/>
      <c r="B19" s="122"/>
      <c r="C19" s="122"/>
      <c r="D19" s="122"/>
      <c r="E19" s="122"/>
      <c r="F19" s="122"/>
      <c r="G19" s="228"/>
      <c r="H19" s="122"/>
      <c r="I19" s="228"/>
      <c r="J19" s="122"/>
    </row>
    <row r="20" spans="1:10" ht="12.75">
      <c r="A20" s="2" t="s">
        <v>1045</v>
      </c>
      <c r="B20" s="122">
        <f>ROUND(+'Apprp. Summary'!B121/1000,0)</f>
        <v>240698</v>
      </c>
      <c r="C20" s="122">
        <f>ROUND(+'Apprp. Summary'!B122/1000,0)</f>
        <v>44648</v>
      </c>
      <c r="D20" s="122">
        <f>ROUND(+'Apprp. Summary'!B123/1000,0)</f>
        <v>0</v>
      </c>
      <c r="E20" s="122">
        <f>ROUND(+'Apprp. Summary'!B124/1000,0)</f>
        <v>149522</v>
      </c>
      <c r="F20" s="122">
        <f>ROUND(+'Apprp. Summary'!B125/1000,0)</f>
        <v>28605</v>
      </c>
      <c r="G20" s="228">
        <f>ROUND(+'Apprp. Summary'!B126/1000,0)</f>
        <v>11301</v>
      </c>
      <c r="H20" s="122">
        <f>ROUND(('Apprp. Summary'!B127+'Apprp. Summary'!F127)/1000,0)</f>
        <v>265971</v>
      </c>
      <c r="I20" s="228">
        <f>ROUND(('Apprp. Summary'!B128+'Apprp. Summary'!F128)/1000,0)</f>
        <v>0</v>
      </c>
      <c r="J20" s="122">
        <f>('Apprp. Summary'!B131+'Apprp. Summary'!F131)/1000</f>
        <v>740746.029</v>
      </c>
    </row>
    <row r="21" spans="1:10" ht="12.75">
      <c r="A21" s="2" t="s">
        <v>1046</v>
      </c>
      <c r="B21" s="122">
        <f>ROUND(+'Apprp. Summary'!B140/1000,0)</f>
        <v>63827</v>
      </c>
      <c r="C21" s="122">
        <f>ROUND(+'Apprp. Summary'!B141/1000,0)</f>
        <v>111800</v>
      </c>
      <c r="D21" s="122">
        <f>ROUND(+'Apprp. Summary'!B142/1000,0)</f>
        <v>26320</v>
      </c>
      <c r="E21" s="122">
        <f>ROUND(+'Apprp. Summary'!B143/1000,0)</f>
        <v>0</v>
      </c>
      <c r="F21" s="122">
        <f>ROUND(+'Apprp. Summary'!B144/1000,0)</f>
        <v>30687</v>
      </c>
      <c r="G21" s="228">
        <f>ROUND(+'Apprp. Summary'!B145/1000,0)</f>
        <v>22432</v>
      </c>
      <c r="H21" s="122">
        <f>ROUND(('Apprp. Summary'!B146+'Apprp. Summary'!F146)/1000,0)</f>
        <v>158660</v>
      </c>
      <c r="I21" s="228">
        <f>ROUND(('Apprp. Summary'!B147+'Apprp. Summary'!F147)/1000,0)</f>
        <v>0</v>
      </c>
      <c r="J21" s="122">
        <f>('Apprp. Summary'!B150+'Apprp. Summary'!F150)/1000</f>
        <v>518124.154</v>
      </c>
    </row>
    <row r="22" spans="1:10" ht="12.75">
      <c r="A22" s="2" t="s">
        <v>1047</v>
      </c>
      <c r="B22" s="122">
        <f>ROUND(+'Apprp. Summary'!B159/1000,0)</f>
        <v>310949</v>
      </c>
      <c r="C22" s="122">
        <f>ROUND(+'Apprp. Summary'!B160/1000,0)</f>
        <v>58503</v>
      </c>
      <c r="D22" s="122">
        <f>ROUND(+'Apprp. Summary'!B161/1000,0)</f>
        <v>326267</v>
      </c>
      <c r="E22" s="122">
        <f>ROUND(+'Apprp. Summary'!B162/1000,0)</f>
        <v>58761</v>
      </c>
      <c r="F22" s="122">
        <f>ROUND(+'Apprp. Summary'!B163/1000,0)</f>
        <v>18031</v>
      </c>
      <c r="G22" s="228">
        <f>ROUND(+'Apprp. Summary'!B164/1000,0)</f>
        <v>55074</v>
      </c>
      <c r="H22" s="122">
        <f>ROUND(('Apprp. Summary'!B165+'Apprp. Summary'!F165)/1000,0)</f>
        <v>462168</v>
      </c>
      <c r="I22" s="228">
        <f>ROUND(('Apprp. Summary'!B166+'Apprp. Summary'!F166)/1000,0)</f>
        <v>0</v>
      </c>
      <c r="J22" s="122">
        <f>('Apprp. Summary'!B169+'Apprp. Summary'!F169)/1000</f>
        <v>1299886.684</v>
      </c>
    </row>
    <row r="23" spans="1:10" ht="3.75" customHeight="1">
      <c r="A23" s="2"/>
      <c r="B23" s="122"/>
      <c r="C23" s="122"/>
      <c r="D23" s="122"/>
      <c r="E23" s="122"/>
      <c r="F23" s="122"/>
      <c r="G23" s="228"/>
      <c r="H23" s="122"/>
      <c r="I23" s="228"/>
      <c r="J23" s="122"/>
    </row>
    <row r="24" spans="1:10" ht="12.75">
      <c r="A24" s="2" t="s">
        <v>1048</v>
      </c>
      <c r="B24" s="122">
        <f>ROUND(+'Apprp. Summary'!B178/1000,0)</f>
        <v>171103</v>
      </c>
      <c r="C24" s="122">
        <f>ROUND(+'Apprp. Summary'!B179/1000,0)</f>
        <v>0</v>
      </c>
      <c r="D24" s="122">
        <f>ROUND(+'Apprp. Summary'!B180/1000,0)</f>
        <v>28488</v>
      </c>
      <c r="E24" s="122">
        <f>ROUND(+'Apprp. Summary'!B181/1000,0)</f>
        <v>35050</v>
      </c>
      <c r="F24" s="122">
        <f>ROUND(+'Apprp. Summary'!B182/1000,0)</f>
        <v>41281</v>
      </c>
      <c r="G24" s="228">
        <f>ROUND(+'Apprp. Summary'!B183/1000,0)</f>
        <v>15485</v>
      </c>
      <c r="H24" s="122">
        <f>ROUND(('Apprp. Summary'!B184+'Apprp. Summary'!F184)/1000,0)</f>
        <v>124472</v>
      </c>
      <c r="I24" s="228">
        <f>ROUND(('Apprp. Summary'!B185+'Apprp. Summary'!F185)/1000,0)</f>
        <v>0</v>
      </c>
      <c r="J24" s="122">
        <f>('Apprp. Summary'!B188+'Apprp. Summary'!F188)/1000</f>
        <v>476404.645</v>
      </c>
    </row>
    <row r="25" spans="1:10" ht="12.75">
      <c r="A25" s="2" t="s">
        <v>1049</v>
      </c>
      <c r="B25" s="122">
        <f>ROUND(+'Apprp. Summary'!B197/1000,0)</f>
        <v>112155</v>
      </c>
      <c r="C25" s="122">
        <f>ROUND(+'Apprp. Summary'!B198/1000,0)</f>
        <v>86791</v>
      </c>
      <c r="D25" s="122">
        <f>ROUND(+'Apprp. Summary'!B199/1000,0)</f>
        <v>19143</v>
      </c>
      <c r="E25" s="122">
        <f>ROUND(+'Apprp. Summary'!B200/1000,0)</f>
        <v>37293</v>
      </c>
      <c r="F25" s="122">
        <f>ROUND(+'Apprp. Summary'!B201/1000,0)</f>
        <v>33468</v>
      </c>
      <c r="G25" s="228">
        <f>ROUND(+'Apprp. Summary'!B202/1000,0)</f>
        <v>37969</v>
      </c>
      <c r="H25" s="122">
        <f>ROUND(('Apprp. Summary'!B203+'Apprp. Summary'!F203)/1000,0)</f>
        <v>158981</v>
      </c>
      <c r="I25" s="228">
        <f>ROUND(('Apprp. Summary'!B204+'Apprp. Summary'!F204)/1000,0)</f>
        <v>0</v>
      </c>
      <c r="J25" s="122">
        <f>('Apprp. Summary'!B207+'Apprp. Summary'!F207)/1000</f>
        <v>491609.826</v>
      </c>
    </row>
    <row r="26" spans="1:10" ht="12.75">
      <c r="A26" s="2" t="s">
        <v>1050</v>
      </c>
      <c r="B26" s="122">
        <f>ROUND(+'Apprp. Summary'!B216/1000,0)</f>
        <v>153607</v>
      </c>
      <c r="C26" s="122">
        <f>ROUND(+'Apprp. Summary'!B217/1000,0)</f>
        <v>93555</v>
      </c>
      <c r="D26" s="122">
        <f>ROUND(+'Apprp. Summary'!B218/1000,0)</f>
        <v>141376</v>
      </c>
      <c r="E26" s="122">
        <f>ROUND(+'Apprp. Summary'!B219/1000,0)</f>
        <v>101616</v>
      </c>
      <c r="F26" s="122">
        <f>ROUND(+'Apprp. Summary'!B220/1000,0)</f>
        <v>25325</v>
      </c>
      <c r="G26" s="228">
        <f>ROUND(+'Apprp. Summary'!B221/1000,0)</f>
        <v>0</v>
      </c>
      <c r="H26" s="122">
        <f>ROUND(('Apprp. Summary'!B222+'Apprp. Summary'!F222)/1000,0)</f>
        <v>159578</v>
      </c>
      <c r="I26" s="228">
        <f>ROUND(('Apprp. Summary'!B223+'Apprp. Summary'!F223)/1000,0)</f>
        <v>29402</v>
      </c>
      <c r="J26" s="122">
        <f>('Apprp. Summary'!B226+'Apprp. Summary'!F226)/1000</f>
        <v>711510.0512749999</v>
      </c>
    </row>
    <row r="27" spans="1:10" ht="3.75" customHeight="1">
      <c r="A27" s="2"/>
      <c r="B27" s="122"/>
      <c r="C27" s="122"/>
      <c r="D27" s="122"/>
      <c r="E27" s="122"/>
      <c r="F27" s="122"/>
      <c r="G27" s="228"/>
      <c r="H27" s="122"/>
      <c r="I27" s="228"/>
      <c r="J27" s="122"/>
    </row>
    <row r="28" spans="1:10" ht="12.75">
      <c r="A28" s="2" t="s">
        <v>1051</v>
      </c>
      <c r="B28" s="122">
        <f>ROUND(+'Apprp. Summary'!B235/1000,0)</f>
        <v>922095</v>
      </c>
      <c r="C28" s="122">
        <f>ROUND(+'Apprp. Summary'!B236/1000,0)</f>
        <v>169371</v>
      </c>
      <c r="D28" s="122">
        <f>ROUND(+'Apprp. Summary'!B237/1000,0)</f>
        <v>496625</v>
      </c>
      <c r="E28" s="122">
        <f>ROUND(+'Apprp. Summary'!B238/1000,0)</f>
        <v>127938</v>
      </c>
      <c r="F28" s="122">
        <f>ROUND(+'Apprp. Summary'!B239/1000,0)</f>
        <v>27426</v>
      </c>
      <c r="G28" s="228">
        <f>ROUND(+'Apprp. Summary'!B240/1000,0)</f>
        <v>25185</v>
      </c>
      <c r="H28" s="122">
        <f>ROUND(('Apprp. Summary'!B29+'Apprp. Summary'!B241)/1000,0)</f>
        <v>758821</v>
      </c>
      <c r="I28" s="228">
        <f>ROUND(('Apprp. Summary'!B242+'Apprp. Summary'!F242)/1000,0)</f>
        <v>0</v>
      </c>
      <c r="J28" s="122">
        <f>('Apprp. Summary'!B245+'Apprp. Summary'!F245)/1000</f>
        <v>2818824.507</v>
      </c>
    </row>
    <row r="29" spans="1:10" ht="12.75">
      <c r="A29" s="2" t="s">
        <v>1052</v>
      </c>
      <c r="B29" s="122">
        <f>ROUND(+'Apprp. Summary'!B254/1000,0)</f>
        <v>190345</v>
      </c>
      <c r="C29" s="122">
        <f>ROUND(+'Apprp. Summary'!B255/1000,0)</f>
        <v>210763</v>
      </c>
      <c r="D29" s="122">
        <f>ROUND(+'Apprp. Summary'!B256/1000,0)</f>
        <v>57546</v>
      </c>
      <c r="E29" s="122">
        <f>ROUND(+'Apprp. Summary'!B257/1000,0)</f>
        <v>35008</v>
      </c>
      <c r="F29" s="122">
        <f>ROUND(+'Apprp. Summary'!B258/1000,0)</f>
        <v>10748</v>
      </c>
      <c r="G29" s="228">
        <f>ROUND(+'Apprp. Summary'!B259/1000,0)</f>
        <v>26481</v>
      </c>
      <c r="H29" s="122">
        <f>ROUND(('Apprp. Summary'!B260+'Apprp. Summary'!F260)/1000,0)</f>
        <v>183971</v>
      </c>
      <c r="I29" s="228">
        <f>ROUND(('Apprp. Summary'!B261+'Apprp. Summary'!F261)/1000,0)</f>
        <v>0</v>
      </c>
      <c r="J29" s="122">
        <f>('Apprp. Summary'!B264+'Apprp. Summary'!F264)/1000</f>
        <v>724792.963</v>
      </c>
    </row>
    <row r="30" spans="1:10" ht="12.75">
      <c r="A30" s="10" t="s">
        <v>1053</v>
      </c>
      <c r="B30" s="11">
        <f>ROUND(+'Apprp. Summary'!B273/1000,0)</f>
        <v>79395</v>
      </c>
      <c r="C30" s="11">
        <f>ROUND(+'Apprp. Summary'!B274/1000,0)</f>
        <v>0</v>
      </c>
      <c r="D30" s="11">
        <f>ROUND(+'Apprp. Summary'!B275/1000,0)</f>
        <v>33368</v>
      </c>
      <c r="E30" s="11">
        <f>ROUND(+'Apprp. Summary'!B276/1000,0)</f>
        <v>0</v>
      </c>
      <c r="F30" s="11">
        <f>ROUND(+'Apprp. Summary'!B277/1000,0)</f>
        <v>0</v>
      </c>
      <c r="G30" s="229">
        <f>ROUND(+'Apprp. Summary'!B278/1000,0)</f>
        <v>73915</v>
      </c>
      <c r="H30" s="11">
        <f>ROUND(('Apprp. Summary'!B279+'Apprp. Summary'!F279)/1000,0)</f>
        <v>19757</v>
      </c>
      <c r="I30" s="229">
        <f>ROUND(('Apprp. Summary'!B280+'Apprp. Summary'!F280)/1000,0)</f>
        <v>0</v>
      </c>
      <c r="J30" s="11">
        <f>('Apprp. Summary'!B283+'Apprp. Summary'!F283)/1000</f>
        <v>212833.894</v>
      </c>
    </row>
    <row r="31" spans="1:10" ht="3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58" t="s">
        <v>1089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3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53" t="s">
        <v>1090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3.75" customHeight="1">
      <c r="A35" s="253"/>
      <c r="B35" s="2"/>
      <c r="C35" s="2"/>
      <c r="D35" s="2"/>
      <c r="E35" s="2"/>
      <c r="F35" s="2"/>
      <c r="G35" s="2"/>
      <c r="H35" s="2"/>
      <c r="I35" s="2"/>
      <c r="J35" s="2"/>
    </row>
    <row r="36" spans="1:10" ht="7.5" customHeight="1">
      <c r="A36" s="253" t="s">
        <v>1091</v>
      </c>
      <c r="B36" s="8"/>
      <c r="C36" s="8"/>
      <c r="D36" s="8"/>
      <c r="E36" s="8"/>
      <c r="F36" s="8"/>
      <c r="G36" s="8"/>
      <c r="H36" s="231"/>
      <c r="I36" s="231"/>
      <c r="J36" s="231"/>
    </row>
    <row r="37" spans="1:10" ht="7.5" customHeight="1">
      <c r="A37" s="253" t="s">
        <v>1092</v>
      </c>
      <c r="B37" s="8"/>
      <c r="C37" s="8"/>
      <c r="D37" s="8"/>
      <c r="E37" s="8"/>
      <c r="F37" s="8"/>
      <c r="G37" s="8"/>
      <c r="H37" s="114"/>
      <c r="I37" s="114"/>
      <c r="J37" s="114"/>
    </row>
    <row r="38" spans="1:10" ht="7.5" customHeight="1">
      <c r="A38" s="253" t="s">
        <v>1093</v>
      </c>
      <c r="B38" s="8"/>
      <c r="C38" s="8"/>
      <c r="D38" s="8"/>
      <c r="E38" s="8"/>
      <c r="F38" s="8"/>
      <c r="G38" s="8"/>
      <c r="H38" s="114"/>
      <c r="I38" s="114"/>
      <c r="J38" s="114"/>
    </row>
    <row r="39" spans="1:10" ht="7.5" customHeight="1">
      <c r="A39" s="253" t="s">
        <v>1094</v>
      </c>
      <c r="B39" s="8"/>
      <c r="C39" s="8"/>
      <c r="D39" s="8"/>
      <c r="E39" s="8"/>
      <c r="F39" s="8"/>
      <c r="G39" s="8"/>
      <c r="H39" s="114"/>
      <c r="I39" s="114"/>
      <c r="J39" s="114"/>
    </row>
    <row r="40" spans="1:10" ht="7.5" customHeight="1">
      <c r="A40" s="253" t="s">
        <v>1095</v>
      </c>
      <c r="B40" s="8"/>
      <c r="C40" s="8"/>
      <c r="D40" s="8"/>
      <c r="E40" s="8"/>
      <c r="F40" s="8"/>
      <c r="G40" s="8"/>
      <c r="H40" s="114"/>
      <c r="I40" s="114"/>
      <c r="J40" s="114"/>
    </row>
    <row r="41" spans="1:10" ht="7.5" customHeight="1">
      <c r="A41" s="253" t="s">
        <v>1096</v>
      </c>
      <c r="B41" s="8"/>
      <c r="C41" s="8"/>
      <c r="D41" s="8"/>
      <c r="E41" s="8"/>
      <c r="F41" s="8"/>
      <c r="G41" s="8"/>
      <c r="H41" s="114"/>
      <c r="I41" s="114"/>
      <c r="J41" s="114"/>
    </row>
    <row r="42" spans="1:10" ht="7.5" customHeight="1">
      <c r="A42" s="253" t="s">
        <v>1097</v>
      </c>
      <c r="B42" s="8"/>
      <c r="C42" s="8"/>
      <c r="D42" s="8"/>
      <c r="E42" s="8"/>
      <c r="F42" s="8"/>
      <c r="G42" s="8"/>
      <c r="H42" s="114"/>
      <c r="I42" s="114"/>
      <c r="J42" s="114"/>
    </row>
    <row r="43" spans="1:10" ht="7.5" customHeight="1">
      <c r="A43" s="253" t="s">
        <v>1098</v>
      </c>
      <c r="B43" s="8"/>
      <c r="C43" s="8"/>
      <c r="D43" s="8"/>
      <c r="E43" s="8"/>
      <c r="F43" s="8"/>
      <c r="G43" s="8"/>
      <c r="H43" s="114"/>
      <c r="I43" s="114"/>
      <c r="J43" s="114"/>
    </row>
    <row r="44" spans="1:10" ht="12.75">
      <c r="A44" s="8"/>
      <c r="B44" s="8"/>
      <c r="C44" s="8"/>
      <c r="D44" s="8"/>
      <c r="E44" s="8"/>
      <c r="F44" s="8"/>
      <c r="G44" s="8"/>
      <c r="H44" s="114"/>
      <c r="I44" s="114"/>
      <c r="J44" s="114"/>
    </row>
    <row r="45" spans="1:10" ht="12.75">
      <c r="A45" s="8"/>
      <c r="B45" s="8"/>
      <c r="C45" s="8"/>
      <c r="D45" s="8"/>
      <c r="E45" s="8"/>
      <c r="F45" s="8"/>
      <c r="G45" s="8"/>
      <c r="H45" s="2"/>
      <c r="I45" s="2"/>
      <c r="J45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1" manualBreakCount="1">
    <brk id="51" max="255" man="1"/>
  </rowBreaks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47"/>
  <sheetViews>
    <sheetView showGridLines="0" defaultGridColor="0" zoomScale="87" zoomScaleNormal="87" colorId="22" workbookViewId="0" topLeftCell="E3">
      <selection activeCell="M21" sqref="M21"/>
    </sheetView>
  </sheetViews>
  <sheetFormatPr defaultColWidth="9.66015625" defaultRowHeight="11.25"/>
  <cols>
    <col min="2" max="3" width="13.66015625" style="0" customWidth="1"/>
    <col min="5" max="11" width="10.66015625" style="0" customWidth="1"/>
    <col min="13" max="13" width="10.66015625" style="0" customWidth="1"/>
    <col min="14" max="14" width="12.66015625" style="0" customWidth="1"/>
    <col min="15" max="15" width="5.66015625" style="0" customWidth="1"/>
    <col min="16" max="16" width="12.66015625" style="0" customWidth="1"/>
  </cols>
  <sheetData>
    <row r="1" spans="1:16" ht="40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54" t="s">
        <v>1099</v>
      </c>
      <c r="N1" s="35"/>
      <c r="O1" s="35"/>
      <c r="P1" s="35"/>
    </row>
    <row r="2" spans="1:16" ht="10.5" customHeight="1">
      <c r="A2" s="218" t="s">
        <v>1100</v>
      </c>
      <c r="B2" s="132"/>
      <c r="C2" s="132"/>
      <c r="D2" s="132"/>
      <c r="E2" s="132"/>
      <c r="F2" s="132"/>
      <c r="G2" s="132"/>
      <c r="H2" s="132"/>
      <c r="I2" s="218"/>
      <c r="J2" s="218"/>
      <c r="K2" s="218"/>
      <c r="L2" s="218"/>
      <c r="M2" s="218"/>
      <c r="N2" s="218"/>
      <c r="O2" s="35"/>
      <c r="P2" s="35"/>
    </row>
    <row r="3" spans="1:16" ht="10.5" customHeight="1">
      <c r="A3" s="218"/>
      <c r="B3" s="132"/>
      <c r="C3" s="132"/>
      <c r="D3" s="132"/>
      <c r="E3" s="132"/>
      <c r="F3" s="132"/>
      <c r="G3" s="132"/>
      <c r="H3" s="132"/>
      <c r="I3" s="218"/>
      <c r="J3" s="218"/>
      <c r="K3" s="218"/>
      <c r="L3" s="218"/>
      <c r="M3" s="218"/>
      <c r="N3" s="218"/>
      <c r="O3" s="35"/>
      <c r="P3" s="35"/>
    </row>
    <row r="4" spans="1:16" ht="10.5" customHeight="1">
      <c r="A4" s="218" t="s">
        <v>1101</v>
      </c>
      <c r="B4" s="132"/>
      <c r="C4" s="132"/>
      <c r="D4" s="132"/>
      <c r="E4" s="132"/>
      <c r="F4" s="132"/>
      <c r="G4" s="132"/>
      <c r="H4" s="132"/>
      <c r="I4" s="218"/>
      <c r="J4" s="218"/>
      <c r="K4" s="218"/>
      <c r="L4" s="218"/>
      <c r="M4" s="218"/>
      <c r="N4" s="218"/>
      <c r="O4" s="35"/>
      <c r="P4" s="35"/>
    </row>
    <row r="5" spans="1:16" ht="10.5" customHeight="1">
      <c r="A5" s="218" t="s">
        <v>1102</v>
      </c>
      <c r="B5" s="132"/>
      <c r="C5" s="132"/>
      <c r="D5" s="132"/>
      <c r="E5" s="132"/>
      <c r="F5" s="132"/>
      <c r="G5" s="132"/>
      <c r="H5" s="132"/>
      <c r="I5" s="218"/>
      <c r="J5" s="218"/>
      <c r="K5" s="218"/>
      <c r="L5" s="218"/>
      <c r="M5" s="218"/>
      <c r="N5" s="218"/>
      <c r="O5" s="35"/>
      <c r="P5" s="35"/>
    </row>
    <row r="6" spans="1:16" ht="10.5" customHeight="1">
      <c r="A6" s="218" t="s">
        <v>1103</v>
      </c>
      <c r="B6" s="132"/>
      <c r="C6" s="132"/>
      <c r="D6" s="132"/>
      <c r="E6" s="132"/>
      <c r="F6" s="132"/>
      <c r="G6" s="132"/>
      <c r="H6" s="132"/>
      <c r="I6" s="218"/>
      <c r="J6" s="255"/>
      <c r="K6" s="218"/>
      <c r="L6" s="218"/>
      <c r="M6" s="218"/>
      <c r="N6" s="218"/>
      <c r="O6" s="35"/>
      <c r="P6" s="35"/>
    </row>
    <row r="7" spans="1:16" ht="3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6.75" customHeight="1">
      <c r="A8" s="210"/>
      <c r="B8" s="141" t="s">
        <v>1104</v>
      </c>
      <c r="C8" s="256"/>
      <c r="D8" s="256"/>
      <c r="E8" s="256"/>
      <c r="F8" s="256"/>
      <c r="G8" s="256"/>
      <c r="H8" s="256"/>
      <c r="I8" s="256"/>
      <c r="J8" s="257"/>
      <c r="K8" s="258"/>
      <c r="L8" s="259"/>
      <c r="M8" s="260"/>
      <c r="N8" s="211"/>
      <c r="O8" s="128" t="s">
        <v>1000</v>
      </c>
      <c r="P8" s="35"/>
    </row>
    <row r="9" spans="1:16" ht="11.25" customHeight="1">
      <c r="A9" s="35"/>
      <c r="B9" s="35"/>
      <c r="C9" s="35"/>
      <c r="D9" s="35"/>
      <c r="E9" s="35"/>
      <c r="F9" s="35"/>
      <c r="G9" s="36"/>
      <c r="H9" s="35"/>
      <c r="I9" s="36"/>
      <c r="J9" s="261"/>
      <c r="K9" s="262" t="s">
        <v>1105</v>
      </c>
      <c r="L9" s="262"/>
      <c r="M9" s="263"/>
      <c r="N9" s="138"/>
      <c r="O9" s="137" t="s">
        <v>1106</v>
      </c>
      <c r="P9" s="35"/>
    </row>
    <row r="10" spans="1:16" ht="11.25" customHeight="1">
      <c r="A10" s="145"/>
      <c r="B10" s="35"/>
      <c r="C10" s="35"/>
      <c r="D10" s="35"/>
      <c r="E10" s="35"/>
      <c r="F10" s="35"/>
      <c r="G10" s="36"/>
      <c r="H10" s="35"/>
      <c r="I10" s="36"/>
      <c r="J10" s="261" t="s">
        <v>60</v>
      </c>
      <c r="K10" s="264" t="s">
        <v>1107</v>
      </c>
      <c r="L10" s="264" t="s">
        <v>1108</v>
      </c>
      <c r="M10" s="264" t="s">
        <v>1108</v>
      </c>
      <c r="N10" s="138" t="s">
        <v>60</v>
      </c>
      <c r="O10" s="137" t="s">
        <v>1109</v>
      </c>
      <c r="P10" s="35"/>
    </row>
    <row r="11" spans="1:16" ht="11.25" customHeight="1">
      <c r="A11" s="145"/>
      <c r="B11" s="132" t="s">
        <v>1028</v>
      </c>
      <c r="C11" s="132"/>
      <c r="D11" s="132"/>
      <c r="E11" s="132"/>
      <c r="F11" s="132"/>
      <c r="G11" s="131"/>
      <c r="H11" s="132" t="s">
        <v>1066</v>
      </c>
      <c r="I11" s="133"/>
      <c r="J11" s="261" t="s">
        <v>1000</v>
      </c>
      <c r="K11" s="261" t="s">
        <v>1110</v>
      </c>
      <c r="L11" s="261" t="s">
        <v>1106</v>
      </c>
      <c r="M11" s="261" t="s">
        <v>1106</v>
      </c>
      <c r="N11" s="138" t="s">
        <v>1111</v>
      </c>
      <c r="O11" s="137" t="s">
        <v>1112</v>
      </c>
      <c r="P11" s="35"/>
    </row>
    <row r="12" spans="1:16" ht="11.25" customHeight="1">
      <c r="A12" s="145"/>
      <c r="B12" s="128" t="s">
        <v>1030</v>
      </c>
      <c r="C12" s="128" t="s">
        <v>1031</v>
      </c>
      <c r="D12" s="128" t="s">
        <v>1032</v>
      </c>
      <c r="E12" s="128" t="s">
        <v>1033</v>
      </c>
      <c r="F12" s="128" t="s">
        <v>1034</v>
      </c>
      <c r="G12" s="138" t="s">
        <v>1035</v>
      </c>
      <c r="H12" s="128" t="s">
        <v>1036</v>
      </c>
      <c r="I12" s="211" t="s">
        <v>1037</v>
      </c>
      <c r="J12" s="261" t="s">
        <v>1113</v>
      </c>
      <c r="K12" s="261" t="s">
        <v>941</v>
      </c>
      <c r="L12" s="261" t="s">
        <v>1114</v>
      </c>
      <c r="M12" s="261" t="s">
        <v>1115</v>
      </c>
      <c r="N12" s="138" t="s">
        <v>927</v>
      </c>
      <c r="O12" s="140" t="s">
        <v>1116</v>
      </c>
      <c r="P12" s="35"/>
    </row>
    <row r="13" spans="1:16" ht="9.75">
      <c r="A13" s="210" t="s">
        <v>1068</v>
      </c>
      <c r="B13" s="265">
        <f aca="true" t="shared" si="0" ref="B13:M13">SUM(B15:B33)</f>
        <v>3793034</v>
      </c>
      <c r="C13" s="265">
        <f t="shared" si="0"/>
        <v>1336902</v>
      </c>
      <c r="D13" s="265">
        <f t="shared" si="0"/>
        <v>1879102</v>
      </c>
      <c r="E13" s="265">
        <f t="shared" si="0"/>
        <v>935686</v>
      </c>
      <c r="F13" s="265">
        <f t="shared" si="0"/>
        <v>498405</v>
      </c>
      <c r="G13" s="266">
        <f t="shared" si="0"/>
        <v>390080</v>
      </c>
      <c r="H13" s="265">
        <f t="shared" si="0"/>
        <v>3856608</v>
      </c>
      <c r="I13" s="266">
        <f t="shared" si="0"/>
        <v>279441</v>
      </c>
      <c r="J13" s="267">
        <f t="shared" si="0"/>
        <v>13089087.83241</v>
      </c>
      <c r="K13" s="267">
        <f t="shared" si="0"/>
        <v>2363383.8797349995</v>
      </c>
      <c r="L13" s="267">
        <f t="shared" si="0"/>
        <v>565319.772</v>
      </c>
      <c r="M13" s="267">
        <f t="shared" si="0"/>
        <v>2035276.308</v>
      </c>
      <c r="N13" s="266">
        <f>SUM(J13:M13)</f>
        <v>18053067.792145</v>
      </c>
      <c r="O13" s="188">
        <f>(J13/N13)*100</f>
        <v>72.50339932864564</v>
      </c>
      <c r="P13" s="35"/>
    </row>
    <row r="14" spans="1:16" ht="3.75" customHeight="1">
      <c r="A14" s="35"/>
      <c r="B14" s="143"/>
      <c r="C14" s="143"/>
      <c r="D14" s="143"/>
      <c r="E14" s="143"/>
      <c r="F14" s="143"/>
      <c r="G14" s="144"/>
      <c r="H14" s="143"/>
      <c r="I14" s="144"/>
      <c r="J14" s="268"/>
      <c r="K14" s="268"/>
      <c r="L14" s="268"/>
      <c r="M14" s="268"/>
      <c r="N14" s="144"/>
      <c r="O14" s="269"/>
      <c r="P14" s="35"/>
    </row>
    <row r="15" spans="1:16" ht="9.75">
      <c r="A15" s="35" t="s">
        <v>1039</v>
      </c>
      <c r="B15" s="143">
        <f>ROUND(+'Apprp. Summary'!C7/1000,0)</f>
        <v>197952</v>
      </c>
      <c r="C15" s="143">
        <f>ROUND(+'Apprp. Summary'!C8/1000,0)</f>
        <v>38429</v>
      </c>
      <c r="D15" s="143">
        <f>ROUND(+'Apprp. Summary'!C9/1000,0)</f>
        <v>104592</v>
      </c>
      <c r="E15" s="143">
        <f>ROUND(+'Apprp. Summary'!C10/1000,0)</f>
        <v>52687</v>
      </c>
      <c r="F15" s="143">
        <f>ROUND(+'Apprp. Summary'!C11/1000,0)</f>
        <v>55829</v>
      </c>
      <c r="G15" s="144">
        <f>ROUND(+'Apprp. Summary'!C12/1000,0)</f>
        <v>7268</v>
      </c>
      <c r="H15" s="143">
        <f>ROUND(('Apprp. Summary'!C13+'Apprp. Summary'!G13)/1000,0)</f>
        <v>158872</v>
      </c>
      <c r="I15" s="144">
        <f>ROUND(('Apprp. Summary'!C14+'Apprp. Summary'!G14)/1000,0)</f>
        <v>35596</v>
      </c>
      <c r="J15" s="268">
        <f>('Apprp. Summary'!C17+'Apprp. Summary'!G17)/1000</f>
        <v>651224.769</v>
      </c>
      <c r="K15" s="268">
        <f>('Apprp. Summary'!D17+'Apprp. Summary'!E17)/1000</f>
        <v>203221.61</v>
      </c>
      <c r="L15" s="268">
        <f>SUM('Apprp. Summary'!H17:N17)/1000</f>
        <v>47221.265</v>
      </c>
      <c r="M15" s="268">
        <v>108302.592</v>
      </c>
      <c r="N15" s="144">
        <f>SUM(J15:M15)</f>
        <v>1009970.236</v>
      </c>
      <c r="O15" s="188">
        <f>(J15/N15)*100</f>
        <v>64.47960007011532</v>
      </c>
      <c r="P15" s="183"/>
    </row>
    <row r="16" spans="1:16" ht="9.75">
      <c r="A16" s="35" t="s">
        <v>1040</v>
      </c>
      <c r="B16" s="143">
        <f>ROUND(+'Apprp. Summary'!C26/1000,0)</f>
        <v>78762</v>
      </c>
      <c r="C16" s="143">
        <f>ROUND(+'Apprp. Summary'!C27/1000,0)</f>
        <v>0</v>
      </c>
      <c r="D16" s="143">
        <f>ROUND(+'Apprp. Summary'!C28/1000,0)</f>
        <v>114364</v>
      </c>
      <c r="E16" s="143">
        <f>ROUND(+'Apprp. Summary'!C29/1000,0)</f>
        <v>0</v>
      </c>
      <c r="F16" s="143">
        <f>ROUND(+'Apprp. Summary'!C30/1000,0)</f>
        <v>29726</v>
      </c>
      <c r="G16" s="144">
        <f>ROUND(+'Apprp. Summary'!C31/1000,0)</f>
        <v>35373</v>
      </c>
      <c r="H16" s="143">
        <f>ROUND((+'Apprp. Summary'!C32+'Apprp. Summary'!G32)/1000,0)</f>
        <v>81303</v>
      </c>
      <c r="I16" s="144">
        <f>ROUND((+'Apprp. Summary'!C33+'Apprp. Summary'!G33)/1000,0)</f>
        <v>0</v>
      </c>
      <c r="J16" s="268">
        <f>('Apprp. Summary'!C36+'Apprp. Summary'!G36)/1000</f>
        <v>339527.671</v>
      </c>
      <c r="K16" s="268">
        <f>('Apprp. Summary'!D36+'Apprp. Summary'!E36)/1000</f>
        <v>61000.809</v>
      </c>
      <c r="L16" s="268">
        <f>SUM('Apprp. Summary'!H36:N36)/1000</f>
        <v>0</v>
      </c>
      <c r="M16" s="268">
        <v>79613.446</v>
      </c>
      <c r="N16" s="144">
        <f>SUM(J16:M16)</f>
        <v>480141.926</v>
      </c>
      <c r="O16" s="188">
        <f>(J16/N16)*100</f>
        <v>70.71402279500165</v>
      </c>
      <c r="P16" s="35"/>
    </row>
    <row r="17" spans="1:15" ht="9.75">
      <c r="A17" s="35" t="s">
        <v>1041</v>
      </c>
      <c r="B17" s="143">
        <f>ROUND(+'Apprp. Summary'!C45/1000,0)</f>
        <v>578855</v>
      </c>
      <c r="C17" s="143">
        <f>ROUND(+'Apprp. Summary'!C46/1000,0)</f>
        <v>196015</v>
      </c>
      <c r="D17" s="143">
        <f>ROUND(+'Apprp. Summary'!C47/1000,0)</f>
        <v>165050</v>
      </c>
      <c r="E17" s="143">
        <f>ROUND(+'Apprp. Summary'!C48/1000,0)</f>
        <v>106154</v>
      </c>
      <c r="F17" s="143">
        <f>ROUND(+'Apprp. Summary'!C49/1000,0)</f>
        <v>0</v>
      </c>
      <c r="G17" s="144">
        <f>ROUND(+'Apprp. Summary'!C50/1000,0)</f>
        <v>0</v>
      </c>
      <c r="H17" s="143">
        <f>ROUND((+'Apprp. Summary'!C51+'Apprp. Summary'!G51)/1000,0)</f>
        <v>679176</v>
      </c>
      <c r="I17" s="144">
        <f>ROUND((+'Apprp. Summary'!C52+'Apprp. Summary'!G52)/1000,0)</f>
        <v>0</v>
      </c>
      <c r="J17" s="268">
        <f>('Apprp. Summary'!C55+'Apprp. Summary'!G55)/1000</f>
        <v>1725250.1435999998</v>
      </c>
      <c r="K17" s="268">
        <f>('Apprp. Summary'!D55+'Apprp. Summary'!E55)/1000</f>
        <v>154079.232</v>
      </c>
      <c r="L17" s="268">
        <f>SUM('Apprp. Summary'!H55:N55)/1000</f>
        <v>0</v>
      </c>
      <c r="M17" s="268">
        <v>173423.618</v>
      </c>
      <c r="N17" s="144">
        <f>SUM(J17:M17)</f>
        <v>2052752.9936</v>
      </c>
      <c r="O17" s="188">
        <f>(J17/N17)*100</f>
        <v>84.0456766585616</v>
      </c>
    </row>
    <row r="18" spans="1:15" ht="3.75" customHeight="1">
      <c r="A18" s="35"/>
      <c r="B18" s="143"/>
      <c r="C18" s="143"/>
      <c r="D18" s="143"/>
      <c r="E18" s="143"/>
      <c r="F18" s="143"/>
      <c r="G18" s="144"/>
      <c r="H18" s="143"/>
      <c r="I18" s="144"/>
      <c r="J18" s="268"/>
      <c r="K18" s="268"/>
      <c r="L18" s="268"/>
      <c r="M18" s="268"/>
      <c r="N18" s="144"/>
      <c r="O18" s="188"/>
    </row>
    <row r="19" spans="1:15" ht="9.75">
      <c r="A19" s="35" t="s">
        <v>1042</v>
      </c>
      <c r="B19" s="143">
        <f>ROUND(+'Apprp. Summary'!C64/1000,0)</f>
        <v>385731</v>
      </c>
      <c r="C19" s="143">
        <f>ROUND(+'Apprp. Summary'!C65/1000,0)</f>
        <v>126907</v>
      </c>
      <c r="D19" s="143">
        <f>ROUND(+'Apprp. Summary'!C66/1000,0)</f>
        <v>57294</v>
      </c>
      <c r="E19" s="143">
        <f>ROUND(+'Apprp. Summary'!C67/1000,0)</f>
        <v>104031</v>
      </c>
      <c r="F19" s="143">
        <f>ROUND(+'Apprp. Summary'!C68/1000,0)</f>
        <v>117662</v>
      </c>
      <c r="G19" s="144">
        <f>ROUND(+'Apprp. Summary'!C69/1000,0)</f>
        <v>49764</v>
      </c>
      <c r="H19" s="143">
        <f>ROUND((+'Apprp. Summary'!C70+'Apprp. Summary'!G70)/1000,0)</f>
        <v>139011</v>
      </c>
      <c r="I19" s="144">
        <f>ROUND((+'Apprp. Summary'!C71+'Apprp. Summary'!G71)/1000,0)</f>
        <v>150691</v>
      </c>
      <c r="J19" s="268">
        <f>('Apprp. Summary'!C74+'Apprp. Summary'!G74)/1000</f>
        <v>1148019.726</v>
      </c>
      <c r="K19" s="268">
        <f>('Apprp. Summary'!D74+'Apprp. Summary'!E74)/1000</f>
        <v>159284.555</v>
      </c>
      <c r="L19" s="268">
        <f>SUM('Apprp. Summary'!H74:N74)/1000</f>
        <v>93283.949</v>
      </c>
      <c r="M19" s="268">
        <v>67252.355</v>
      </c>
      <c r="N19" s="144">
        <f>SUM(J19:M19)</f>
        <v>1467840.585</v>
      </c>
      <c r="O19" s="188">
        <f>(J19/N19)*100</f>
        <v>78.2114718540774</v>
      </c>
    </row>
    <row r="20" spans="1:15" ht="9.75">
      <c r="A20" s="35" t="s">
        <v>1043</v>
      </c>
      <c r="B20" s="143">
        <f>ROUND(+'Apprp. Summary'!C83/1000,0)</f>
        <v>86917</v>
      </c>
      <c r="C20" s="143">
        <f>ROUND(+'Apprp. Summary'!C84/1000,0)</f>
        <v>68766</v>
      </c>
      <c r="D20" s="143">
        <f>ROUND(+'Apprp. Summary'!C85/1000,0)</f>
        <v>138273</v>
      </c>
      <c r="E20" s="143">
        <f>ROUND(+'Apprp. Summary'!C86/1000,0)</f>
        <v>29891</v>
      </c>
      <c r="F20" s="143">
        <f>ROUND(+'Apprp. Summary'!C87/1000,0)</f>
        <v>26345</v>
      </c>
      <c r="G20" s="144">
        <f>ROUND(+'Apprp. Summary'!C88/1000,0)</f>
        <v>15982</v>
      </c>
      <c r="H20" s="143">
        <f>ROUND((+'Apprp. Summary'!C89+'Apprp. Summary'!G89)/1000,0)</f>
        <v>71126</v>
      </c>
      <c r="I20" s="144">
        <f>ROUND((+'Apprp. Summary'!C90+'Apprp. Summary'!G90)/1000,0)</f>
        <v>0</v>
      </c>
      <c r="J20" s="268">
        <f>('Apprp. Summary'!C93+'Apprp. Summary'!G93)/1000</f>
        <v>437299.95</v>
      </c>
      <c r="K20" s="268">
        <f>('Apprp. Summary'!D93+'Apprp. Summary'!E93)/1000</f>
        <v>140452</v>
      </c>
      <c r="L20" s="268">
        <f>SUM('Apprp. Summary'!H93:N93)/1000</f>
        <v>92672.65</v>
      </c>
      <c r="M20" s="268">
        <v>129370.85</v>
      </c>
      <c r="N20" s="144">
        <f>SUM(J20:M20)</f>
        <v>799795.45</v>
      </c>
      <c r="O20" s="188">
        <f>(J20/N20)*100</f>
        <v>54.6764738409052</v>
      </c>
    </row>
    <row r="21" spans="1:15" ht="9.75">
      <c r="A21" s="35" t="s">
        <v>1044</v>
      </c>
      <c r="B21" s="143">
        <f>ROUND(+'Apprp. Summary'!C102/1000,0)</f>
        <v>121017</v>
      </c>
      <c r="C21" s="143">
        <f>ROUND(+'Apprp. Summary'!C103/1000,0)</f>
        <v>86935</v>
      </c>
      <c r="D21" s="143">
        <f>ROUND(+'Apprp. Summary'!C104/1000,0)</f>
        <v>131597</v>
      </c>
      <c r="E21" s="143">
        <f>ROUND(+'Apprp. Summary'!C105/1000,0)</f>
        <v>75891</v>
      </c>
      <c r="F21" s="143">
        <f>ROUND(+'Apprp. Summary'!C106/1000,0)</f>
        <v>40213</v>
      </c>
      <c r="G21" s="144">
        <f>ROUND(+'Apprp. Summary'!C107/1000,0)</f>
        <v>0</v>
      </c>
      <c r="H21" s="143">
        <f>ROUND((+'Apprp. Summary'!C108+'Apprp. Summary'!G108)/1000,0)</f>
        <v>39266</v>
      </c>
      <c r="I21" s="144">
        <f>ROUND((+'Apprp. Summary'!C109+'Apprp. Summary'!G109)/1000,0)</f>
        <v>61678</v>
      </c>
      <c r="J21" s="268">
        <f>('Apprp. Summary'!C112+'Apprp. Summary'!G112)/1000</f>
        <v>632924.194</v>
      </c>
      <c r="K21" s="268">
        <f>('Apprp. Summary'!D112+'Apprp. Summary'!E112)/1000</f>
        <v>13620.935</v>
      </c>
      <c r="L21" s="268">
        <f>SUM('Apprp. Summary'!H112:N112)/1000</f>
        <v>0</v>
      </c>
      <c r="M21" s="268">
        <v>91037.463</v>
      </c>
      <c r="N21" s="144">
        <f>SUM(J21:M21)</f>
        <v>737582.5920000001</v>
      </c>
      <c r="O21" s="188">
        <f>(J21/N21)*100</f>
        <v>85.81061983632064</v>
      </c>
    </row>
    <row r="22" spans="1:15" ht="3.75" customHeight="1">
      <c r="A22" s="35"/>
      <c r="B22" s="143"/>
      <c r="C22" s="143"/>
      <c r="D22" s="143"/>
      <c r="E22" s="143"/>
      <c r="F22" s="143"/>
      <c r="G22" s="144"/>
      <c r="H22" s="143"/>
      <c r="I22" s="144"/>
      <c r="J22" s="268"/>
      <c r="K22" s="268"/>
      <c r="L22" s="268"/>
      <c r="M22" s="268"/>
      <c r="N22" s="144"/>
      <c r="O22" s="188"/>
    </row>
    <row r="23" spans="1:15" ht="9.75">
      <c r="A23" s="35" t="s">
        <v>1045</v>
      </c>
      <c r="B23" s="143">
        <f>ROUND(+'Apprp. Summary'!C121/1000,0)</f>
        <v>244048</v>
      </c>
      <c r="C23" s="143">
        <f>ROUND(+'Apprp. Summary'!C122/1000,0)</f>
        <v>45027</v>
      </c>
      <c r="D23" s="143">
        <f>ROUND(+'Apprp. Summary'!C123/1000,0)</f>
        <v>0</v>
      </c>
      <c r="E23" s="143">
        <f>ROUND(+'Apprp. Summary'!C124/1000,0)</f>
        <v>153795</v>
      </c>
      <c r="F23" s="143">
        <f>ROUND(+'Apprp. Summary'!C125/1000,0)</f>
        <v>29626</v>
      </c>
      <c r="G23" s="144">
        <f>ROUND(+'Apprp. Summary'!C126/1000,0)</f>
        <v>11768</v>
      </c>
      <c r="H23" s="143">
        <f>ROUND((+'Apprp. Summary'!C127+'Apprp. Summary'!F127)/1000,0)</f>
        <v>269741</v>
      </c>
      <c r="I23" s="144">
        <f>ROUND((+'Apprp. Summary'!C128+'Apprp. Summary'!G128)/1000,0)</f>
        <v>0</v>
      </c>
      <c r="J23" s="268">
        <f>('Apprp. Summary'!C131+'Apprp. Summary'!G131)/1000</f>
        <v>759227.484</v>
      </c>
      <c r="K23" s="268">
        <f>('Apprp. Summary'!D131+'Apprp. Summary'!E131)/1000</f>
        <v>106100.928</v>
      </c>
      <c r="L23" s="268">
        <f>SUM('Apprp. Summary'!H131:N131)/1000</f>
        <v>0</v>
      </c>
      <c r="M23" s="268">
        <v>187172.293</v>
      </c>
      <c r="N23" s="144">
        <f>SUM(J23:M23)</f>
        <v>1052500.705</v>
      </c>
      <c r="O23" s="188">
        <f>(J23/N23)*100</f>
        <v>72.13557961464738</v>
      </c>
    </row>
    <row r="24" spans="1:15" ht="9.75">
      <c r="A24" s="35" t="s">
        <v>1046</v>
      </c>
      <c r="B24" s="143">
        <f>ROUND(+'Apprp. Summary'!C140/1000,0)</f>
        <v>63856</v>
      </c>
      <c r="C24" s="143">
        <f>ROUND(+'Apprp. Summary'!C141/1000,0)</f>
        <v>112362</v>
      </c>
      <c r="D24" s="143">
        <f>ROUND(+'Apprp. Summary'!C142/1000,0)</f>
        <v>28144</v>
      </c>
      <c r="E24" s="143">
        <f>ROUND(+'Apprp. Summary'!C143/1000,0)</f>
        <v>0</v>
      </c>
      <c r="F24" s="143">
        <f>ROUND(+'Apprp. Summary'!C144/1000,0)</f>
        <v>31215</v>
      </c>
      <c r="G24" s="144">
        <f>ROUND(+'Apprp. Summary'!C145/1000,0)</f>
        <v>22177</v>
      </c>
      <c r="H24" s="143">
        <f>ROUND((+'Apprp. Summary'!C146+'Apprp. Summary'!G146)/1000,0)</f>
        <v>161743</v>
      </c>
      <c r="I24" s="144">
        <f>ROUND((+'Apprp. Summary'!C147+'Apprp. Summary'!G147)/1000,0)</f>
        <v>0</v>
      </c>
      <c r="J24" s="268">
        <f>('Apprp. Summary'!C150+'Apprp. Summary'!G150)/1000</f>
        <v>419497.114</v>
      </c>
      <c r="K24" s="268">
        <f>('Apprp. Summary'!D150+'Apprp. Summary'!E150)/1000</f>
        <v>117477.902</v>
      </c>
      <c r="L24" s="268">
        <f>SUM('Apprp. Summary'!H150:N150)/1000</f>
        <v>57994.755</v>
      </c>
      <c r="M24" s="268">
        <f>(35116.847+31683.288)</f>
        <v>66800.13500000001</v>
      </c>
      <c r="N24" s="144">
        <f>SUM(J24:M24)</f>
        <v>661769.9060000001</v>
      </c>
      <c r="O24" s="188">
        <f>(J24/N24)*100</f>
        <v>63.390176887251805</v>
      </c>
    </row>
    <row r="25" spans="1:15" ht="9.75">
      <c r="A25" s="35" t="s">
        <v>1047</v>
      </c>
      <c r="B25" s="143">
        <f>ROUND('Apprp. Summary'!C159/1000,0)</f>
        <v>345875</v>
      </c>
      <c r="C25" s="143">
        <f>ROUND('Apprp. Summary'!C160/1000,0)</f>
        <v>64842</v>
      </c>
      <c r="D25" s="143">
        <f>ROUND('Apprp. Summary'!C161/1000,0)</f>
        <v>340017</v>
      </c>
      <c r="E25" s="143">
        <f>ROUND('Apprp. Summary'!C162/1000,0)</f>
        <v>62145</v>
      </c>
      <c r="F25" s="143">
        <f>ROUND('Apprp. Summary'!C163/1000,0)</f>
        <v>18704</v>
      </c>
      <c r="G25" s="144">
        <f>ROUND('Apprp. Summary'!C164/1000,0)</f>
        <v>56262</v>
      </c>
      <c r="H25" s="143">
        <f>ROUND((+'Apprp. Summary'!C165+'Apprp. Summary'!G165)/1000,0)</f>
        <v>491987</v>
      </c>
      <c r="I25" s="144">
        <f>ROUND((+'Apprp. Summary'!C166+'Apprp. Summary'!G166)/1000,0)</f>
        <v>0</v>
      </c>
      <c r="J25" s="268">
        <f>('Apprp. Summary'!C169+'Apprp. Summary'!G169)/1000</f>
        <v>1390973.968</v>
      </c>
      <c r="K25" s="268">
        <f>('Apprp. Summary'!D169+'Apprp. Summary'!E169)/1000</f>
        <v>195685.431</v>
      </c>
      <c r="L25" s="268">
        <f>SUM('Apprp. Summary'!H169:N169)/1000</f>
        <v>0</v>
      </c>
      <c r="M25" s="268">
        <f>260418.542+81908.663</f>
        <v>342327.20499999996</v>
      </c>
      <c r="N25" s="144">
        <f>SUM(J25:M25)</f>
        <v>1928986.6040000003</v>
      </c>
      <c r="O25" s="188">
        <f>(J25/N25)*100</f>
        <v>72.10905275939385</v>
      </c>
    </row>
    <row r="26" spans="1:15" ht="3.75" customHeight="1">
      <c r="A26" s="35"/>
      <c r="B26" s="143"/>
      <c r="C26" s="143"/>
      <c r="D26" s="143"/>
      <c r="E26" s="143"/>
      <c r="F26" s="143"/>
      <c r="G26" s="144"/>
      <c r="H26" s="143"/>
      <c r="I26" s="144"/>
      <c r="J26" s="268"/>
      <c r="K26" s="268"/>
      <c r="L26" s="268"/>
      <c r="M26" s="268"/>
      <c r="N26" s="144"/>
      <c r="O26" s="188"/>
    </row>
    <row r="27" spans="1:15" ht="9.75">
      <c r="A27" s="35" t="s">
        <v>1048</v>
      </c>
      <c r="B27" s="143">
        <f>ROUND(+'Apprp. Summary'!C178/1000,0)</f>
        <v>189645</v>
      </c>
      <c r="C27" s="143">
        <f>ROUND(+'Apprp. Summary'!C179/1000,0)</f>
        <v>0</v>
      </c>
      <c r="D27" s="143">
        <f>ROUND(+'Apprp. Summary'!C180/1000,0)</f>
        <v>33996</v>
      </c>
      <c r="E27" s="143">
        <f>ROUND(+'Apprp. Summary'!C181/1000,0)</f>
        <v>40496</v>
      </c>
      <c r="F27" s="143">
        <f>ROUND(+'Apprp. Summary'!C182/1000,0)</f>
        <v>48585</v>
      </c>
      <c r="G27" s="144">
        <f>ROUND(+'Apprp. Summary'!C183/1000,0)</f>
        <v>18885</v>
      </c>
      <c r="H27" s="143">
        <f>ROUND((+'Apprp. Summary'!C184+'Apprp. Summary'!G184)/1000,0)</f>
        <v>137810</v>
      </c>
      <c r="I27" s="144">
        <f>ROUND(+'Apprp. Summary'!J178/1000,0)</f>
        <v>0</v>
      </c>
      <c r="J27" s="268">
        <f>('Apprp. Summary'!C188+'Apprp. Summary'!G188)/1000</f>
        <v>454896.223</v>
      </c>
      <c r="K27" s="268">
        <f>('Apprp. Summary'!D188+'Apprp. Summary'!E188)/1000</f>
        <v>81487.579</v>
      </c>
      <c r="L27" s="268">
        <f>SUM('Apprp. Summary'!H188:N188)/1000</f>
        <v>0</v>
      </c>
      <c r="M27" s="268">
        <v>89145.651</v>
      </c>
      <c r="N27" s="144">
        <f>SUM(J27:M27)</f>
        <v>625529.453</v>
      </c>
      <c r="O27" s="188">
        <f>(J27/N27)*100</f>
        <v>72.72179124713412</v>
      </c>
    </row>
    <row r="28" spans="1:15" ht="9.75">
      <c r="A28" s="35" t="s">
        <v>1049</v>
      </c>
      <c r="B28" s="143">
        <f>ROUND(+'Apprp. Summary'!C197/1000,0)</f>
        <v>115726</v>
      </c>
      <c r="C28" s="143">
        <f>ROUND(+'Apprp. Summary'!C198/1000,0)</f>
        <v>89902</v>
      </c>
      <c r="D28" s="143">
        <f>ROUND(+'Apprp. Summary'!C199/1000,0)</f>
        <v>19948</v>
      </c>
      <c r="E28" s="143">
        <f>ROUND(+'Apprp. Summary'!C200/1000,0)</f>
        <v>39395</v>
      </c>
      <c r="F28" s="143">
        <f>ROUND(+'Apprp. Summary'!C201/1000,0)</f>
        <v>34527</v>
      </c>
      <c r="G28" s="144">
        <f>ROUND(+'Apprp. Summary'!C202/1000,0)</f>
        <v>40283</v>
      </c>
      <c r="H28" s="143">
        <f>ROUND((+'Apprp. Summary'!C203+'Apprp. Summary'!G203)/1000,0)</f>
        <v>166536</v>
      </c>
      <c r="I28" s="144">
        <f>ROUND((+'Apprp. Summary'!C185+'Apprp. Summary'!G185)/1000,0)</f>
        <v>0</v>
      </c>
      <c r="J28" s="268">
        <f>('Apprp. Summary'!C207+'Apprp. Summary'!G207)/1000</f>
        <v>512417.348</v>
      </c>
      <c r="K28" s="268">
        <f>('Apprp. Summary'!D207+'Apprp. Summary'!E207)/1000</f>
        <v>98334.453</v>
      </c>
      <c r="L28" s="268">
        <f>SUM('Apprp. Summary'!H207:N207)/1000</f>
        <v>34170.958</v>
      </c>
      <c r="M28" s="268">
        <v>143670.74</v>
      </c>
      <c r="N28" s="144">
        <f>SUM(J28:M28)</f>
        <v>788593.499</v>
      </c>
      <c r="O28" s="188">
        <f>(J28/N28)*100</f>
        <v>64.97864218381034</v>
      </c>
    </row>
    <row r="29" spans="1:15" ht="9.75">
      <c r="A29" s="35" t="s">
        <v>1050</v>
      </c>
      <c r="B29" s="143">
        <f>ROUND(+'Apprp. Summary'!C216/1000,0)</f>
        <v>157789</v>
      </c>
      <c r="C29" s="143">
        <f>ROUND(+'Apprp. Summary'!C217/1000,0)</f>
        <v>97013</v>
      </c>
      <c r="D29" s="143">
        <f>ROUND(+'Apprp. Summary'!C218/1000,0)</f>
        <v>146691</v>
      </c>
      <c r="E29" s="143">
        <f>ROUND(+'Apprp. Summary'!C219/1000,0)</f>
        <v>104629</v>
      </c>
      <c r="F29" s="143">
        <f>ROUND(+'Apprp. Summary'!C220/1000,0)</f>
        <v>26172</v>
      </c>
      <c r="G29" s="144">
        <f>ROUND(+'Apprp. Summary'!C221/1000,0)</f>
        <v>0</v>
      </c>
      <c r="H29" s="143">
        <f>ROUND((+'Apprp. Summary'!C222+'Apprp. Summary'!G222)/1000,0)</f>
        <v>165768</v>
      </c>
      <c r="I29" s="144">
        <f>ROUND((+'Apprp. Summary'!C223+'Apprp. Summary'!G223)/1000,0)</f>
        <v>31476</v>
      </c>
      <c r="J29" s="268">
        <f>('Apprp. Summary'!C226+'Apprp. Summary'!G226)/1000</f>
        <v>737048.7718100001</v>
      </c>
      <c r="K29" s="268">
        <f>('Apprp. Summary'!D226+'Apprp. Summary'!E226)/1000</f>
        <v>125038.625735</v>
      </c>
      <c r="L29" s="268">
        <f>SUM('Apprp. Summary'!H226:N226)/1000</f>
        <v>46972.4</v>
      </c>
      <c r="M29" s="268">
        <v>76657.438</v>
      </c>
      <c r="N29" s="144">
        <f>SUM(J29:M29)</f>
        <v>985717.2355450001</v>
      </c>
      <c r="O29" s="188">
        <f>(J29/N29)*100</f>
        <v>74.77284004296506</v>
      </c>
    </row>
    <row r="30" spans="1:15" ht="3.75" customHeight="1">
      <c r="A30" s="35"/>
      <c r="B30" s="143"/>
      <c r="C30" s="143"/>
      <c r="D30" s="143"/>
      <c r="E30" s="143"/>
      <c r="F30" s="143"/>
      <c r="G30" s="144"/>
      <c r="H30" s="143"/>
      <c r="I30" s="144"/>
      <c r="J30" s="268"/>
      <c r="K30" s="268"/>
      <c r="L30" s="268"/>
      <c r="M30" s="268"/>
      <c r="N30" s="144"/>
      <c r="O30" s="188"/>
    </row>
    <row r="31" spans="1:15" ht="9.75">
      <c r="A31" s="35" t="s">
        <v>1051</v>
      </c>
      <c r="B31" s="143">
        <f>ROUND(+'Apprp. Summary'!C235/1000,0)</f>
        <v>928145</v>
      </c>
      <c r="C31" s="143">
        <f>ROUND(+'Apprp. Summary'!C236/1000,0)</f>
        <v>169886</v>
      </c>
      <c r="D31" s="143">
        <f>ROUND(+'Apprp. Summary'!C237/1000,0)</f>
        <v>499513</v>
      </c>
      <c r="E31" s="143">
        <f>ROUND(+'Apprp. Summary'!C238/1000,0)</f>
        <v>127242</v>
      </c>
      <c r="F31" s="143">
        <f>ROUND(+'Apprp. Summary'!C239/1000,0)</f>
        <v>28102</v>
      </c>
      <c r="G31" s="144">
        <f>ROUND(+'Apprp. Summary'!C240/1000,0)</f>
        <v>25314</v>
      </c>
      <c r="H31" s="143">
        <f>ROUND((+'Apprp. Summary'!C241+'Apprp. Summary'!G241)/1000,0)</f>
        <v>1067207</v>
      </c>
      <c r="I31" s="144">
        <f>ROUND((+'Apprp. Summary'!C242+'Apprp. Summary'!G242)/1000,0)</f>
        <v>0</v>
      </c>
      <c r="J31" s="268">
        <f>('Apprp. Summary'!C245+'Apprp. Summary'!G245)/1000</f>
        <v>2845408.462</v>
      </c>
      <c r="K31" s="268">
        <f>('Apprp. Summary'!D245+'Apprp. Summary'!E245)/1000</f>
        <v>775109.997</v>
      </c>
      <c r="L31" s="268">
        <f>SUM('Apprp. Summary'!H245:N245)/1000</f>
        <v>108308.731</v>
      </c>
      <c r="M31" s="268">
        <v>318131.041</v>
      </c>
      <c r="N31" s="144">
        <f>SUM(J31:M31)</f>
        <v>4046958.231</v>
      </c>
      <c r="O31" s="188">
        <f>(J31/N31)*100</f>
        <v>70.30980552761726</v>
      </c>
    </row>
    <row r="32" spans="1:15" ht="9.75">
      <c r="A32" s="35" t="s">
        <v>1052</v>
      </c>
      <c r="B32" s="143">
        <f>ROUND(+'Apprp. Summary'!C254/1000,0)</f>
        <v>217113</v>
      </c>
      <c r="C32" s="143">
        <f>ROUND(+'Apprp. Summary'!C255/1000,0)</f>
        <v>240818</v>
      </c>
      <c r="D32" s="143">
        <f>ROUND(+'Apprp. Summary'!C256/1000,0)</f>
        <v>65523</v>
      </c>
      <c r="E32" s="143">
        <f>ROUND(+'Apprp. Summary'!C257/1000,0)</f>
        <v>39330</v>
      </c>
      <c r="F32" s="143">
        <f>ROUND(+'Apprp. Summary'!C258/1000,0)</f>
        <v>11699</v>
      </c>
      <c r="G32" s="144">
        <f>ROUND(+'Apprp. Summary'!C259/1000,0)</f>
        <v>30347</v>
      </c>
      <c r="H32" s="143">
        <f>ROUND((+'Apprp. Summary'!C260+'Apprp. Summary'!G260)/1000,0)</f>
        <v>206526</v>
      </c>
      <c r="I32" s="144">
        <f>ROUND((+'Apprp. Summary'!C261+'Apprp. Summary'!G261)/1000,0)</f>
        <v>0</v>
      </c>
      <c r="J32" s="268">
        <f>('Apprp. Summary'!C264+'Apprp. Summary'!G264)/1000</f>
        <v>822475.103</v>
      </c>
      <c r="K32" s="268">
        <f>('Apprp. Summary'!D264+'Apprp. Summary'!E264)/1000</f>
        <v>52025.695</v>
      </c>
      <c r="L32" s="268">
        <f>SUM('Apprp. Summary'!H264:N264)/1000</f>
        <v>56290.392</v>
      </c>
      <c r="M32" s="268">
        <v>142029.642</v>
      </c>
      <c r="N32" s="144">
        <f>SUM(J32:M32)</f>
        <v>1072820.832</v>
      </c>
      <c r="O32" s="188">
        <f>(J32/N32)*100</f>
        <v>76.66472149563927</v>
      </c>
    </row>
    <row r="33" spans="1:15" ht="9.75">
      <c r="A33" s="214" t="s">
        <v>1053</v>
      </c>
      <c r="B33" s="215">
        <f>ROUND(+'Apprp. Summary'!C273/1000,0)</f>
        <v>81603</v>
      </c>
      <c r="C33" s="215">
        <f>ROUND(+'Apprp. Summary'!C274/1000,0)</f>
        <v>0</v>
      </c>
      <c r="D33" s="215">
        <f>ROUND(+'Apprp. Summary'!C275/1000,0)</f>
        <v>34100</v>
      </c>
      <c r="E33" s="215">
        <f>ROUND(+'Apprp. Summary'!C276/1000,0)</f>
        <v>0</v>
      </c>
      <c r="F33" s="215">
        <f>ROUND(+'Apprp. Summary'!C277/1000,0)</f>
        <v>0</v>
      </c>
      <c r="G33" s="216">
        <f>ROUND(+'Apprp. Summary'!C278/1000,0)</f>
        <v>76657</v>
      </c>
      <c r="H33" s="215">
        <f>ROUND((+'Apprp. Summary'!C279+'Apprp. Summary'!G279)/1000,0)</f>
        <v>20536</v>
      </c>
      <c r="I33" s="216">
        <f>ROUND((+'Apprp. Summary'!C280+'Apprp. Summary'!G280)/1000,0)</f>
        <v>0</v>
      </c>
      <c r="J33" s="270">
        <f>('Apprp. Summary'!C283+'Apprp. Summary'!G283)/1000</f>
        <v>212896.905</v>
      </c>
      <c r="K33" s="270">
        <f>('Apprp. Summary'!D283+'Apprp. Summary'!E283)/1000</f>
        <v>80464.128</v>
      </c>
      <c r="L33" s="270">
        <f>SUM('Apprp. Summary'!H283:N283)/1000</f>
        <v>28404.672</v>
      </c>
      <c r="M33" s="270">
        <v>20341.839</v>
      </c>
      <c r="N33" s="216">
        <f>SUM(J33:M33)</f>
        <v>342107.544</v>
      </c>
      <c r="O33" s="271">
        <f>(J33/N33)*100</f>
        <v>62.23098810121533</v>
      </c>
    </row>
    <row r="34" spans="1:15" ht="3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2"/>
    </row>
    <row r="35" spans="1:15" ht="7.5" customHeight="1">
      <c r="A35" s="35" t="s">
        <v>1089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2"/>
    </row>
    <row r="36" spans="1:15" ht="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2"/>
    </row>
    <row r="37" spans="1:15" ht="8.25" customHeight="1">
      <c r="A37" s="35" t="s">
        <v>1117</v>
      </c>
      <c r="B37" s="35"/>
      <c r="C37" s="35"/>
      <c r="D37" s="35"/>
      <c r="E37" s="35"/>
      <c r="F37" s="35"/>
      <c r="G37" s="35"/>
      <c r="H37" s="35"/>
      <c r="I37" s="35"/>
      <c r="J37" s="143"/>
      <c r="K37" s="35"/>
      <c r="L37" s="35"/>
      <c r="M37" s="35"/>
      <c r="N37" s="35"/>
      <c r="O37" s="35"/>
    </row>
    <row r="38" spans="1:15" ht="8.25" customHeight="1">
      <c r="A38" s="35"/>
      <c r="B38" s="35"/>
      <c r="C38" s="35"/>
      <c r="D38" s="35"/>
      <c r="E38" s="35"/>
      <c r="F38" s="35"/>
      <c r="G38" s="35"/>
      <c r="H38" s="35"/>
      <c r="I38" s="35"/>
      <c r="J38" s="143"/>
      <c r="K38" s="35"/>
      <c r="L38" s="35"/>
      <c r="M38" s="35"/>
      <c r="N38" s="35"/>
      <c r="O38" s="35"/>
    </row>
    <row r="39" spans="1:15" ht="7.5" customHeight="1">
      <c r="A39" s="218" t="s">
        <v>1118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35"/>
    </row>
    <row r="40" spans="1:15" ht="7.5" customHeight="1">
      <c r="A40" s="218" t="s">
        <v>1119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35"/>
    </row>
    <row r="41" spans="1:15" ht="7.5" customHeight="1">
      <c r="A41" s="218" t="s">
        <v>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35"/>
    </row>
    <row r="42" spans="1:15" ht="7.5" customHeight="1">
      <c r="A42" s="218" t="s">
        <v>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35"/>
    </row>
    <row r="43" spans="1:15" ht="7.5" customHeight="1">
      <c r="A43" s="218" t="s">
        <v>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35"/>
    </row>
    <row r="44" spans="1:15" ht="7.5" customHeight="1">
      <c r="A44" s="218" t="s">
        <v>3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35"/>
    </row>
    <row r="45" spans="1:15" ht="7.5" customHeight="1">
      <c r="A45" s="35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35"/>
    </row>
    <row r="46" spans="1:15" ht="9.75">
      <c r="A46" s="35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35"/>
    </row>
    <row r="47" spans="1:15" ht="9.75">
      <c r="A47" s="35"/>
      <c r="B47" s="218"/>
      <c r="C47" s="218"/>
      <c r="D47" s="218"/>
      <c r="E47" s="218"/>
      <c r="F47" s="218"/>
      <c r="G47" s="218"/>
      <c r="H47" s="35"/>
      <c r="I47" s="35"/>
      <c r="J47" s="35"/>
      <c r="K47" s="35"/>
      <c r="L47" s="35"/>
      <c r="M47" s="35"/>
      <c r="N47" s="35"/>
      <c r="O47" s="35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2" manualBreakCount="2">
    <brk id="54" max="255" man="1"/>
    <brk id="56" max="255" man="1"/>
  </rowBreaks>
  <colBreaks count="2" manualBreakCount="2">
    <brk id="15" max="65535" man="1"/>
    <brk id="1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N50"/>
  <sheetViews>
    <sheetView showGridLines="0" defaultGridColor="0" zoomScale="87" zoomScaleNormal="87" colorId="22" workbookViewId="0" topLeftCell="E3">
      <selection activeCell="M21" sqref="M21"/>
    </sheetView>
  </sheetViews>
  <sheetFormatPr defaultColWidth="9.66015625" defaultRowHeight="11.25"/>
  <cols>
    <col min="2" max="9" width="11.66015625" style="0" customWidth="1"/>
    <col min="10" max="10" width="10.66015625" style="0" customWidth="1"/>
  </cols>
  <sheetData>
    <row r="1" spans="1:10" ht="10.5" customHeight="1">
      <c r="A1" s="219" t="s">
        <v>4</v>
      </c>
      <c r="B1" s="220"/>
      <c r="C1" s="220"/>
      <c r="D1" s="116"/>
      <c r="E1" s="116"/>
      <c r="F1" s="116"/>
      <c r="G1" s="116"/>
      <c r="H1" s="116"/>
      <c r="I1" s="8"/>
      <c r="J1" s="8"/>
    </row>
    <row r="2" spans="1:10" ht="10.5" customHeight="1">
      <c r="A2" s="219"/>
      <c r="B2" s="220"/>
      <c r="C2" s="220"/>
      <c r="D2" s="116"/>
      <c r="E2" s="116"/>
      <c r="F2" s="116"/>
      <c r="G2" s="116"/>
      <c r="H2" s="116"/>
      <c r="I2" s="8"/>
      <c r="J2" s="8"/>
    </row>
    <row r="3" spans="1:10" ht="10.5" customHeight="1">
      <c r="A3" s="219" t="s">
        <v>5</v>
      </c>
      <c r="B3" s="220"/>
      <c r="C3" s="220"/>
      <c r="D3" s="116"/>
      <c r="E3" s="116"/>
      <c r="F3" s="116"/>
      <c r="G3" s="116"/>
      <c r="H3" s="116"/>
      <c r="I3" s="8"/>
      <c r="J3" s="8"/>
    </row>
    <row r="4" spans="1:10" ht="10.5" customHeight="1">
      <c r="A4" s="219" t="s">
        <v>1102</v>
      </c>
      <c r="B4" s="220"/>
      <c r="C4" s="220"/>
      <c r="D4" s="116"/>
      <c r="E4" s="116"/>
      <c r="F4" s="116"/>
      <c r="G4" s="116"/>
      <c r="H4" s="116"/>
      <c r="I4" s="8"/>
      <c r="J4" s="8"/>
    </row>
    <row r="5" spans="1:10" ht="10.5" customHeight="1">
      <c r="A5" s="273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0" ht="3.7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" customHeight="1">
      <c r="A7" s="3"/>
      <c r="B7" s="223"/>
      <c r="C7" s="223"/>
      <c r="D7" s="223"/>
      <c r="E7" s="223"/>
      <c r="F7" s="223"/>
      <c r="G7" s="274"/>
      <c r="H7" s="223"/>
      <c r="I7" s="274"/>
      <c r="J7" s="224" t="s">
        <v>1104</v>
      </c>
    </row>
    <row r="8" spans="1:10" ht="12" customHeight="1">
      <c r="A8" s="2"/>
      <c r="B8" s="275" t="s">
        <v>1028</v>
      </c>
      <c r="C8" s="275"/>
      <c r="D8" s="275"/>
      <c r="E8" s="275"/>
      <c r="F8" s="275"/>
      <c r="G8" s="276"/>
      <c r="H8" s="277" t="s">
        <v>1066</v>
      </c>
      <c r="I8" s="278"/>
      <c r="J8" s="241" t="s">
        <v>7</v>
      </c>
    </row>
    <row r="9" spans="1:10" ht="12" customHeight="1">
      <c r="A9" s="10"/>
      <c r="B9" s="279" t="s">
        <v>1030</v>
      </c>
      <c r="C9" s="279" t="s">
        <v>1031</v>
      </c>
      <c r="D9" s="279" t="s">
        <v>1032</v>
      </c>
      <c r="E9" s="279" t="s">
        <v>1033</v>
      </c>
      <c r="F9" s="279" t="s">
        <v>1034</v>
      </c>
      <c r="G9" s="280" t="s">
        <v>1035</v>
      </c>
      <c r="H9" s="279" t="s">
        <v>1036</v>
      </c>
      <c r="I9" s="280" t="s">
        <v>1037</v>
      </c>
      <c r="J9" s="279" t="s">
        <v>8</v>
      </c>
    </row>
    <row r="10" spans="1:10" ht="12" customHeight="1">
      <c r="A10" s="2" t="s">
        <v>1038</v>
      </c>
      <c r="B10" s="281">
        <f>('Table 5b'!B13/'Table 4'!B9)*1000</f>
        <v>6294.102712596224</v>
      </c>
      <c r="C10" s="281">
        <f>('Table 5b'!C13/'Table 4'!C9)*1000</f>
        <v>5091.776768065325</v>
      </c>
      <c r="D10" s="281">
        <f>('Table 5b'!D13/'Table 4'!D9)*1000</f>
        <v>4418.744429838897</v>
      </c>
      <c r="E10" s="281">
        <f>('Table 5b'!E13/'Table 4'!E9)*1000</f>
        <v>4095.246431869608</v>
      </c>
      <c r="F10" s="281">
        <f>('Table 5b'!F13/'Table 4'!F9)*1000</f>
        <v>4092.6334978362797</v>
      </c>
      <c r="G10" s="282">
        <f>('Table 5b'!G13/'Table 4'!G9)*1000</f>
        <v>4303.618711385701</v>
      </c>
      <c r="H10" s="281">
        <f>('Table 5b'!H13/'Table 4'!H9)*1000</f>
        <v>3471.541180696017</v>
      </c>
      <c r="I10" s="282">
        <f>(('Table 5b'!I13)/('Table 4'!I9)*1000)</f>
        <v>4486.129394766415</v>
      </c>
      <c r="J10" s="283">
        <f>'Table 5b'!O13</f>
        <v>72.50339932864564</v>
      </c>
    </row>
    <row r="11" spans="1:10" ht="12" customHeight="1">
      <c r="A11" s="2"/>
      <c r="B11" s="122"/>
      <c r="C11" s="122"/>
      <c r="D11" s="122"/>
      <c r="E11" s="122"/>
      <c r="F11" s="122"/>
      <c r="G11" s="228"/>
      <c r="H11" s="122"/>
      <c r="I11" s="228"/>
      <c r="J11" s="122"/>
    </row>
    <row r="12" spans="1:10" ht="12" customHeight="1">
      <c r="A12" s="2" t="s">
        <v>1039</v>
      </c>
      <c r="B12" s="122">
        <f>ROUND(+'FTE$ Calc.'!B5,0)</f>
        <v>5096</v>
      </c>
      <c r="C12" s="122">
        <f>ROUND(+'FTE$ Calc.'!B6,0)</f>
        <v>3540</v>
      </c>
      <c r="D12" s="122">
        <f>ROUND(+'FTE$ Calc.'!B7,0)</f>
        <v>4056</v>
      </c>
      <c r="E12" s="122">
        <f>ROUND(+'FTE$ Calc.'!B8,0)</f>
        <v>3128</v>
      </c>
      <c r="F12" s="122">
        <f>ROUND(+'FTE$ Calc.'!B9,0)</f>
        <v>3888</v>
      </c>
      <c r="G12" s="228">
        <f>ROUND(+'FTE$ Calc.'!B10,0)</f>
        <v>2695</v>
      </c>
      <c r="H12" s="122">
        <f>ROUND(+'FTE$ Calc.'!B11,0)</f>
        <v>2586</v>
      </c>
      <c r="I12" s="228">
        <f>ROUND(+'FTE$ Calc.'!B12,0)</f>
        <v>4604</v>
      </c>
      <c r="J12" s="283">
        <f>'Table 5b'!O15</f>
        <v>64.47960007011532</v>
      </c>
    </row>
    <row r="13" spans="1:10" ht="12" customHeight="1">
      <c r="A13" s="2" t="s">
        <v>1040</v>
      </c>
      <c r="B13" s="122">
        <f>ROUND(+'FTE$ Calc.'!B24,0)</f>
        <v>5950</v>
      </c>
      <c r="C13" s="122">
        <f>ROUND(+'FTE$ Calc.'!B25,0)</f>
        <v>0</v>
      </c>
      <c r="D13" s="122">
        <f>ROUND(+'FTE$ Calc.'!B26,0)</f>
        <v>4583</v>
      </c>
      <c r="E13" s="122">
        <f>ROUND(+'FTE$ Calc.'!B27,0)</f>
        <v>0</v>
      </c>
      <c r="F13" s="122">
        <f>ROUND(+'FTE$ Calc.'!B28,0)</f>
        <v>4057</v>
      </c>
      <c r="G13" s="228">
        <f>ROUND(+'FTE$ Calc.'!B29,0)</f>
        <v>4755</v>
      </c>
      <c r="H13" s="122">
        <f>ROUND(+'FTE$ Calc.'!B30,0)</f>
        <v>4103</v>
      </c>
      <c r="I13" s="228">
        <f>ROUND(+'FTE$ Calc.'!B31,0)</f>
        <v>0</v>
      </c>
      <c r="J13" s="283">
        <f>'Table 5b'!O16</f>
        <v>70.71402279500165</v>
      </c>
    </row>
    <row r="14" spans="1:10" ht="12" customHeight="1">
      <c r="A14" s="2" t="s">
        <v>1041</v>
      </c>
      <c r="B14" s="122">
        <f>ROUND(+'FTE$ Calc.'!B43,0)</f>
        <v>6807</v>
      </c>
      <c r="C14" s="122">
        <f>ROUND(+'FTE$ Calc.'!B44,0)</f>
        <v>5629</v>
      </c>
      <c r="D14" s="122">
        <f>ROUND(+'FTE$ Calc.'!B45,0)</f>
        <v>5976</v>
      </c>
      <c r="E14" s="122">
        <f>ROUND(+'FTE$ Calc.'!B46,0)</f>
        <v>6153</v>
      </c>
      <c r="F14" s="122">
        <f>ROUND(+'FTE$ Calc.'!B47,0)</f>
        <v>0</v>
      </c>
      <c r="G14" s="228">
        <f>ROUND(+'FTE$ Calc.'!B48,0)</f>
        <v>0</v>
      </c>
      <c r="H14" s="122">
        <f>ROUND(+'FTE$ Calc.'!B49,0)</f>
        <v>2876</v>
      </c>
      <c r="I14" s="228">
        <f>ROUND(+'FTE$ Calc.'!B50,0)</f>
        <v>0</v>
      </c>
      <c r="J14" s="283">
        <f>'Table 5b'!O17</f>
        <v>84.0456766585616</v>
      </c>
    </row>
    <row r="15" spans="1:10" ht="12" customHeight="1">
      <c r="A15" s="2"/>
      <c r="B15" s="122"/>
      <c r="C15" s="122"/>
      <c r="D15" s="122"/>
      <c r="E15" s="122"/>
      <c r="F15" s="122"/>
      <c r="G15" s="228"/>
      <c r="H15" s="122"/>
      <c r="I15" s="228"/>
      <c r="J15" s="283"/>
    </row>
    <row r="16" spans="1:10" ht="12" customHeight="1">
      <c r="A16" s="2" t="s">
        <v>1042</v>
      </c>
      <c r="B16" s="122">
        <f>ROUND(+'FTE$ Calc.'!B62,0)</f>
        <v>7732</v>
      </c>
      <c r="C16" s="122">
        <f>ROUND(+'FTE$ Calc.'!B63,0)</f>
        <v>8819</v>
      </c>
      <c r="D16" s="122">
        <f>ROUND(+'FTE$ Calc.'!B64,0)</f>
        <v>4051</v>
      </c>
      <c r="E16" s="122">
        <f>ROUND(+'FTE$ Calc.'!B65,0)</f>
        <v>4052</v>
      </c>
      <c r="F16" s="122">
        <f>ROUND(+'FTE$ Calc.'!B66,0)</f>
        <v>4105</v>
      </c>
      <c r="G16" s="228">
        <f>ROUND(+'FTE$ Calc.'!B67,0)</f>
        <v>4419</v>
      </c>
      <c r="H16" s="122">
        <f>ROUND(+'FTE$ Calc.'!B68,0)</f>
        <v>4017</v>
      </c>
      <c r="I16" s="228">
        <f>ROUND(+'FTE$ Calc.'!B69,0)</f>
        <v>4242</v>
      </c>
      <c r="J16" s="283">
        <f>'Table 5b'!O19</f>
        <v>78.2114718540774</v>
      </c>
    </row>
    <row r="17" spans="1:10" ht="12" customHeight="1">
      <c r="A17" s="2" t="s">
        <v>1043</v>
      </c>
      <c r="B17" s="122">
        <f>ROUND(+'FTE$ Calc.'!B81,0)</f>
        <v>4703</v>
      </c>
      <c r="C17" s="122">
        <f>ROUND(+'FTE$ Calc.'!B82,0)</f>
        <v>4832</v>
      </c>
      <c r="D17" s="122">
        <f>ROUND(+'FTE$ Calc.'!B83,0)</f>
        <v>4208</v>
      </c>
      <c r="E17" s="122">
        <f>ROUND(+'FTE$ Calc.'!B84,0)</f>
        <v>4121</v>
      </c>
      <c r="F17" s="122">
        <f>ROUND(+'FTE$ Calc.'!B85,0)</f>
        <v>2977</v>
      </c>
      <c r="G17" s="228">
        <f>ROUND(+'FTE$ Calc.'!B86,0)</f>
        <v>7550</v>
      </c>
      <c r="H17" s="122">
        <f>ROUND(+'FTE$ Calc.'!B87,0)</f>
        <v>2557</v>
      </c>
      <c r="I17" s="228">
        <f>ROUND(+'FTE$ Calc.'!B88,0)</f>
        <v>0</v>
      </c>
      <c r="J17" s="283">
        <f>'Table 5b'!O20</f>
        <v>54.6764738409052</v>
      </c>
    </row>
    <row r="18" spans="1:10" ht="12" customHeight="1">
      <c r="A18" s="2" t="s">
        <v>1044</v>
      </c>
      <c r="B18" s="122">
        <f>ROUND(+'FTE$ Calc.'!B100,0)</f>
        <v>4993</v>
      </c>
      <c r="C18" s="122">
        <f>ROUND(+'FTE$ Calc.'!B101,0)</f>
        <v>3269</v>
      </c>
      <c r="D18" s="122">
        <f>ROUND(+'FTE$ Calc.'!B102,0)</f>
        <v>3514</v>
      </c>
      <c r="E18" s="122">
        <f>ROUND(+'FTE$ Calc.'!B103,0)</f>
        <v>2632</v>
      </c>
      <c r="F18" s="122">
        <f>ROUND(+'FTE$ Calc.'!B104,0)</f>
        <v>2985</v>
      </c>
      <c r="G18" s="228">
        <f>ROUND(+'FTE$ Calc.'!B105,0)</f>
        <v>0</v>
      </c>
      <c r="H18" s="122">
        <f>ROUND(+'FTE$ Calc.'!B106,0)</f>
        <v>2524</v>
      </c>
      <c r="I18" s="228">
        <f>ROUND(+'FTE$ Calc.'!B107,0)</f>
        <v>4502</v>
      </c>
      <c r="J18" s="283">
        <f>'Table 5b'!O21</f>
        <v>85.81061983632064</v>
      </c>
    </row>
    <row r="19" spans="1:10" ht="12" customHeight="1">
      <c r="A19" s="2"/>
      <c r="B19" s="122"/>
      <c r="C19" s="122"/>
      <c r="D19" s="122"/>
      <c r="E19" s="122"/>
      <c r="F19" s="122"/>
      <c r="G19" s="228"/>
      <c r="H19" s="122"/>
      <c r="I19" s="228"/>
      <c r="J19" s="283"/>
    </row>
    <row r="20" spans="1:10" ht="12" customHeight="1">
      <c r="A20" s="2" t="s">
        <v>1045</v>
      </c>
      <c r="B20" s="122">
        <f>ROUND(+'FTE$ Calc.'!B119,0)</f>
        <v>9097</v>
      </c>
      <c r="C20" s="122">
        <f>ROUND(+'FTE$ Calc.'!B120,0)</f>
        <v>5531</v>
      </c>
      <c r="D20" s="122">
        <f>ROUND(+'FTE$ Calc.'!B121,0)</f>
        <v>0</v>
      </c>
      <c r="E20" s="122">
        <f>ROUND(+'FTE$ Calc.'!B122,0)</f>
        <v>4542</v>
      </c>
      <c r="F20" s="122">
        <f>ROUND(+'FTE$ Calc.'!B123,0)</f>
        <v>5199</v>
      </c>
      <c r="G20" s="228">
        <f>ROUND(+'FTE$ Calc.'!B124,0)</f>
        <v>7239</v>
      </c>
      <c r="H20" s="122">
        <f>ROUND(+'FTE$ Calc.'!B125,0)</f>
        <v>4370</v>
      </c>
      <c r="I20" s="228">
        <f>ROUND(+'FTE$ Calc.'!B126,0)</f>
        <v>0</v>
      </c>
      <c r="J20" s="283">
        <f>'Table 5b'!O23</f>
        <v>72.13557961464738</v>
      </c>
    </row>
    <row r="21" spans="1:10" ht="12" customHeight="1">
      <c r="A21" s="2" t="s">
        <v>1046</v>
      </c>
      <c r="B21" s="122">
        <f>ROUND(+'FTE$ Calc.'!B138,0)</f>
        <v>4751</v>
      </c>
      <c r="C21" s="122">
        <f>ROUND(+'FTE$ Calc.'!B139,0)</f>
        <v>4608</v>
      </c>
      <c r="D21" s="122">
        <f>ROUND(+'FTE$ Calc.'!B140,0)</f>
        <v>4756</v>
      </c>
      <c r="E21" s="122">
        <f>ROUND(+'FTE$ Calc.'!B141,0)</f>
        <v>0</v>
      </c>
      <c r="F21" s="122">
        <f>ROUND(+'FTE$ Calc.'!B142,0)</f>
        <v>4493</v>
      </c>
      <c r="G21" s="228">
        <f>ROUND(+'FTE$ Calc.'!B143,0)</f>
        <v>4616</v>
      </c>
      <c r="H21" s="122">
        <f>ROUND(+'FTE$ Calc.'!B144,0)</f>
        <v>3959</v>
      </c>
      <c r="I21" s="228">
        <f>ROUND(+'FTE$ Calc.'!B145,0)</f>
        <v>0</v>
      </c>
      <c r="J21" s="283">
        <f>'Table 5b'!O24</f>
        <v>63.390176887251805</v>
      </c>
    </row>
    <row r="22" spans="1:10" ht="12" customHeight="1">
      <c r="A22" s="2" t="s">
        <v>1047</v>
      </c>
      <c r="B22" s="122">
        <f>ROUND(+'FTE$ Calc.'!B157,0)</f>
        <v>8368</v>
      </c>
      <c r="C22" s="122">
        <f>ROUND(+'FTE$ Calc.'!B158,0)</f>
        <v>5908</v>
      </c>
      <c r="D22" s="122">
        <f>ROUND(+'FTE$ Calc.'!B159,0)</f>
        <v>5660</v>
      </c>
      <c r="E22" s="122">
        <f>ROUND(+'FTE$ Calc.'!B160,0)</f>
        <v>5080</v>
      </c>
      <c r="F22" s="122">
        <f>ROUND(+'FTE$ Calc.'!B161,0)</f>
        <v>7101</v>
      </c>
      <c r="G22" s="228">
        <f>ROUND(+'FTE$ Calc.'!B162,0)</f>
        <v>7868</v>
      </c>
      <c r="H22" s="122">
        <f>ROUND(+'FTE$ Calc.'!B163,0)</f>
        <v>4885</v>
      </c>
      <c r="I22" s="228">
        <f>ROUND(+'FTE$ Calc.'!B164,0)</f>
        <v>0</v>
      </c>
      <c r="J22" s="283">
        <f>'Table 5b'!O25</f>
        <v>72.10905275939385</v>
      </c>
    </row>
    <row r="23" spans="1:10" ht="12" customHeight="1">
      <c r="A23" s="2"/>
      <c r="B23" s="122"/>
      <c r="C23" s="122"/>
      <c r="D23" s="122"/>
      <c r="E23" s="122"/>
      <c r="F23" s="122"/>
      <c r="G23" s="228"/>
      <c r="H23" s="122"/>
      <c r="I23" s="228"/>
      <c r="J23" s="283"/>
    </row>
    <row r="24" spans="1:10" ht="12" customHeight="1">
      <c r="A24" s="2" t="s">
        <v>1048</v>
      </c>
      <c r="B24" s="122">
        <f>ROUND(+'FTE$ Calc.'!B176,0)</f>
        <v>5594</v>
      </c>
      <c r="C24" s="122">
        <f>ROUND(+'FTE$ Calc.'!B177,0)</f>
        <v>0</v>
      </c>
      <c r="D24" s="122">
        <f>ROUND(+'FTE$ Calc.'!B178,0)</f>
        <v>2977</v>
      </c>
      <c r="E24" s="122">
        <f>ROUND(+'FTE$ Calc.'!B179,0)</f>
        <v>3663</v>
      </c>
      <c r="F24" s="122">
        <f>ROUND(+'FTE$ Calc.'!B180,0)</f>
        <v>3763</v>
      </c>
      <c r="G24" s="228">
        <f>ROUND(+'FTE$ Calc.'!B181,0)</f>
        <v>3669</v>
      </c>
      <c r="H24" s="122">
        <f>ROUND(+'FTE$ Calc.'!B182,0)</f>
        <v>3213</v>
      </c>
      <c r="I24" s="228">
        <f>ROUND(+'FTE$ Calc.'!B183,0)</f>
        <v>0</v>
      </c>
      <c r="J24" s="283">
        <f>'Table 5b'!O27</f>
        <v>72.72179124713412</v>
      </c>
    </row>
    <row r="25" spans="1:10" ht="12" customHeight="1">
      <c r="A25" s="2" t="s">
        <v>1049</v>
      </c>
      <c r="B25" s="122">
        <f>ROUND(+'FTE$ Calc.'!B195,0)</f>
        <v>5542</v>
      </c>
      <c r="C25" s="122">
        <f>ROUND(+'FTE$ Calc.'!B196,0)</f>
        <v>5646</v>
      </c>
      <c r="D25" s="122">
        <f>ROUND(+'FTE$ Calc.'!B197,0)</f>
        <v>4313</v>
      </c>
      <c r="E25" s="122">
        <f>ROUND(+'FTE$ Calc.'!B198,0)</f>
        <v>3068</v>
      </c>
      <c r="F25" s="122">
        <f>ROUND(+'FTE$ Calc.'!B199,0)</f>
        <v>4261</v>
      </c>
      <c r="G25" s="228">
        <f>ROUND(+'FTE$ Calc.'!B200,0)</f>
        <v>3518</v>
      </c>
      <c r="H25" s="122">
        <f>ROUND(+'FTE$ Calc.'!B201,0)</f>
        <v>3761</v>
      </c>
      <c r="I25" s="228">
        <f>ROUND(+'FTE$ Calc.'!B202,0)</f>
        <v>0</v>
      </c>
      <c r="J25" s="283">
        <f>'Table 5b'!O28</f>
        <v>64.97864218381034</v>
      </c>
    </row>
    <row r="26" spans="1:10" ht="12" customHeight="1">
      <c r="A26" s="2" t="s">
        <v>1050</v>
      </c>
      <c r="B26" s="122">
        <f>ROUND(+'FTE$ Calc.'!B214,0)</f>
        <v>6977</v>
      </c>
      <c r="C26" s="122">
        <f>ROUND(+'FTE$ Calc.'!B215,0)</f>
        <v>5772</v>
      </c>
      <c r="D26" s="122">
        <f>ROUND(+'FTE$ Calc.'!B216,0)</f>
        <v>4437</v>
      </c>
      <c r="E26" s="122">
        <f>ROUND(+'FTE$ Calc.'!B217,0)</f>
        <v>4946</v>
      </c>
      <c r="F26" s="122">
        <f>ROUND(+'FTE$ Calc.'!B218,0)</f>
        <v>4673</v>
      </c>
      <c r="G26" s="228">
        <f>ROUND(+'FTE$ Calc.'!B219,0)</f>
        <v>0</v>
      </c>
      <c r="H26" s="122">
        <f>ROUND(+'FTE$ Calc.'!B220,0)</f>
        <v>3387</v>
      </c>
      <c r="I26" s="228">
        <f>ROUND(+'FTE$ Calc.'!B221,0)</f>
        <v>5901</v>
      </c>
      <c r="J26" s="283">
        <f>'Table 5b'!O29</f>
        <v>74.77284004296506</v>
      </c>
    </row>
    <row r="27" spans="1:10" ht="12" customHeight="1">
      <c r="A27" s="2"/>
      <c r="B27" s="122"/>
      <c r="C27" s="122"/>
      <c r="D27" s="122"/>
      <c r="E27" s="122"/>
      <c r="F27" s="122"/>
      <c r="G27" s="228"/>
      <c r="H27" s="122"/>
      <c r="I27" s="228"/>
      <c r="J27" s="283"/>
    </row>
    <row r="28" spans="1:10" ht="12" customHeight="1">
      <c r="A28" s="2" t="s">
        <v>1051</v>
      </c>
      <c r="B28" s="122">
        <f>ROUND(+'FTE$ Calc.'!B233,0)</f>
        <v>6194</v>
      </c>
      <c r="C28" s="122">
        <f>ROUND(+'FTE$ Calc.'!B234,0)</f>
        <v>5494</v>
      </c>
      <c r="D28" s="122">
        <f>ROUND(+'FTE$ Calc.'!B235,0)</f>
        <v>4260</v>
      </c>
      <c r="E28" s="122">
        <f>ROUND(+'FTE$ Calc.'!B236,0)</f>
        <v>4161</v>
      </c>
      <c r="F28" s="122">
        <f>ROUND(+'FTE$ Calc.'!B237,0)</f>
        <v>7175</v>
      </c>
      <c r="G28" s="228">
        <f>ROUND(+'FTE$ Calc.'!B238,0)</f>
        <v>3748</v>
      </c>
      <c r="H28" s="122">
        <f>ROUND(+'FTE$ Calc.'!B239,0)</f>
        <v>3592</v>
      </c>
      <c r="I28" s="228">
        <f>ROUND(+'FTE$ Calc.'!B240,0)</f>
        <v>0</v>
      </c>
      <c r="J28" s="283">
        <f>'Table 5b'!O31</f>
        <v>70.30980552761726</v>
      </c>
    </row>
    <row r="29" spans="1:10" ht="12" customHeight="1">
      <c r="A29" s="2" t="s">
        <v>1052</v>
      </c>
      <c r="B29" s="122">
        <f>ROUND(+'FTE$ Calc.'!B252,0)</f>
        <v>4793</v>
      </c>
      <c r="C29" s="122">
        <f>ROUND(+'FTE$ Calc.'!B253,0)</f>
        <v>4417</v>
      </c>
      <c r="D29" s="122">
        <f>ROUND(+'FTE$ Calc.'!B254,0)</f>
        <v>3240</v>
      </c>
      <c r="E29" s="122">
        <f>ROUND(+'FTE$ Calc.'!B255,0)</f>
        <v>3609</v>
      </c>
      <c r="F29" s="122">
        <f>ROUND(+'FTE$ Calc.'!B256,0)</f>
        <v>3545</v>
      </c>
      <c r="G29" s="228">
        <f>ROUND(+'FTE$ Calc.'!B257,0)</f>
        <v>3730</v>
      </c>
      <c r="H29" s="122">
        <f>ROUND(+'FTE$ Calc.'!B258,0)</f>
        <v>2868</v>
      </c>
      <c r="I29" s="228">
        <f>ROUND(+'FTE$ Calc.'!B259,0)</f>
        <v>0</v>
      </c>
      <c r="J29" s="283">
        <f>'Table 5b'!O32</f>
        <v>76.66472149563927</v>
      </c>
    </row>
    <row r="30" spans="1:10" ht="12" customHeight="1">
      <c r="A30" s="10" t="s">
        <v>1053</v>
      </c>
      <c r="B30" s="11">
        <f>ROUND(+'FTE$ Calc.'!B271,0)</f>
        <v>4349</v>
      </c>
      <c r="C30" s="11">
        <f>ROUND(+'FTE$ Calc.'!B272,0)</f>
        <v>0</v>
      </c>
      <c r="D30" s="11">
        <f>ROUND(+'FTE$ Calc.'!B273,0)</f>
        <v>3457</v>
      </c>
      <c r="E30" s="11">
        <f>ROUND(+'FTE$ Calc.'!B274,0)</f>
        <v>0</v>
      </c>
      <c r="F30" s="11">
        <f>ROUND(+'FTE$ Calc.'!B275,0)</f>
        <v>0</v>
      </c>
      <c r="G30" s="229">
        <f>ROUND(+'FTE$ Calc.'!B276,0)</f>
        <v>3476</v>
      </c>
      <c r="H30" s="11">
        <f>ROUND(+'FTE$ Calc.'!B277,0)</f>
        <v>2940</v>
      </c>
      <c r="I30" s="229">
        <f>ROUND(+'FTE$ Calc.'!B278,0)</f>
        <v>0</v>
      </c>
      <c r="J30" s="284">
        <f>'Table 5b'!O33</f>
        <v>62.23098810121533</v>
      </c>
    </row>
    <row r="31" spans="1:10" ht="3.75" customHeight="1">
      <c r="A31" s="2"/>
      <c r="B31" s="122"/>
      <c r="C31" s="122"/>
      <c r="D31" s="122"/>
      <c r="E31" s="122"/>
      <c r="F31" s="122"/>
      <c r="G31" s="122"/>
      <c r="H31" s="122"/>
      <c r="I31" s="122"/>
      <c r="J31" s="2"/>
    </row>
    <row r="32" spans="1:10" ht="7.5" customHeight="1">
      <c r="A32" s="230" t="s">
        <v>9</v>
      </c>
      <c r="B32" s="285"/>
      <c r="C32" s="285"/>
      <c r="D32" s="285"/>
      <c r="E32" s="285"/>
      <c r="F32" s="285"/>
      <c r="G32" s="285"/>
      <c r="H32" s="285"/>
      <c r="I32" s="285"/>
      <c r="J32" s="2"/>
    </row>
    <row r="33" spans="1:14" ht="7.5" customHeight="1">
      <c r="A33" s="230" t="s">
        <v>10</v>
      </c>
      <c r="B33" s="114"/>
      <c r="C33" s="114"/>
      <c r="D33" s="114"/>
      <c r="E33" s="114"/>
      <c r="F33" s="114"/>
      <c r="G33" s="114"/>
      <c r="H33" s="114"/>
      <c r="I33" s="114"/>
      <c r="J33" s="2"/>
      <c r="K33" s="2"/>
      <c r="L33" s="2"/>
      <c r="M33" s="2"/>
      <c r="N33" s="2"/>
    </row>
    <row r="34" spans="1:14" ht="7.5" customHeight="1">
      <c r="A34" s="230" t="s">
        <v>11</v>
      </c>
      <c r="B34" s="114"/>
      <c r="C34" s="114"/>
      <c r="D34" s="114"/>
      <c r="E34" s="114"/>
      <c r="F34" s="114"/>
      <c r="G34" s="114"/>
      <c r="H34" s="114"/>
      <c r="I34" s="114"/>
      <c r="J34" s="2"/>
      <c r="K34" s="2"/>
      <c r="L34" s="2"/>
      <c r="M34" s="2"/>
      <c r="N34" s="2"/>
    </row>
    <row r="35" spans="1:14" ht="7.5" customHeight="1">
      <c r="A35" s="230" t="s">
        <v>12</v>
      </c>
      <c r="B35" s="114"/>
      <c r="C35" s="114"/>
      <c r="D35" s="114"/>
      <c r="E35" s="114"/>
      <c r="F35" s="114"/>
      <c r="G35" s="114"/>
      <c r="H35" s="114"/>
      <c r="I35" s="114"/>
      <c r="J35" s="2"/>
      <c r="K35" s="2"/>
      <c r="L35" s="2"/>
      <c r="M35" s="2"/>
      <c r="N35" s="2"/>
    </row>
    <row r="36" spans="1:14" ht="7.5" customHeight="1">
      <c r="A36" s="230" t="s">
        <v>13</v>
      </c>
      <c r="B36" s="114"/>
      <c r="C36" s="114"/>
      <c r="D36" s="114"/>
      <c r="E36" s="114"/>
      <c r="F36" s="114"/>
      <c r="G36" s="114"/>
      <c r="H36" s="114"/>
      <c r="I36" s="114"/>
      <c r="J36" s="2"/>
      <c r="K36" s="2"/>
      <c r="L36" s="2"/>
      <c r="M36" s="2"/>
      <c r="N36" s="2"/>
    </row>
    <row r="37" spans="1:14" ht="7.5" customHeight="1">
      <c r="A37" s="230" t="s">
        <v>14</v>
      </c>
      <c r="B37" s="114"/>
      <c r="C37" s="114"/>
      <c r="D37" s="114"/>
      <c r="E37" s="114"/>
      <c r="F37" s="114"/>
      <c r="G37" s="114"/>
      <c r="H37" s="114"/>
      <c r="I37" s="114"/>
      <c r="J37" s="2"/>
      <c r="K37" s="2"/>
      <c r="L37" s="2"/>
      <c r="M37" s="2"/>
      <c r="N37" s="2"/>
    </row>
    <row r="38" spans="1:14" ht="7.5" customHeight="1">
      <c r="A38" s="230" t="s">
        <v>15</v>
      </c>
      <c r="B38" s="114"/>
      <c r="C38" s="114"/>
      <c r="D38" s="114"/>
      <c r="E38" s="114"/>
      <c r="F38" s="114"/>
      <c r="G38" s="114"/>
      <c r="H38" s="114"/>
      <c r="I38" s="114"/>
      <c r="J38" s="2"/>
      <c r="K38" s="2"/>
      <c r="L38" s="2"/>
      <c r="M38" s="2"/>
      <c r="N38" s="2"/>
    </row>
    <row r="39" spans="1:14" ht="7.5" customHeight="1">
      <c r="A39" s="230" t="s">
        <v>16</v>
      </c>
      <c r="B39" s="2"/>
      <c r="C39" s="114"/>
      <c r="D39" s="114"/>
      <c r="E39" s="114"/>
      <c r="F39" s="114"/>
      <c r="G39" s="114"/>
      <c r="H39" s="114"/>
      <c r="I39" s="114"/>
      <c r="J39" s="2"/>
      <c r="K39" s="2"/>
      <c r="L39" s="2"/>
      <c r="M39" s="2"/>
      <c r="N39" s="2"/>
    </row>
    <row r="40" spans="1:14" ht="7.5" customHeight="1">
      <c r="A40" s="230" t="s">
        <v>17</v>
      </c>
      <c r="B40" s="2"/>
      <c r="C40" s="114"/>
      <c r="D40" s="114"/>
      <c r="E40" s="114"/>
      <c r="F40" s="114"/>
      <c r="G40" s="114"/>
      <c r="H40" s="114"/>
      <c r="I40" s="114"/>
      <c r="J40" s="2"/>
      <c r="K40" s="2"/>
      <c r="L40" s="2"/>
      <c r="M40" s="2"/>
      <c r="N40" s="2"/>
    </row>
    <row r="41" spans="1:14" ht="7.5" customHeight="1">
      <c r="A41" s="230" t="s">
        <v>3</v>
      </c>
      <c r="B41" s="2"/>
      <c r="C41" s="114"/>
      <c r="D41" s="114"/>
      <c r="E41" s="114"/>
      <c r="F41" s="114"/>
      <c r="G41" s="114"/>
      <c r="H41" s="114"/>
      <c r="I41" s="114"/>
      <c r="J41" s="2"/>
      <c r="K41" s="2"/>
      <c r="L41" s="2"/>
      <c r="M41" s="2"/>
      <c r="N41" s="2"/>
    </row>
    <row r="42" spans="1:14" ht="7.5" customHeight="1">
      <c r="A42" s="58"/>
      <c r="B42" s="2"/>
      <c r="C42" s="8"/>
      <c r="D42" s="114"/>
      <c r="E42" s="114"/>
      <c r="F42" s="114"/>
      <c r="G42" s="114"/>
      <c r="H42" s="8"/>
      <c r="I42" s="8"/>
      <c r="J42" s="2"/>
      <c r="K42" s="2"/>
      <c r="L42" s="2"/>
      <c r="M42" s="2"/>
      <c r="N42" s="2"/>
    </row>
    <row r="43" spans="1:14" ht="12.75">
      <c r="A43" s="2"/>
      <c r="B43" s="114"/>
      <c r="C43" s="8"/>
      <c r="D43" s="114"/>
      <c r="E43" s="114"/>
      <c r="F43" s="114"/>
      <c r="G43" s="114"/>
      <c r="H43" s="8"/>
      <c r="I43" s="8"/>
      <c r="J43" s="2"/>
      <c r="K43" s="2"/>
      <c r="L43" s="2"/>
      <c r="M43" s="2"/>
      <c r="N43" s="2"/>
    </row>
    <row r="44" spans="1:14" ht="12.75">
      <c r="A44" s="2"/>
      <c r="B44" s="2"/>
      <c r="C44" s="8"/>
      <c r="D44" s="8"/>
      <c r="E44" s="8"/>
      <c r="F44" s="8"/>
      <c r="G44" s="8"/>
      <c r="H44" s="8"/>
      <c r="I44" s="8"/>
      <c r="J44" s="2"/>
      <c r="K44" s="2"/>
      <c r="L44" s="2"/>
      <c r="M44" s="2"/>
      <c r="N44" s="2"/>
    </row>
    <row r="45" spans="1:14" ht="12.75">
      <c r="A45" s="2"/>
      <c r="B45" s="2"/>
      <c r="C45" s="8"/>
      <c r="D45" s="8"/>
      <c r="E45" s="8"/>
      <c r="F45" s="8"/>
      <c r="G45" s="8"/>
      <c r="H45" s="8"/>
      <c r="I45" s="8"/>
      <c r="J45" s="2"/>
      <c r="K45" s="2"/>
      <c r="L45" s="2"/>
      <c r="M45" s="2"/>
      <c r="N45" s="2"/>
    </row>
    <row r="47" spans="1:14" ht="12.75">
      <c r="A47" s="2"/>
      <c r="B47" s="2"/>
      <c r="C47" s="2"/>
      <c r="D47" s="2"/>
      <c r="E47" s="2"/>
      <c r="F47" s="8"/>
      <c r="G47" s="2"/>
      <c r="H47" s="8"/>
      <c r="I47" s="8"/>
      <c r="J47" s="8"/>
      <c r="K47" s="8"/>
      <c r="L47" s="8"/>
      <c r="M47" s="8"/>
      <c r="N47" s="8"/>
    </row>
    <row r="48" spans="1:14" ht="12.75">
      <c r="A48" s="2"/>
      <c r="B48" s="2"/>
      <c r="C48" s="2"/>
      <c r="D48" s="2"/>
      <c r="E48" s="2"/>
      <c r="F48" s="2"/>
      <c r="G48" s="2"/>
      <c r="H48" s="8"/>
      <c r="I48" s="8"/>
      <c r="J48" s="8"/>
      <c r="K48" s="8"/>
      <c r="L48" s="8"/>
      <c r="M48" s="8"/>
      <c r="N48" s="8"/>
    </row>
    <row r="49" spans="1:14" ht="12.75">
      <c r="A49" s="2"/>
      <c r="B49" s="2"/>
      <c r="C49" s="2"/>
      <c r="D49" s="2"/>
      <c r="E49" s="2"/>
      <c r="F49" s="2"/>
      <c r="G49" s="2"/>
      <c r="H49" s="8"/>
      <c r="I49" s="8"/>
      <c r="J49" s="8"/>
      <c r="K49" s="8"/>
      <c r="L49" s="8"/>
      <c r="M49" s="8"/>
      <c r="N49" s="8"/>
    </row>
    <row r="50" spans="1:14" ht="12.75">
      <c r="A50" s="2"/>
      <c r="B50" s="2"/>
      <c r="C50" s="2"/>
      <c r="D50" s="2"/>
      <c r="E50" s="2"/>
      <c r="F50" s="2"/>
      <c r="G50" s="2"/>
      <c r="H50" s="8"/>
      <c r="I50" s="8"/>
      <c r="J50" s="8"/>
      <c r="K50" s="8"/>
      <c r="L50" s="8"/>
      <c r="M50" s="8"/>
      <c r="N50" s="8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2" manualBreakCount="2">
    <brk id="47" max="255" man="1"/>
    <brk id="56" max="255" man="1"/>
  </rowBreaks>
  <colBreaks count="2" manualBreakCount="2">
    <brk id="16" max="65535" man="1"/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D14"/>
  <sheetViews>
    <sheetView showGridLines="0" defaultGridColor="0" zoomScale="87" zoomScaleNormal="87" colorId="22" workbookViewId="0" topLeftCell="E3">
      <selection activeCell="M21" sqref="M21"/>
    </sheetView>
  </sheetViews>
  <sheetFormatPr defaultColWidth="9.66015625" defaultRowHeight="11.25"/>
  <cols>
    <col min="1" max="1" width="3.66015625" style="0" customWidth="1"/>
    <col min="3" max="3" width="2.66015625" style="0" customWidth="1"/>
    <col min="4" max="4" width="71.66015625" style="0" customWidth="1"/>
  </cols>
  <sheetData>
    <row r="2" spans="1:4" ht="12.75">
      <c r="A2" s="2"/>
      <c r="B2" s="205" t="s">
        <v>18</v>
      </c>
      <c r="C2" s="2"/>
      <c r="D2" s="286"/>
    </row>
    <row r="3" spans="1:4" ht="24">
      <c r="A3" s="2"/>
      <c r="B3" s="86"/>
      <c r="C3" s="2"/>
      <c r="D3" s="287" t="s">
        <v>19</v>
      </c>
    </row>
    <row r="4" spans="1:4" ht="24">
      <c r="A4" s="205" t="s">
        <v>1030</v>
      </c>
      <c r="B4" s="288">
        <f>'Table 6'!B10/1000</f>
        <v>6.2941027125962234</v>
      </c>
      <c r="C4" s="2"/>
      <c r="D4" s="287" t="s">
        <v>998</v>
      </c>
    </row>
    <row r="5" spans="1:4" ht="12.75">
      <c r="A5" s="205" t="s">
        <v>1031</v>
      </c>
      <c r="B5" s="288">
        <f>'Table 6'!C10/1000</f>
        <v>5.091776768065325</v>
      </c>
      <c r="C5" s="2"/>
      <c r="D5" s="289"/>
    </row>
    <row r="6" spans="1:4" ht="12.75">
      <c r="A6" s="205" t="s">
        <v>1032</v>
      </c>
      <c r="B6" s="288">
        <f>'Table 6'!D10/1000</f>
        <v>4.418744429838897</v>
      </c>
      <c r="C6" s="2"/>
      <c r="D6" s="2"/>
    </row>
    <row r="7" spans="1:4" ht="15">
      <c r="A7" s="205" t="s">
        <v>1033</v>
      </c>
      <c r="B7" s="288">
        <f>'Table 6'!E10/1000</f>
        <v>4.095246431869608</v>
      </c>
      <c r="C7" s="2"/>
      <c r="D7" s="290" t="s">
        <v>5</v>
      </c>
    </row>
    <row r="8" spans="1:4" ht="15">
      <c r="A8" s="205" t="s">
        <v>1034</v>
      </c>
      <c r="B8" s="288">
        <f>'Table 6'!F10/1000</f>
        <v>4.09263349783628</v>
      </c>
      <c r="C8" s="2"/>
      <c r="D8" s="290" t="s">
        <v>1102</v>
      </c>
    </row>
    <row r="9" spans="1:4" ht="15">
      <c r="A9" s="205" t="s">
        <v>1035</v>
      </c>
      <c r="B9" s="288">
        <f>'Table 6'!G10/1000</f>
        <v>4.303618711385702</v>
      </c>
      <c r="C9" s="2"/>
      <c r="D9" s="290" t="s">
        <v>20</v>
      </c>
    </row>
    <row r="10" spans="1:4" ht="12.75">
      <c r="A10" s="205"/>
      <c r="B10" s="288"/>
      <c r="C10" s="2"/>
      <c r="D10" s="2"/>
    </row>
    <row r="11" spans="1:4" ht="12.75">
      <c r="A11" s="205" t="s">
        <v>1036</v>
      </c>
      <c r="B11" s="288">
        <f>'Table 6'!H10/1000</f>
        <v>3.471541180696017</v>
      </c>
      <c r="C11" s="2"/>
      <c r="D11" s="2"/>
    </row>
    <row r="12" spans="1:4" ht="12.75">
      <c r="A12" s="205" t="s">
        <v>1037</v>
      </c>
      <c r="B12" s="288">
        <f>'Table 6'!I10/1000</f>
        <v>4.486129394766415</v>
      </c>
      <c r="C12" s="2"/>
      <c r="D12" s="2"/>
    </row>
    <row r="13" spans="1:4" ht="12.75">
      <c r="A13" s="2"/>
      <c r="B13" s="86"/>
      <c r="C13" s="2"/>
      <c r="D13" s="2"/>
    </row>
    <row r="14" spans="1:4" ht="12.75">
      <c r="A14" s="2" t="s">
        <v>21</v>
      </c>
      <c r="B14" s="86">
        <f>(('Table 5b'!J13*1000)/'Table 4'!J9)</f>
        <v>4506.386442994542</v>
      </c>
      <c r="C14" s="2"/>
      <c r="D14" s="2"/>
    </row>
  </sheetData>
  <printOptions/>
  <pageMargins left="0.25" right="0.25" top="0.75" bottom="0.5" header="0.5" footer="0.5"/>
  <pageSetup horizontalDpi="600" verticalDpi="600" orientation="landscape" r:id="rId2"/>
  <headerFooter alignWithMargins="0">
    <oddHeader>&amp;C&amp;RSREB-State Data Exchange</oddHeader>
    <oddFooter>&amp;C&amp;RAugust 1998</oddFooter>
  </headerFooter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E23"/>
  <sheetViews>
    <sheetView showGridLines="0" defaultGridColor="0" zoomScale="87" zoomScaleNormal="87" colorId="22" workbookViewId="0" topLeftCell="E3">
      <selection activeCell="M21" sqref="M21"/>
    </sheetView>
  </sheetViews>
  <sheetFormatPr defaultColWidth="9.66015625" defaultRowHeight="11.25"/>
  <sheetData>
    <row r="1" spans="1:5" ht="12.75">
      <c r="A1" s="2" t="s">
        <v>22</v>
      </c>
      <c r="B1" s="2"/>
      <c r="C1" s="2"/>
      <c r="D1" s="2" t="s">
        <v>23</v>
      </c>
      <c r="E1" s="2"/>
    </row>
    <row r="2" spans="1:5" ht="12.75">
      <c r="A2" s="2" t="s">
        <v>24</v>
      </c>
      <c r="B2" s="2"/>
      <c r="C2" s="2"/>
      <c r="D2" s="2" t="s">
        <v>25</v>
      </c>
      <c r="E2" s="8" t="s">
        <v>26</v>
      </c>
    </row>
    <row r="3" spans="1:5" ht="12.75">
      <c r="A3" s="2" t="s">
        <v>27</v>
      </c>
      <c r="B3" s="2" t="s">
        <v>28</v>
      </c>
      <c r="C3" s="2"/>
      <c r="D3" s="2"/>
      <c r="E3" s="8" t="s">
        <v>29</v>
      </c>
    </row>
    <row r="4" spans="1:5" ht="12.75">
      <c r="A4" s="2"/>
      <c r="B4" s="2" t="s">
        <v>30</v>
      </c>
      <c r="C4" s="2"/>
      <c r="D4" s="2"/>
      <c r="E4" s="8" t="s">
        <v>31</v>
      </c>
    </row>
    <row r="5" spans="1:5" ht="12.75">
      <c r="A5" s="2"/>
      <c r="B5" s="2" t="s">
        <v>32</v>
      </c>
      <c r="C5" s="2"/>
      <c r="D5" s="2"/>
      <c r="E5" s="8" t="s">
        <v>33</v>
      </c>
    </row>
    <row r="6" spans="1:5" ht="12.75">
      <c r="A6" s="2"/>
      <c r="B6" s="2" t="s">
        <v>34</v>
      </c>
      <c r="C6" s="2"/>
      <c r="D6" s="2"/>
      <c r="E6" s="8" t="s">
        <v>35</v>
      </c>
    </row>
    <row r="7" spans="1:5" ht="12.75">
      <c r="A7" s="2"/>
      <c r="B7" s="2" t="s">
        <v>36</v>
      </c>
      <c r="C7" s="2"/>
      <c r="D7" s="2"/>
      <c r="E7" s="8" t="s">
        <v>37</v>
      </c>
    </row>
    <row r="8" spans="1:5" ht="12.75">
      <c r="A8" s="2"/>
      <c r="B8" s="2" t="s">
        <v>38</v>
      </c>
      <c r="C8" s="2"/>
      <c r="D8" s="2"/>
      <c r="E8" s="8" t="s">
        <v>39</v>
      </c>
    </row>
    <row r="9" spans="1:5" ht="12.75">
      <c r="A9" s="2"/>
      <c r="B9" s="2" t="s">
        <v>40</v>
      </c>
      <c r="C9" s="2"/>
      <c r="D9" s="2"/>
      <c r="E9" s="8" t="s">
        <v>41</v>
      </c>
    </row>
    <row r="12" spans="1:5" ht="12.75">
      <c r="A12" s="2"/>
      <c r="B12" s="2"/>
      <c r="C12" s="2"/>
      <c r="D12" s="2" t="s">
        <v>42</v>
      </c>
      <c r="E12" s="2"/>
    </row>
    <row r="14" spans="1:5" ht="12.75">
      <c r="A14" s="2"/>
      <c r="B14" s="2"/>
      <c r="C14" s="2"/>
      <c r="D14" s="2" t="s">
        <v>43</v>
      </c>
      <c r="E14" s="2" t="s">
        <v>44</v>
      </c>
    </row>
    <row r="15" spans="1:5" ht="12.75">
      <c r="A15" s="2"/>
      <c r="B15" s="2"/>
      <c r="C15" s="2"/>
      <c r="D15" s="2"/>
      <c r="E15" s="2" t="s">
        <v>44</v>
      </c>
    </row>
    <row r="16" spans="1:5" ht="12.75">
      <c r="A16" s="2"/>
      <c r="B16" s="2"/>
      <c r="C16" s="2"/>
      <c r="D16" s="2"/>
      <c r="E16" s="2" t="s">
        <v>44</v>
      </c>
    </row>
    <row r="17" spans="1:5" ht="12.75">
      <c r="A17" s="2"/>
      <c r="B17" s="2"/>
      <c r="C17" s="2"/>
      <c r="D17" s="2"/>
      <c r="E17" s="2" t="s">
        <v>44</v>
      </c>
    </row>
    <row r="18" spans="1:5" ht="12.75">
      <c r="A18" s="2"/>
      <c r="B18" s="2"/>
      <c r="C18" s="2"/>
      <c r="D18" s="2"/>
      <c r="E18" s="2" t="s">
        <v>44</v>
      </c>
    </row>
    <row r="19" spans="1:5" ht="12.75">
      <c r="A19" s="2"/>
      <c r="B19" s="2"/>
      <c r="C19" s="2"/>
      <c r="D19" s="2"/>
      <c r="E19" s="2" t="s">
        <v>44</v>
      </c>
    </row>
    <row r="20" spans="1:5" ht="12.75">
      <c r="A20" s="2"/>
      <c r="B20" s="2"/>
      <c r="C20" s="2"/>
      <c r="D20" s="2"/>
      <c r="E20" s="2" t="s">
        <v>44</v>
      </c>
    </row>
    <row r="21" spans="1:5" ht="12.75">
      <c r="A21" s="2"/>
      <c r="B21" s="2"/>
      <c r="C21" s="2"/>
      <c r="D21" s="2"/>
      <c r="E21" s="2" t="s">
        <v>44</v>
      </c>
    </row>
    <row r="22" spans="1:5" ht="12.75">
      <c r="A22" s="2"/>
      <c r="B22" s="2"/>
      <c r="C22" s="2"/>
      <c r="D22" s="2"/>
      <c r="E22" s="2" t="s">
        <v>44</v>
      </c>
    </row>
    <row r="23" spans="1:5" ht="12.75">
      <c r="A23" s="2"/>
      <c r="B23" s="2"/>
      <c r="C23" s="2"/>
      <c r="D23" s="2"/>
      <c r="E23" s="2" t="s">
        <v>44</v>
      </c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1" manualBreakCount="1">
    <brk id="40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32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cols>
    <col min="1" max="1" width="4.66015625" style="0" customWidth="1"/>
    <col min="2" max="2" width="37.66015625" style="0" customWidth="1"/>
    <col min="3" max="3" width="6.66015625" style="0" customWidth="1"/>
    <col min="4" max="4" width="3.66015625" style="0" customWidth="1"/>
    <col min="7" max="7" width="12.66015625" style="0" customWidth="1"/>
    <col min="9" max="9" width="8.66015625" style="0" customWidth="1"/>
    <col min="12" max="12" width="5.66015625" style="0" customWidth="1"/>
    <col min="13" max="14" width="8.66015625" style="0" customWidth="1"/>
    <col min="15" max="15" width="4.66015625" style="0" customWidth="1"/>
    <col min="16" max="17" width="8.66015625" style="0" customWidth="1"/>
  </cols>
  <sheetData>
    <row r="1" spans="1:17" ht="11.25">
      <c r="A1" s="124" t="s">
        <v>924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ht="9" customHeight="1">
      <c r="A3" s="125"/>
      <c r="B3" s="125"/>
      <c r="C3" s="125"/>
      <c r="D3" s="125"/>
      <c r="E3" s="126" t="s">
        <v>925</v>
      </c>
      <c r="F3" s="127"/>
      <c r="G3" s="126" t="s">
        <v>926</v>
      </c>
      <c r="H3" s="127"/>
      <c r="I3" s="128"/>
      <c r="J3" s="127"/>
      <c r="K3" s="128"/>
      <c r="L3" s="129"/>
      <c r="M3" s="129"/>
      <c r="N3" s="129"/>
      <c r="O3" s="129"/>
      <c r="P3" s="129"/>
      <c r="Q3" s="127"/>
    </row>
    <row r="4" spans="1:17" ht="9" customHeight="1">
      <c r="A4" s="124"/>
      <c r="B4" s="124"/>
      <c r="C4" s="124"/>
      <c r="D4" s="124"/>
      <c r="E4" s="130" t="s">
        <v>927</v>
      </c>
      <c r="F4" s="131"/>
      <c r="G4" s="130" t="s">
        <v>927</v>
      </c>
      <c r="H4" s="131"/>
      <c r="I4" s="132" t="s">
        <v>928</v>
      </c>
      <c r="J4" s="133"/>
      <c r="K4" s="134" t="s">
        <v>929</v>
      </c>
      <c r="L4" s="134"/>
      <c r="M4" s="134"/>
      <c r="N4" s="134"/>
      <c r="O4" s="134"/>
      <c r="P4" s="134"/>
      <c r="Q4" s="131"/>
    </row>
    <row r="5" spans="1:17" ht="9" customHeight="1">
      <c r="A5" s="124"/>
      <c r="B5" s="124"/>
      <c r="C5" s="124"/>
      <c r="D5" s="124"/>
      <c r="E5" s="135"/>
      <c r="F5" s="133" t="s">
        <v>930</v>
      </c>
      <c r="G5" s="136"/>
      <c r="H5" s="133" t="s">
        <v>930</v>
      </c>
      <c r="I5" s="132" t="s">
        <v>931</v>
      </c>
      <c r="J5" s="133"/>
      <c r="K5" s="132" t="s">
        <v>932</v>
      </c>
      <c r="L5" s="137"/>
      <c r="M5" s="132"/>
      <c r="N5" s="137"/>
      <c r="O5" s="132"/>
      <c r="P5" s="132"/>
      <c r="Q5" s="138"/>
    </row>
    <row r="6" spans="1:17" ht="9" customHeight="1">
      <c r="A6" s="124"/>
      <c r="B6" s="124"/>
      <c r="C6" s="124"/>
      <c r="D6" s="124"/>
      <c r="E6" s="135"/>
      <c r="F6" s="133" t="s">
        <v>933</v>
      </c>
      <c r="G6" s="136"/>
      <c r="H6" s="133" t="s">
        <v>933</v>
      </c>
      <c r="I6" s="132" t="s">
        <v>934</v>
      </c>
      <c r="J6" s="133"/>
      <c r="K6" s="132" t="s">
        <v>935</v>
      </c>
      <c r="L6" s="132" t="s">
        <v>936</v>
      </c>
      <c r="M6" s="132" t="s">
        <v>937</v>
      </c>
      <c r="N6" s="132" t="s">
        <v>937</v>
      </c>
      <c r="O6" s="132" t="s">
        <v>938</v>
      </c>
      <c r="P6" s="137"/>
      <c r="Q6" s="138"/>
    </row>
    <row r="7" spans="1:17" ht="9" customHeight="1">
      <c r="A7" s="124"/>
      <c r="B7" s="124"/>
      <c r="C7" s="124"/>
      <c r="D7" s="124"/>
      <c r="E7" s="135" t="s">
        <v>939</v>
      </c>
      <c r="F7" s="133" t="s">
        <v>940</v>
      </c>
      <c r="G7" s="135" t="s">
        <v>939</v>
      </c>
      <c r="H7" s="133" t="s">
        <v>940</v>
      </c>
      <c r="I7" s="132" t="s">
        <v>941</v>
      </c>
      <c r="J7" s="133"/>
      <c r="K7" s="132" t="s">
        <v>942</v>
      </c>
      <c r="L7" s="132" t="s">
        <v>943</v>
      </c>
      <c r="M7" s="132" t="s">
        <v>944</v>
      </c>
      <c r="N7" s="132" t="s">
        <v>945</v>
      </c>
      <c r="O7" s="132" t="s">
        <v>945</v>
      </c>
      <c r="P7" s="132" t="s">
        <v>946</v>
      </c>
      <c r="Q7" s="138"/>
    </row>
    <row r="8" spans="1:17" ht="9" customHeight="1">
      <c r="A8" s="139" t="s">
        <v>51</v>
      </c>
      <c r="B8" s="139" t="s">
        <v>53</v>
      </c>
      <c r="C8" s="140" t="s">
        <v>54</v>
      </c>
      <c r="D8" s="140" t="s">
        <v>55</v>
      </c>
      <c r="E8" s="130" t="s">
        <v>947</v>
      </c>
      <c r="F8" s="131" t="s">
        <v>948</v>
      </c>
      <c r="G8" s="130" t="s">
        <v>947</v>
      </c>
      <c r="H8" s="131" t="s">
        <v>948</v>
      </c>
      <c r="I8" s="141" t="s">
        <v>949</v>
      </c>
      <c r="J8" s="142" t="s">
        <v>950</v>
      </c>
      <c r="K8" s="134" t="s">
        <v>951</v>
      </c>
      <c r="L8" s="134" t="s">
        <v>941</v>
      </c>
      <c r="M8" s="134" t="s">
        <v>952</v>
      </c>
      <c r="N8" s="134" t="s">
        <v>953</v>
      </c>
      <c r="O8" s="134" t="s">
        <v>953</v>
      </c>
      <c r="P8" s="134" t="s">
        <v>951</v>
      </c>
      <c r="Q8" s="131" t="s">
        <v>950</v>
      </c>
    </row>
    <row r="9" spans="1:17" ht="9" customHeight="1">
      <c r="A9" s="124" t="s">
        <v>61</v>
      </c>
      <c r="B9" s="35" t="s">
        <v>63</v>
      </c>
      <c r="C9" s="143">
        <v>100858</v>
      </c>
      <c r="D9" s="144">
        <v>1</v>
      </c>
      <c r="E9" s="145">
        <v>97422983</v>
      </c>
      <c r="F9" s="146">
        <v>99184202</v>
      </c>
      <c r="G9" s="147"/>
      <c r="H9" s="145"/>
      <c r="I9" s="147">
        <v>14936343</v>
      </c>
      <c r="J9" s="146"/>
      <c r="K9" s="147"/>
      <c r="L9" s="145"/>
      <c r="M9" s="145"/>
      <c r="N9" s="145">
        <v>43407244</v>
      </c>
      <c r="O9" s="145"/>
      <c r="P9" s="145"/>
      <c r="Q9" s="146"/>
    </row>
    <row r="10" spans="1:17" ht="9" customHeight="1">
      <c r="A10" s="124" t="s">
        <v>61</v>
      </c>
      <c r="B10" s="35" t="s">
        <v>64</v>
      </c>
      <c r="C10" s="143">
        <v>100751</v>
      </c>
      <c r="D10" s="144">
        <v>1</v>
      </c>
      <c r="E10" s="145">
        <v>97435199</v>
      </c>
      <c r="F10" s="146">
        <v>98767643</v>
      </c>
      <c r="G10" s="147"/>
      <c r="H10" s="145"/>
      <c r="I10" s="147"/>
      <c r="J10" s="146">
        <v>3593223</v>
      </c>
      <c r="K10" s="147"/>
      <c r="L10" s="145"/>
      <c r="M10" s="145"/>
      <c r="N10" s="145"/>
      <c r="O10" s="145"/>
      <c r="P10" s="145"/>
      <c r="Q10" s="146"/>
    </row>
    <row r="11" spans="1:17" ht="9" customHeight="1">
      <c r="A11" s="124" t="s">
        <v>61</v>
      </c>
      <c r="B11" s="35" t="s">
        <v>65</v>
      </c>
      <c r="C11" s="143">
        <v>100663</v>
      </c>
      <c r="D11" s="144">
        <v>2</v>
      </c>
      <c r="E11" s="145">
        <v>38407631</v>
      </c>
      <c r="F11" s="146">
        <v>38429165</v>
      </c>
      <c r="G11" s="147"/>
      <c r="H11" s="145"/>
      <c r="I11" s="147"/>
      <c r="J11" s="146">
        <v>140028119</v>
      </c>
      <c r="K11" s="147"/>
      <c r="L11" s="145"/>
      <c r="M11" s="145"/>
      <c r="N11" s="145"/>
      <c r="O11" s="145"/>
      <c r="P11" s="145"/>
      <c r="Q11" s="146"/>
    </row>
    <row r="12" spans="1:17" ht="9" customHeight="1">
      <c r="A12" s="124" t="s">
        <v>61</v>
      </c>
      <c r="B12" s="35" t="s">
        <v>66</v>
      </c>
      <c r="C12" s="143">
        <v>100654</v>
      </c>
      <c r="D12" s="144">
        <v>3</v>
      </c>
      <c r="E12" s="145">
        <v>21067219</v>
      </c>
      <c r="F12" s="146">
        <v>21066655</v>
      </c>
      <c r="G12" s="147"/>
      <c r="H12" s="145"/>
      <c r="I12" s="147"/>
      <c r="J12" s="146"/>
      <c r="K12" s="147"/>
      <c r="L12" s="145"/>
      <c r="M12" s="145"/>
      <c r="N12" s="145">
        <v>3814021</v>
      </c>
      <c r="O12" s="145"/>
      <c r="P12" s="145"/>
      <c r="Q12" s="146"/>
    </row>
    <row r="13" spans="1:17" ht="9" customHeight="1">
      <c r="A13" s="124" t="s">
        <v>61</v>
      </c>
      <c r="B13" s="35" t="s">
        <v>67</v>
      </c>
      <c r="C13" s="143">
        <v>101480</v>
      </c>
      <c r="D13" s="144">
        <v>3</v>
      </c>
      <c r="E13" s="145">
        <v>24465277</v>
      </c>
      <c r="F13" s="146">
        <v>24575277</v>
      </c>
      <c r="G13" s="147"/>
      <c r="H13" s="145"/>
      <c r="I13" s="147"/>
      <c r="J13" s="146"/>
      <c r="K13" s="147"/>
      <c r="L13" s="145"/>
      <c r="M13" s="145"/>
      <c r="N13" s="145"/>
      <c r="O13" s="145"/>
      <c r="P13" s="145"/>
      <c r="Q13" s="146"/>
    </row>
    <row r="14" spans="1:17" ht="9" customHeight="1">
      <c r="A14" s="124" t="s">
        <v>61</v>
      </c>
      <c r="B14" s="35" t="s">
        <v>68</v>
      </c>
      <c r="C14" s="143">
        <v>100706</v>
      </c>
      <c r="D14" s="144">
        <v>3</v>
      </c>
      <c r="E14" s="145">
        <v>30161376</v>
      </c>
      <c r="F14" s="146">
        <v>30944072</v>
      </c>
      <c r="G14" s="147"/>
      <c r="H14" s="145"/>
      <c r="I14" s="147"/>
      <c r="J14" s="146">
        <v>3542423</v>
      </c>
      <c r="K14" s="147"/>
      <c r="L14" s="145"/>
      <c r="M14" s="145"/>
      <c r="N14" s="145"/>
      <c r="O14" s="145"/>
      <c r="P14" s="145"/>
      <c r="Q14" s="146"/>
    </row>
    <row r="15" spans="1:17" ht="9" customHeight="1">
      <c r="A15" s="124" t="s">
        <v>61</v>
      </c>
      <c r="B15" s="35" t="s">
        <v>69</v>
      </c>
      <c r="C15" s="143">
        <v>102094</v>
      </c>
      <c r="D15" s="144">
        <v>3</v>
      </c>
      <c r="E15" s="145">
        <v>27985939</v>
      </c>
      <c r="F15" s="146">
        <v>28006198</v>
      </c>
      <c r="G15" s="147"/>
      <c r="H15" s="145"/>
      <c r="I15" s="147"/>
      <c r="J15" s="146">
        <v>41121502</v>
      </c>
      <c r="K15" s="147"/>
      <c r="L15" s="145"/>
      <c r="M15" s="145"/>
      <c r="N15" s="145"/>
      <c r="O15" s="145"/>
      <c r="P15" s="145"/>
      <c r="Q15" s="146"/>
    </row>
    <row r="16" spans="1:17" ht="9" customHeight="1">
      <c r="A16" s="124" t="s">
        <v>61</v>
      </c>
      <c r="B16" s="35" t="s">
        <v>70</v>
      </c>
      <c r="C16" s="143">
        <v>100830</v>
      </c>
      <c r="D16" s="144">
        <v>4</v>
      </c>
      <c r="E16" s="145">
        <v>16432851</v>
      </c>
      <c r="F16" s="146">
        <v>16432851</v>
      </c>
      <c r="G16" s="147"/>
      <c r="H16" s="145"/>
      <c r="I16" s="147"/>
      <c r="J16" s="146"/>
      <c r="K16" s="147"/>
      <c r="L16" s="145"/>
      <c r="M16" s="145"/>
      <c r="N16" s="145"/>
      <c r="O16" s="145"/>
      <c r="P16" s="145"/>
      <c r="Q16" s="146"/>
    </row>
    <row r="17" spans="1:17" ht="9" customHeight="1">
      <c r="A17" s="124" t="s">
        <v>61</v>
      </c>
      <c r="B17" s="35" t="s">
        <v>71</v>
      </c>
      <c r="C17" s="143">
        <v>102368</v>
      </c>
      <c r="D17" s="144">
        <v>4</v>
      </c>
      <c r="E17" s="145">
        <v>18850762</v>
      </c>
      <c r="F17" s="146">
        <v>19049720</v>
      </c>
      <c r="G17" s="147"/>
      <c r="H17" s="145"/>
      <c r="I17" s="147"/>
      <c r="J17" s="146"/>
      <c r="K17" s="147"/>
      <c r="L17" s="145"/>
      <c r="M17" s="145"/>
      <c r="N17" s="145"/>
      <c r="O17" s="145"/>
      <c r="P17" s="145"/>
      <c r="Q17" s="146"/>
    </row>
    <row r="18" spans="1:17" ht="9" customHeight="1">
      <c r="A18" s="124" t="s">
        <v>61</v>
      </c>
      <c r="B18" s="148" t="s">
        <v>72</v>
      </c>
      <c r="C18" s="149">
        <v>102359</v>
      </c>
      <c r="D18" s="150">
        <v>4</v>
      </c>
      <c r="E18" s="145">
        <v>4419640</v>
      </c>
      <c r="F18" s="146">
        <v>4280779</v>
      </c>
      <c r="G18" s="147"/>
      <c r="H18" s="145"/>
      <c r="I18" s="147"/>
      <c r="J18" s="146"/>
      <c r="K18" s="147"/>
      <c r="L18" s="145"/>
      <c r="M18" s="145"/>
      <c r="N18" s="145"/>
      <c r="O18" s="145"/>
      <c r="P18" s="145"/>
      <c r="Q18" s="146"/>
    </row>
    <row r="19" spans="1:17" ht="9" customHeight="1">
      <c r="A19" s="124" t="s">
        <v>61</v>
      </c>
      <c r="B19" s="35" t="s">
        <v>73</v>
      </c>
      <c r="C19" s="143">
        <v>101709</v>
      </c>
      <c r="D19" s="144">
        <v>4</v>
      </c>
      <c r="E19" s="145">
        <v>12923577</v>
      </c>
      <c r="F19" s="146">
        <v>12923577</v>
      </c>
      <c r="G19" s="147"/>
      <c r="H19" s="145"/>
      <c r="I19" s="147"/>
      <c r="J19" s="146"/>
      <c r="K19" s="147"/>
      <c r="L19" s="145"/>
      <c r="M19" s="145"/>
      <c r="N19" s="145"/>
      <c r="O19" s="145"/>
      <c r="P19" s="145"/>
      <c r="Q19" s="146"/>
    </row>
    <row r="20" spans="1:17" ht="9" customHeight="1">
      <c r="A20" s="124" t="s">
        <v>61</v>
      </c>
      <c r="B20" s="148" t="s">
        <v>74</v>
      </c>
      <c r="C20" s="149">
        <v>100724</v>
      </c>
      <c r="D20" s="150">
        <v>5</v>
      </c>
      <c r="E20" s="145">
        <v>25229592</v>
      </c>
      <c r="F20" s="146">
        <v>25429592</v>
      </c>
      <c r="G20" s="147"/>
      <c r="H20" s="145"/>
      <c r="I20" s="147"/>
      <c r="J20" s="146"/>
      <c r="K20" s="147"/>
      <c r="L20" s="145"/>
      <c r="M20" s="145"/>
      <c r="N20" s="145"/>
      <c r="O20" s="145"/>
      <c r="P20" s="145"/>
      <c r="Q20" s="146"/>
    </row>
    <row r="21" spans="1:17" ht="9" customHeight="1">
      <c r="A21" s="124" t="s">
        <v>61</v>
      </c>
      <c r="B21" s="35" t="s">
        <v>75</v>
      </c>
      <c r="C21" s="143">
        <v>101587</v>
      </c>
      <c r="D21" s="144">
        <v>5</v>
      </c>
      <c r="E21" s="145">
        <v>8029620</v>
      </c>
      <c r="F21" s="146">
        <v>8029620</v>
      </c>
      <c r="G21" s="147"/>
      <c r="H21" s="145"/>
      <c r="I21" s="147"/>
      <c r="J21" s="146"/>
      <c r="K21" s="147"/>
      <c r="L21" s="145"/>
      <c r="M21" s="145"/>
      <c r="N21" s="145"/>
      <c r="O21" s="145"/>
      <c r="P21" s="145"/>
      <c r="Q21" s="146"/>
    </row>
    <row r="22" spans="1:17" ht="9" customHeight="1">
      <c r="A22" s="124" t="s">
        <v>61</v>
      </c>
      <c r="B22" s="35" t="s">
        <v>76</v>
      </c>
      <c r="C22" s="143">
        <v>102322</v>
      </c>
      <c r="D22" s="144">
        <v>5</v>
      </c>
      <c r="E22" s="145">
        <v>4149917</v>
      </c>
      <c r="F22" s="146">
        <v>4089821</v>
      </c>
      <c r="G22" s="147"/>
      <c r="H22" s="145"/>
      <c r="I22" s="147"/>
      <c r="J22" s="146"/>
      <c r="K22" s="147"/>
      <c r="L22" s="145"/>
      <c r="M22" s="145"/>
      <c r="N22" s="145"/>
      <c r="O22" s="145"/>
      <c r="P22" s="145"/>
      <c r="Q22" s="146"/>
    </row>
    <row r="23" spans="1:17" ht="9" customHeight="1">
      <c r="A23" s="124" t="s">
        <v>61</v>
      </c>
      <c r="B23" s="35" t="s">
        <v>77</v>
      </c>
      <c r="C23" s="143">
        <v>101879</v>
      </c>
      <c r="D23" s="144">
        <v>5</v>
      </c>
      <c r="E23" s="145">
        <v>18104587</v>
      </c>
      <c r="F23" s="146">
        <v>18279587</v>
      </c>
      <c r="G23" s="147"/>
      <c r="H23" s="145"/>
      <c r="I23" s="147"/>
      <c r="J23" s="146"/>
      <c r="K23" s="147"/>
      <c r="L23" s="145"/>
      <c r="M23" s="145"/>
      <c r="N23" s="145"/>
      <c r="O23" s="145"/>
      <c r="P23" s="145"/>
      <c r="Q23" s="146"/>
    </row>
    <row r="24" spans="1:17" ht="9" customHeight="1">
      <c r="A24" s="124" t="s">
        <v>61</v>
      </c>
      <c r="B24" s="35" t="s">
        <v>78</v>
      </c>
      <c r="C24" s="143">
        <v>100812</v>
      </c>
      <c r="D24" s="144">
        <v>6</v>
      </c>
      <c r="E24" s="145">
        <v>8298204</v>
      </c>
      <c r="F24" s="146">
        <v>7267596</v>
      </c>
      <c r="G24" s="147"/>
      <c r="H24" s="145"/>
      <c r="I24" s="147"/>
      <c r="J24" s="146"/>
      <c r="K24" s="147"/>
      <c r="L24" s="145"/>
      <c r="M24" s="145"/>
      <c r="N24" s="145"/>
      <c r="O24" s="145"/>
      <c r="P24" s="145"/>
      <c r="Q24" s="146"/>
    </row>
    <row r="25" spans="1:17" ht="9" customHeight="1">
      <c r="A25" s="124" t="s">
        <v>61</v>
      </c>
      <c r="B25" s="35" t="s">
        <v>79</v>
      </c>
      <c r="C25" s="143">
        <v>101949</v>
      </c>
      <c r="D25" s="144">
        <v>7</v>
      </c>
      <c r="E25" s="145">
        <v>4876795</v>
      </c>
      <c r="F25" s="146">
        <v>4828050</v>
      </c>
      <c r="G25" s="147"/>
      <c r="H25" s="145"/>
      <c r="I25" s="147"/>
      <c r="J25" s="146"/>
      <c r="K25" s="147"/>
      <c r="L25" s="145"/>
      <c r="M25" s="145"/>
      <c r="N25" s="145"/>
      <c r="O25" s="145"/>
      <c r="P25" s="145"/>
      <c r="Q25" s="146"/>
    </row>
    <row r="26" spans="1:17" ht="9" customHeight="1">
      <c r="A26" s="124" t="s">
        <v>61</v>
      </c>
      <c r="B26" s="35" t="s">
        <v>80</v>
      </c>
      <c r="C26" s="151">
        <v>100964</v>
      </c>
      <c r="D26" s="144">
        <v>7</v>
      </c>
      <c r="E26" s="145">
        <v>11331108</v>
      </c>
      <c r="F26" s="146">
        <v>11431042</v>
      </c>
      <c r="G26" s="147"/>
      <c r="H26" s="145"/>
      <c r="I26" s="147"/>
      <c r="J26" s="146"/>
      <c r="K26" s="147"/>
      <c r="L26" s="145"/>
      <c r="M26" s="145"/>
      <c r="N26" s="145"/>
      <c r="O26" s="145"/>
      <c r="P26" s="145"/>
      <c r="Q26" s="146"/>
    </row>
    <row r="27" spans="1:17" ht="9" customHeight="1">
      <c r="A27" s="124" t="s">
        <v>61</v>
      </c>
      <c r="B27" s="35" t="s">
        <v>81</v>
      </c>
      <c r="C27" s="143">
        <v>102030</v>
      </c>
      <c r="D27" s="144">
        <v>7</v>
      </c>
      <c r="E27" s="145">
        <v>11142001</v>
      </c>
      <c r="F27" s="146">
        <v>10828932</v>
      </c>
      <c r="G27" s="147"/>
      <c r="H27" s="145"/>
      <c r="I27" s="147"/>
      <c r="J27" s="146"/>
      <c r="K27" s="147"/>
      <c r="L27" s="145"/>
      <c r="M27" s="145"/>
      <c r="N27" s="145"/>
      <c r="O27" s="145"/>
      <c r="P27" s="145"/>
      <c r="Q27" s="146"/>
    </row>
    <row r="28" spans="1:17" ht="9" customHeight="1">
      <c r="A28" s="124" t="s">
        <v>61</v>
      </c>
      <c r="B28" s="35" t="s">
        <v>82</v>
      </c>
      <c r="C28" s="143">
        <v>100760</v>
      </c>
      <c r="D28" s="144">
        <v>7</v>
      </c>
      <c r="E28" s="145">
        <v>5101875</v>
      </c>
      <c r="F28" s="146">
        <v>5225173</v>
      </c>
      <c r="G28" s="147"/>
      <c r="H28" s="145"/>
      <c r="I28" s="147"/>
      <c r="J28" s="146"/>
      <c r="K28" s="147"/>
      <c r="L28" s="145"/>
      <c r="M28" s="145"/>
      <c r="N28" s="145"/>
      <c r="O28" s="145"/>
      <c r="P28" s="145"/>
      <c r="Q28" s="146"/>
    </row>
    <row r="29" spans="1:17" ht="9" customHeight="1">
      <c r="A29" s="124" t="s">
        <v>61</v>
      </c>
      <c r="B29" s="35" t="s">
        <v>83</v>
      </c>
      <c r="C29" s="143">
        <v>101028</v>
      </c>
      <c r="D29" s="144">
        <v>7</v>
      </c>
      <c r="E29" s="145">
        <v>3680230</v>
      </c>
      <c r="F29" s="146">
        <v>3799710</v>
      </c>
      <c r="G29" s="147"/>
      <c r="H29" s="145"/>
      <c r="I29" s="147"/>
      <c r="J29" s="146"/>
      <c r="K29" s="147"/>
      <c r="L29" s="145"/>
      <c r="M29" s="145"/>
      <c r="N29" s="145"/>
      <c r="O29" s="145"/>
      <c r="P29" s="145"/>
      <c r="Q29" s="146"/>
    </row>
    <row r="30" spans="1:17" ht="9" customHeight="1">
      <c r="A30" s="124" t="s">
        <v>61</v>
      </c>
      <c r="B30" s="35" t="s">
        <v>84</v>
      </c>
      <c r="C30" s="143">
        <v>101143</v>
      </c>
      <c r="D30" s="144">
        <v>7</v>
      </c>
      <c r="E30" s="145">
        <v>3951350</v>
      </c>
      <c r="F30" s="146">
        <v>4029342</v>
      </c>
      <c r="G30" s="147"/>
      <c r="H30" s="145"/>
      <c r="I30" s="147"/>
      <c r="J30" s="146"/>
      <c r="K30" s="147"/>
      <c r="L30" s="145"/>
      <c r="M30" s="145"/>
      <c r="N30" s="145"/>
      <c r="O30" s="145"/>
      <c r="P30" s="145"/>
      <c r="Q30" s="146"/>
    </row>
    <row r="31" spans="1:17" ht="9" customHeight="1">
      <c r="A31" s="124" t="s">
        <v>61</v>
      </c>
      <c r="B31" s="35" t="s">
        <v>85</v>
      </c>
      <c r="C31" s="143">
        <v>101240</v>
      </c>
      <c r="D31" s="144">
        <v>7</v>
      </c>
      <c r="E31" s="145">
        <v>12711266</v>
      </c>
      <c r="F31" s="146">
        <v>12684740</v>
      </c>
      <c r="G31" s="147"/>
      <c r="H31" s="145"/>
      <c r="I31" s="147"/>
      <c r="J31" s="146"/>
      <c r="K31" s="147"/>
      <c r="L31" s="145"/>
      <c r="M31" s="145"/>
      <c r="N31" s="145"/>
      <c r="O31" s="145"/>
      <c r="P31" s="145"/>
      <c r="Q31" s="146"/>
    </row>
    <row r="32" spans="1:17" ht="9" customHeight="1">
      <c r="A32" s="124" t="s">
        <v>61</v>
      </c>
      <c r="B32" s="35" t="s">
        <v>86</v>
      </c>
      <c r="C32" s="151">
        <v>101301</v>
      </c>
      <c r="D32" s="144">
        <v>7</v>
      </c>
      <c r="E32" s="145">
        <v>4730370</v>
      </c>
      <c r="F32" s="146">
        <v>4898404</v>
      </c>
      <c r="G32" s="147"/>
      <c r="H32" s="145"/>
      <c r="I32" s="147"/>
      <c r="J32" s="146"/>
      <c r="K32" s="147"/>
      <c r="L32" s="145"/>
      <c r="M32" s="145"/>
      <c r="N32" s="145"/>
      <c r="O32" s="145"/>
      <c r="P32" s="145"/>
      <c r="Q32" s="146"/>
    </row>
    <row r="33" spans="1:17" ht="9" customHeight="1">
      <c r="A33" s="124" t="s">
        <v>61</v>
      </c>
      <c r="B33" s="35" t="s">
        <v>87</v>
      </c>
      <c r="C33" s="143">
        <v>101286</v>
      </c>
      <c r="D33" s="144">
        <v>7</v>
      </c>
      <c r="E33" s="145">
        <v>8081645</v>
      </c>
      <c r="F33" s="146">
        <v>8335597</v>
      </c>
      <c r="G33" s="147"/>
      <c r="H33" s="145"/>
      <c r="I33" s="147"/>
      <c r="J33" s="146"/>
      <c r="K33" s="147"/>
      <c r="L33" s="145"/>
      <c r="M33" s="145"/>
      <c r="N33" s="145"/>
      <c r="O33" s="145"/>
      <c r="P33" s="145"/>
      <c r="Q33" s="146"/>
    </row>
    <row r="34" spans="1:17" ht="9" customHeight="1">
      <c r="A34" s="124" t="s">
        <v>61</v>
      </c>
      <c r="B34" s="152" t="s">
        <v>88</v>
      </c>
      <c r="C34" s="143">
        <v>101161</v>
      </c>
      <c r="D34" s="144">
        <v>7</v>
      </c>
      <c r="E34" s="145">
        <v>6248227</v>
      </c>
      <c r="F34" s="146">
        <v>6284099</v>
      </c>
      <c r="G34" s="147"/>
      <c r="H34" s="145"/>
      <c r="I34" s="147"/>
      <c r="J34" s="146"/>
      <c r="K34" s="147"/>
      <c r="L34" s="145"/>
      <c r="M34" s="145"/>
      <c r="N34" s="145"/>
      <c r="O34" s="145"/>
      <c r="P34" s="145"/>
      <c r="Q34" s="146"/>
    </row>
    <row r="35" spans="1:17" ht="9" customHeight="1">
      <c r="A35" s="124" t="s">
        <v>61</v>
      </c>
      <c r="B35" s="35" t="s">
        <v>89</v>
      </c>
      <c r="C35" s="143">
        <v>101499</v>
      </c>
      <c r="D35" s="144">
        <v>7</v>
      </c>
      <c r="E35" s="145">
        <v>4956735</v>
      </c>
      <c r="F35" s="146">
        <v>4835184</v>
      </c>
      <c r="G35" s="147"/>
      <c r="H35" s="145"/>
      <c r="I35" s="147"/>
      <c r="J35" s="146"/>
      <c r="K35" s="147"/>
      <c r="L35" s="145"/>
      <c r="M35" s="145"/>
      <c r="N35" s="145"/>
      <c r="O35" s="145"/>
      <c r="P35" s="145"/>
      <c r="Q35" s="146"/>
    </row>
    <row r="36" spans="1:17" ht="9" customHeight="1">
      <c r="A36" s="124" t="s">
        <v>61</v>
      </c>
      <c r="B36" s="35" t="s">
        <v>90</v>
      </c>
      <c r="C36" s="143">
        <v>101505</v>
      </c>
      <c r="D36" s="144">
        <v>7</v>
      </c>
      <c r="E36" s="145">
        <v>11199819</v>
      </c>
      <c r="F36" s="146">
        <v>11410609</v>
      </c>
      <c r="G36" s="147"/>
      <c r="H36" s="145"/>
      <c r="I36" s="147"/>
      <c r="J36" s="146"/>
      <c r="K36" s="147"/>
      <c r="L36" s="145"/>
      <c r="M36" s="145"/>
      <c r="N36" s="145"/>
      <c r="O36" s="145"/>
      <c r="P36" s="145"/>
      <c r="Q36" s="146"/>
    </row>
    <row r="37" spans="1:17" ht="9" customHeight="1">
      <c r="A37" s="124" t="s">
        <v>61</v>
      </c>
      <c r="B37" s="35" t="s">
        <v>91</v>
      </c>
      <c r="C37" s="143">
        <v>101514</v>
      </c>
      <c r="D37" s="144">
        <v>7</v>
      </c>
      <c r="E37" s="145">
        <v>12994827</v>
      </c>
      <c r="F37" s="146">
        <v>12978697</v>
      </c>
      <c r="G37" s="147"/>
      <c r="H37" s="145"/>
      <c r="I37" s="147"/>
      <c r="J37" s="146"/>
      <c r="K37" s="147"/>
      <c r="L37" s="145"/>
      <c r="M37" s="145"/>
      <c r="N37" s="145"/>
      <c r="O37" s="145"/>
      <c r="P37" s="145"/>
      <c r="Q37" s="146"/>
    </row>
    <row r="38" spans="1:17" ht="9" customHeight="1">
      <c r="A38" s="124" t="s">
        <v>61</v>
      </c>
      <c r="B38" s="35" t="s">
        <v>92</v>
      </c>
      <c r="C38" s="143">
        <v>101569</v>
      </c>
      <c r="D38" s="144">
        <v>7</v>
      </c>
      <c r="E38" s="145">
        <v>5821233</v>
      </c>
      <c r="F38" s="146">
        <v>5848972</v>
      </c>
      <c r="G38" s="147"/>
      <c r="H38" s="145"/>
      <c r="I38" s="147"/>
      <c r="J38" s="146"/>
      <c r="K38" s="147"/>
      <c r="L38" s="145"/>
      <c r="M38" s="145"/>
      <c r="N38" s="145"/>
      <c r="O38" s="145"/>
      <c r="P38" s="145"/>
      <c r="Q38" s="146"/>
    </row>
    <row r="39" spans="1:17" ht="9" customHeight="1">
      <c r="A39" s="124" t="s">
        <v>61</v>
      </c>
      <c r="B39" s="35" t="s">
        <v>93</v>
      </c>
      <c r="C39" s="143">
        <v>101602</v>
      </c>
      <c r="D39" s="144">
        <v>7</v>
      </c>
      <c r="E39" s="145">
        <v>2831057</v>
      </c>
      <c r="F39" s="146">
        <v>2810405</v>
      </c>
      <c r="G39" s="147"/>
      <c r="H39" s="145"/>
      <c r="I39" s="147"/>
      <c r="J39" s="146"/>
      <c r="K39" s="147"/>
      <c r="L39" s="145"/>
      <c r="M39" s="145"/>
      <c r="N39" s="145"/>
      <c r="O39" s="145"/>
      <c r="P39" s="145"/>
      <c r="Q39" s="146"/>
    </row>
    <row r="40" spans="1:17" ht="9" customHeight="1">
      <c r="A40" s="124" t="s">
        <v>61</v>
      </c>
      <c r="B40" s="35" t="s">
        <v>94</v>
      </c>
      <c r="C40" s="143">
        <v>101897</v>
      </c>
      <c r="D40" s="144">
        <v>7</v>
      </c>
      <c r="E40" s="145">
        <v>3950774</v>
      </c>
      <c r="F40" s="146">
        <v>3910479</v>
      </c>
      <c r="G40" s="147"/>
      <c r="H40" s="145"/>
      <c r="I40" s="147"/>
      <c r="J40" s="146"/>
      <c r="K40" s="147"/>
      <c r="L40" s="145"/>
      <c r="M40" s="145"/>
      <c r="N40" s="145"/>
      <c r="O40" s="145"/>
      <c r="P40" s="145"/>
      <c r="Q40" s="146"/>
    </row>
    <row r="41" spans="1:17" ht="9" customHeight="1">
      <c r="A41" s="124" t="s">
        <v>61</v>
      </c>
      <c r="B41" s="35" t="s">
        <v>95</v>
      </c>
      <c r="C41" s="143">
        <v>101903</v>
      </c>
      <c r="D41" s="144">
        <v>7</v>
      </c>
      <c r="E41" s="145">
        <v>8064506</v>
      </c>
      <c r="F41" s="146">
        <v>8063694</v>
      </c>
      <c r="G41" s="147"/>
      <c r="H41" s="145"/>
      <c r="I41" s="147"/>
      <c r="J41" s="146"/>
      <c r="K41" s="147"/>
      <c r="L41" s="145"/>
      <c r="M41" s="145"/>
      <c r="N41" s="145"/>
      <c r="O41" s="145"/>
      <c r="P41" s="145"/>
      <c r="Q41" s="146"/>
    </row>
    <row r="42" spans="1:17" ht="9" customHeight="1">
      <c r="A42" s="124" t="s">
        <v>61</v>
      </c>
      <c r="B42" s="35" t="s">
        <v>96</v>
      </c>
      <c r="C42" s="143">
        <v>102067</v>
      </c>
      <c r="D42" s="144">
        <v>7</v>
      </c>
      <c r="E42" s="145">
        <v>12126765</v>
      </c>
      <c r="F42" s="146">
        <f>12460076+300000</f>
        <v>12760076</v>
      </c>
      <c r="G42" s="147"/>
      <c r="H42" s="145"/>
      <c r="I42" s="147"/>
      <c r="J42" s="146"/>
      <c r="K42" s="147"/>
      <c r="L42" s="145"/>
      <c r="M42" s="145"/>
      <c r="N42" s="145"/>
      <c r="O42" s="145"/>
      <c r="P42" s="145"/>
      <c r="Q42" s="146"/>
    </row>
    <row r="43" spans="1:17" ht="9" customHeight="1">
      <c r="A43" s="124" t="s">
        <v>61</v>
      </c>
      <c r="B43" s="35" t="s">
        <v>97</v>
      </c>
      <c r="C43" s="143">
        <v>101736</v>
      </c>
      <c r="D43" s="144">
        <v>7</v>
      </c>
      <c r="E43" s="145"/>
      <c r="F43" s="146"/>
      <c r="G43" s="147"/>
      <c r="H43" s="145"/>
      <c r="I43" s="147"/>
      <c r="J43" s="146"/>
      <c r="K43" s="147"/>
      <c r="L43" s="145"/>
      <c r="M43" s="145"/>
      <c r="N43" s="145"/>
      <c r="O43" s="145"/>
      <c r="P43" s="145"/>
      <c r="Q43" s="146"/>
    </row>
    <row r="44" spans="1:17" ht="9" customHeight="1">
      <c r="A44" s="124" t="s">
        <v>61</v>
      </c>
      <c r="B44" s="35" t="s">
        <v>98</v>
      </c>
      <c r="C44" s="143">
        <v>102076</v>
      </c>
      <c r="D44" s="144">
        <v>7</v>
      </c>
      <c r="E44" s="145">
        <v>3790112</v>
      </c>
      <c r="F44" s="146">
        <v>3883336</v>
      </c>
      <c r="G44" s="147"/>
      <c r="H44" s="145"/>
      <c r="I44" s="147"/>
      <c r="J44" s="146"/>
      <c r="K44" s="147"/>
      <c r="L44" s="145"/>
      <c r="M44" s="145"/>
      <c r="N44" s="145"/>
      <c r="O44" s="145"/>
      <c r="P44" s="145"/>
      <c r="Q44" s="146"/>
    </row>
    <row r="45" spans="1:17" ht="9" customHeight="1">
      <c r="A45" s="124" t="s">
        <v>61</v>
      </c>
      <c r="B45" s="35" t="s">
        <v>99</v>
      </c>
      <c r="C45" s="143">
        <v>251260</v>
      </c>
      <c r="D45" s="144">
        <v>7</v>
      </c>
      <c r="E45" s="145">
        <v>8720330</v>
      </c>
      <c r="F45" s="146">
        <v>8907384</v>
      </c>
      <c r="G45" s="147"/>
      <c r="H45" s="145"/>
      <c r="I45" s="147"/>
      <c r="J45" s="146"/>
      <c r="K45" s="147"/>
      <c r="L45" s="145"/>
      <c r="M45" s="145"/>
      <c r="N45" s="145"/>
      <c r="O45" s="145"/>
      <c r="P45" s="145"/>
      <c r="Q45" s="146"/>
    </row>
    <row r="46" spans="1:17" ht="9" customHeight="1">
      <c r="A46" s="124" t="s">
        <v>61</v>
      </c>
      <c r="B46" s="35" t="s">
        <v>100</v>
      </c>
      <c r="C46" s="143">
        <v>101295</v>
      </c>
      <c r="D46" s="144">
        <v>7</v>
      </c>
      <c r="E46" s="145">
        <v>10959546</v>
      </c>
      <c r="F46" s="146">
        <v>11118193</v>
      </c>
      <c r="G46" s="147"/>
      <c r="H46" s="145"/>
      <c r="I46" s="147"/>
      <c r="J46" s="146"/>
      <c r="K46" s="147"/>
      <c r="L46" s="145"/>
      <c r="M46" s="145"/>
      <c r="N46" s="145"/>
      <c r="O46" s="145"/>
      <c r="P46" s="145"/>
      <c r="Q46" s="146"/>
    </row>
    <row r="47" spans="1:17" ht="9" customHeight="1">
      <c r="A47" s="124" t="s">
        <v>61</v>
      </c>
      <c r="B47" s="35" t="s">
        <v>101</v>
      </c>
      <c r="C47" s="143">
        <v>100672</v>
      </c>
      <c r="D47" s="144">
        <v>8</v>
      </c>
      <c r="E47" s="145">
        <v>2393277</v>
      </c>
      <c r="F47" s="146">
        <v>2460636</v>
      </c>
      <c r="G47" s="147"/>
      <c r="H47" s="145"/>
      <c r="I47" s="147"/>
      <c r="J47" s="146"/>
      <c r="K47" s="147"/>
      <c r="L47" s="145"/>
      <c r="M47" s="145"/>
      <c r="N47" s="145"/>
      <c r="O47" s="145"/>
      <c r="P47" s="145"/>
      <c r="Q47" s="146"/>
    </row>
    <row r="48" spans="1:17" ht="9" customHeight="1">
      <c r="A48" s="124" t="s">
        <v>61</v>
      </c>
      <c r="B48" s="35" t="s">
        <v>102</v>
      </c>
      <c r="C48" s="143">
        <v>100919</v>
      </c>
      <c r="D48" s="144">
        <v>8</v>
      </c>
      <c r="E48" s="145">
        <v>5158661</v>
      </c>
      <c r="F48" s="146">
        <v>5284403</v>
      </c>
      <c r="G48" s="147"/>
      <c r="H48" s="145"/>
      <c r="I48" s="147"/>
      <c r="J48" s="146"/>
      <c r="K48" s="147"/>
      <c r="L48" s="145"/>
      <c r="M48" s="145"/>
      <c r="N48" s="145"/>
      <c r="O48" s="145"/>
      <c r="P48" s="145"/>
      <c r="Q48" s="146"/>
    </row>
    <row r="49" spans="1:17" ht="9" customHeight="1">
      <c r="A49" s="124" t="s">
        <v>61</v>
      </c>
      <c r="B49" s="35" t="s">
        <v>103</v>
      </c>
      <c r="C49" s="143">
        <v>101347</v>
      </c>
      <c r="D49" s="144">
        <v>8</v>
      </c>
      <c r="E49" s="145">
        <v>2798556</v>
      </c>
      <c r="F49" s="146">
        <v>2816233</v>
      </c>
      <c r="G49" s="147"/>
      <c r="H49" s="145"/>
      <c r="I49" s="147"/>
      <c r="J49" s="146"/>
      <c r="K49" s="147"/>
      <c r="L49" s="145"/>
      <c r="M49" s="145"/>
      <c r="N49" s="145"/>
      <c r="O49" s="145"/>
      <c r="P49" s="145"/>
      <c r="Q49" s="146"/>
    </row>
    <row r="50" spans="1:17" ht="9" customHeight="1">
      <c r="A50" s="124" t="s">
        <v>61</v>
      </c>
      <c r="B50" s="35" t="s">
        <v>104</v>
      </c>
      <c r="C50" s="143">
        <v>101523</v>
      </c>
      <c r="D50" s="144">
        <v>8</v>
      </c>
      <c r="E50" s="145">
        <v>3597075</v>
      </c>
      <c r="F50" s="146">
        <v>3643040</v>
      </c>
      <c r="G50" s="147"/>
      <c r="H50" s="145"/>
      <c r="I50" s="147"/>
      <c r="J50" s="146"/>
      <c r="K50" s="147"/>
      <c r="L50" s="145"/>
      <c r="M50" s="145"/>
      <c r="N50" s="145"/>
      <c r="O50" s="145"/>
      <c r="P50" s="145"/>
      <c r="Q50" s="146"/>
    </row>
    <row r="51" spans="1:17" ht="9" customHeight="1">
      <c r="A51" s="124" t="s">
        <v>61</v>
      </c>
      <c r="B51" s="35" t="s">
        <v>105</v>
      </c>
      <c r="C51" s="143">
        <v>101462</v>
      </c>
      <c r="D51" s="144">
        <v>8</v>
      </c>
      <c r="E51" s="145">
        <v>2882685</v>
      </c>
      <c r="F51" s="146">
        <v>2932120</v>
      </c>
      <c r="G51" s="147"/>
      <c r="H51" s="145"/>
      <c r="I51" s="147"/>
      <c r="J51" s="146"/>
      <c r="K51" s="147"/>
      <c r="L51" s="145"/>
      <c r="M51" s="145"/>
      <c r="N51" s="145"/>
      <c r="O51" s="145"/>
      <c r="P51" s="145"/>
      <c r="Q51" s="146"/>
    </row>
    <row r="52" spans="1:17" ht="9" customHeight="1">
      <c r="A52" s="124" t="s">
        <v>61</v>
      </c>
      <c r="B52" s="35" t="s">
        <v>106</v>
      </c>
      <c r="C52" s="143">
        <v>101471</v>
      </c>
      <c r="D52" s="144">
        <v>8</v>
      </c>
      <c r="E52" s="145">
        <v>5864418</v>
      </c>
      <c r="F52" s="146">
        <v>5428191</v>
      </c>
      <c r="G52" s="147"/>
      <c r="H52" s="145"/>
      <c r="I52" s="147"/>
      <c r="J52" s="146"/>
      <c r="K52" s="147"/>
      <c r="L52" s="145"/>
      <c r="M52" s="145"/>
      <c r="N52" s="145"/>
      <c r="O52" s="145"/>
      <c r="P52" s="145"/>
      <c r="Q52" s="146"/>
    </row>
    <row r="53" spans="1:17" ht="9" customHeight="1">
      <c r="A53" s="124" t="s">
        <v>61</v>
      </c>
      <c r="B53" s="35" t="s">
        <v>107</v>
      </c>
      <c r="C53" s="143">
        <v>101107</v>
      </c>
      <c r="D53" s="144">
        <v>8</v>
      </c>
      <c r="E53" s="145">
        <v>2748575</v>
      </c>
      <c r="F53" s="146">
        <v>2769917</v>
      </c>
      <c r="G53" s="147"/>
      <c r="H53" s="145"/>
      <c r="I53" s="147"/>
      <c r="J53" s="146"/>
      <c r="K53" s="147"/>
      <c r="L53" s="145"/>
      <c r="M53" s="145"/>
      <c r="N53" s="145"/>
      <c r="O53" s="145"/>
      <c r="P53" s="145"/>
      <c r="Q53" s="146"/>
    </row>
    <row r="54" spans="1:17" ht="9" customHeight="1">
      <c r="A54" s="124" t="s">
        <v>61</v>
      </c>
      <c r="B54" s="35" t="s">
        <v>108</v>
      </c>
      <c r="C54" s="143">
        <v>101994</v>
      </c>
      <c r="D54" s="144">
        <v>8</v>
      </c>
      <c r="E54" s="145">
        <v>3099556</v>
      </c>
      <c r="F54" s="146">
        <v>3141364</v>
      </c>
      <c r="G54" s="147"/>
      <c r="H54" s="145"/>
      <c r="I54" s="147"/>
      <c r="J54" s="146"/>
      <c r="K54" s="147"/>
      <c r="L54" s="145"/>
      <c r="M54" s="145"/>
      <c r="N54" s="145"/>
      <c r="O54" s="145"/>
      <c r="P54" s="145"/>
      <c r="Q54" s="146"/>
    </row>
    <row r="55" spans="1:17" ht="9" customHeight="1">
      <c r="A55" s="124" t="s">
        <v>61</v>
      </c>
      <c r="B55" s="35" t="s">
        <v>109</v>
      </c>
      <c r="C55" s="143">
        <v>101037</v>
      </c>
      <c r="D55" s="144">
        <v>8</v>
      </c>
      <c r="E55" s="145">
        <v>3193318</v>
      </c>
      <c r="F55" s="146">
        <v>3073414</v>
      </c>
      <c r="G55" s="147"/>
      <c r="H55" s="145"/>
      <c r="I55" s="147"/>
      <c r="J55" s="146"/>
      <c r="K55" s="147"/>
      <c r="L55" s="145"/>
      <c r="M55" s="145"/>
      <c r="N55" s="145"/>
      <c r="O55" s="145"/>
      <c r="P55" s="145"/>
      <c r="Q55" s="146"/>
    </row>
    <row r="56" spans="1:17" ht="9" customHeight="1">
      <c r="A56" s="124" t="s">
        <v>61</v>
      </c>
      <c r="B56" s="35" t="s">
        <v>110</v>
      </c>
      <c r="C56" s="143">
        <v>102313</v>
      </c>
      <c r="D56" s="144">
        <v>8</v>
      </c>
      <c r="E56" s="145">
        <v>4201308</v>
      </c>
      <c r="F56" s="146">
        <v>4046978</v>
      </c>
      <c r="G56" s="147"/>
      <c r="H56" s="145"/>
      <c r="I56" s="147"/>
      <c r="J56" s="146"/>
      <c r="K56" s="147"/>
      <c r="L56" s="145"/>
      <c r="M56" s="145"/>
      <c r="N56" s="145"/>
      <c r="O56" s="145"/>
      <c r="P56" s="145"/>
      <c r="Q56" s="146"/>
    </row>
    <row r="57" spans="1:17" ht="9" customHeight="1">
      <c r="A57" s="124" t="s">
        <v>111</v>
      </c>
      <c r="B57" s="35" t="s">
        <v>112</v>
      </c>
      <c r="C57" s="143">
        <v>106397</v>
      </c>
      <c r="D57" s="36">
        <v>1</v>
      </c>
      <c r="E57" s="145">
        <v>78195735</v>
      </c>
      <c r="F57" s="146">
        <v>78761831</v>
      </c>
      <c r="G57" s="147"/>
      <c r="H57" s="145"/>
      <c r="I57" s="147"/>
      <c r="J57" s="146"/>
      <c r="K57" s="147"/>
      <c r="L57" s="145"/>
      <c r="M57" s="145"/>
      <c r="N57" s="145"/>
      <c r="O57" s="145"/>
      <c r="P57" s="145"/>
      <c r="Q57" s="146"/>
    </row>
    <row r="58" spans="1:17" ht="9" customHeight="1">
      <c r="A58" s="124" t="s">
        <v>111</v>
      </c>
      <c r="B58" s="35" t="s">
        <v>113</v>
      </c>
      <c r="C58" s="143">
        <v>106458</v>
      </c>
      <c r="D58" s="36">
        <v>3</v>
      </c>
      <c r="E58" s="145">
        <v>37844839</v>
      </c>
      <c r="F58" s="146">
        <v>38696260</v>
      </c>
      <c r="G58" s="147"/>
      <c r="H58" s="145"/>
      <c r="I58" s="147"/>
      <c r="J58" s="146"/>
      <c r="K58" s="147"/>
      <c r="L58" s="145"/>
      <c r="M58" s="145"/>
      <c r="N58" s="145"/>
      <c r="O58" s="145"/>
      <c r="P58" s="145"/>
      <c r="Q58" s="146"/>
    </row>
    <row r="59" spans="1:17" ht="9" customHeight="1">
      <c r="A59" s="124" t="s">
        <v>111</v>
      </c>
      <c r="B59" s="35" t="s">
        <v>114</v>
      </c>
      <c r="C59" s="143">
        <v>106245</v>
      </c>
      <c r="D59" s="36">
        <v>3</v>
      </c>
      <c r="E59" s="145">
        <v>40914117</v>
      </c>
      <c r="F59" s="146">
        <v>41683718</v>
      </c>
      <c r="G59" s="147"/>
      <c r="H59" s="145"/>
      <c r="I59" s="147"/>
      <c r="J59" s="146"/>
      <c r="K59" s="147"/>
      <c r="L59" s="145"/>
      <c r="M59" s="145"/>
      <c r="N59" s="145"/>
      <c r="O59" s="145"/>
      <c r="P59" s="145"/>
      <c r="Q59" s="146"/>
    </row>
    <row r="60" spans="1:17" ht="9" customHeight="1">
      <c r="A60" s="124" t="s">
        <v>111</v>
      </c>
      <c r="B60" s="35" t="s">
        <v>115</v>
      </c>
      <c r="C60" s="143">
        <v>106704</v>
      </c>
      <c r="D60" s="36">
        <v>3</v>
      </c>
      <c r="E60" s="145">
        <v>33544826</v>
      </c>
      <c r="F60" s="146">
        <v>33984136</v>
      </c>
      <c r="G60" s="147"/>
      <c r="H60" s="145"/>
      <c r="I60" s="147"/>
      <c r="J60" s="146"/>
      <c r="K60" s="147"/>
      <c r="L60" s="145"/>
      <c r="M60" s="145"/>
      <c r="N60" s="145"/>
      <c r="O60" s="145"/>
      <c r="P60" s="145"/>
      <c r="Q60" s="146"/>
    </row>
    <row r="61" spans="1:17" ht="9" customHeight="1">
      <c r="A61" s="124" t="s">
        <v>111</v>
      </c>
      <c r="B61" s="35" t="s">
        <v>116</v>
      </c>
      <c r="C61" s="143">
        <v>106467</v>
      </c>
      <c r="D61" s="36">
        <v>5</v>
      </c>
      <c r="E61" s="145">
        <v>15677761</v>
      </c>
      <c r="F61" s="146">
        <v>15946653</v>
      </c>
      <c r="G61" s="147"/>
      <c r="H61" s="145"/>
      <c r="I61" s="147"/>
      <c r="J61" s="146"/>
      <c r="K61" s="147"/>
      <c r="L61" s="145"/>
      <c r="M61" s="145"/>
      <c r="N61" s="145"/>
      <c r="O61" s="145"/>
      <c r="P61" s="145"/>
      <c r="Q61" s="146"/>
    </row>
    <row r="62" spans="1:17" ht="9" customHeight="1">
      <c r="A62" s="124" t="s">
        <v>111</v>
      </c>
      <c r="B62" s="35" t="s">
        <v>117</v>
      </c>
      <c r="C62" s="143">
        <v>107071</v>
      </c>
      <c r="D62" s="36">
        <v>5</v>
      </c>
      <c r="E62" s="145">
        <v>13600172</v>
      </c>
      <c r="F62" s="146">
        <v>13779026</v>
      </c>
      <c r="G62" s="147"/>
      <c r="H62" s="145"/>
      <c r="I62" s="147"/>
      <c r="J62" s="146"/>
      <c r="K62" s="147"/>
      <c r="L62" s="145"/>
      <c r="M62" s="145"/>
      <c r="N62" s="145"/>
      <c r="O62" s="145"/>
      <c r="P62" s="145"/>
      <c r="Q62" s="146"/>
    </row>
    <row r="63" spans="1:17" ht="9" customHeight="1">
      <c r="A63" s="124" t="s">
        <v>111</v>
      </c>
      <c r="B63" s="35" t="s">
        <v>118</v>
      </c>
      <c r="C63" s="143">
        <v>107983</v>
      </c>
      <c r="D63" s="36">
        <v>6</v>
      </c>
      <c r="E63" s="145">
        <v>10461519</v>
      </c>
      <c r="F63" s="146">
        <v>10633834</v>
      </c>
      <c r="G63" s="147"/>
      <c r="H63" s="145"/>
      <c r="I63" s="147"/>
      <c r="J63" s="146"/>
      <c r="K63" s="147"/>
      <c r="L63" s="145"/>
      <c r="M63" s="145"/>
      <c r="N63" s="145"/>
      <c r="O63" s="145"/>
      <c r="P63" s="145"/>
      <c r="Q63" s="146"/>
    </row>
    <row r="64" spans="1:17" ht="9" customHeight="1">
      <c r="A64" s="124" t="s">
        <v>111</v>
      </c>
      <c r="B64" s="35" t="s">
        <v>119</v>
      </c>
      <c r="C64" s="143">
        <v>106485</v>
      </c>
      <c r="D64" s="36">
        <v>6</v>
      </c>
      <c r="E64" s="145">
        <v>8780878</v>
      </c>
      <c r="F64" s="146">
        <v>8948958</v>
      </c>
      <c r="G64" s="147"/>
      <c r="H64" s="145"/>
      <c r="I64" s="147"/>
      <c r="J64" s="146"/>
      <c r="K64" s="147"/>
      <c r="L64" s="145"/>
      <c r="M64" s="145"/>
      <c r="N64" s="145"/>
      <c r="O64" s="145"/>
      <c r="P64" s="145"/>
      <c r="Q64" s="146"/>
    </row>
    <row r="65" spans="1:17" ht="9" customHeight="1">
      <c r="A65" s="124" t="s">
        <v>111</v>
      </c>
      <c r="B65" s="35" t="s">
        <v>120</v>
      </c>
      <c r="C65" s="143">
        <v>106412</v>
      </c>
      <c r="D65" s="36">
        <v>6</v>
      </c>
      <c r="E65" s="145">
        <v>15429177</v>
      </c>
      <c r="F65" s="146">
        <v>15789865</v>
      </c>
      <c r="G65" s="147"/>
      <c r="H65" s="145"/>
      <c r="I65" s="147"/>
      <c r="J65" s="146"/>
      <c r="K65" s="147"/>
      <c r="L65" s="145"/>
      <c r="M65" s="145"/>
      <c r="N65" s="145"/>
      <c r="O65" s="145"/>
      <c r="P65" s="145"/>
      <c r="Q65" s="146"/>
    </row>
    <row r="66" spans="1:17" ht="9" customHeight="1">
      <c r="A66" s="124" t="s">
        <v>111</v>
      </c>
      <c r="B66" s="152" t="s">
        <v>121</v>
      </c>
      <c r="C66" s="151">
        <v>106449</v>
      </c>
      <c r="D66" s="36">
        <v>7</v>
      </c>
      <c r="E66" s="145">
        <f>5814347+1444003</f>
        <v>7258350</v>
      </c>
      <c r="F66" s="146">
        <f>5903926+1689886</f>
        <v>7593812</v>
      </c>
      <c r="G66" s="147"/>
      <c r="H66" s="145"/>
      <c r="I66" s="147"/>
      <c r="J66" s="146"/>
      <c r="K66" s="147"/>
      <c r="L66" s="145"/>
      <c r="M66" s="145"/>
      <c r="N66" s="145"/>
      <c r="O66" s="145"/>
      <c r="P66" s="145"/>
      <c r="Q66" s="146"/>
    </row>
    <row r="67" spans="1:17" ht="9" customHeight="1">
      <c r="A67" s="124" t="s">
        <v>111</v>
      </c>
      <c r="B67" s="35" t="s">
        <v>122</v>
      </c>
      <c r="C67" s="143">
        <v>901090</v>
      </c>
      <c r="D67" s="36">
        <v>7</v>
      </c>
      <c r="E67" s="145">
        <v>1052078</v>
      </c>
      <c r="F67" s="146">
        <v>1058858</v>
      </c>
      <c r="G67" s="147"/>
      <c r="H67" s="145"/>
      <c r="I67" s="147"/>
      <c r="J67" s="146"/>
      <c r="K67" s="147"/>
      <c r="L67" s="145"/>
      <c r="M67" s="145"/>
      <c r="N67" s="145"/>
      <c r="O67" s="145"/>
      <c r="P67" s="145"/>
      <c r="Q67" s="146"/>
    </row>
    <row r="68" spans="1:17" ht="9" customHeight="1">
      <c r="A68" s="124" t="s">
        <v>111</v>
      </c>
      <c r="B68" s="35" t="s">
        <v>123</v>
      </c>
      <c r="C68" s="143">
        <v>106625</v>
      </c>
      <c r="D68" s="36">
        <v>7</v>
      </c>
      <c r="E68" s="145">
        <v>3211627</v>
      </c>
      <c r="F68" s="146">
        <v>3231172</v>
      </c>
      <c r="G68" s="147"/>
      <c r="H68" s="145"/>
      <c r="I68" s="147"/>
      <c r="J68" s="146"/>
      <c r="K68" s="147"/>
      <c r="L68" s="145"/>
      <c r="M68" s="145"/>
      <c r="N68" s="145"/>
      <c r="O68" s="145"/>
      <c r="P68" s="145"/>
      <c r="Q68" s="146"/>
    </row>
    <row r="69" spans="1:17" ht="9" customHeight="1">
      <c r="A69" s="124" t="s">
        <v>111</v>
      </c>
      <c r="B69" s="35" t="s">
        <v>124</v>
      </c>
      <c r="C69" s="143">
        <v>106795</v>
      </c>
      <c r="D69" s="36">
        <v>7</v>
      </c>
      <c r="E69" s="145">
        <v>1738198</v>
      </c>
      <c r="F69" s="146">
        <v>1744987</v>
      </c>
      <c r="G69" s="147"/>
      <c r="H69" s="145"/>
      <c r="I69" s="147"/>
      <c r="J69" s="146"/>
      <c r="K69" s="147"/>
      <c r="L69" s="145"/>
      <c r="M69" s="145"/>
      <c r="N69" s="145"/>
      <c r="O69" s="145"/>
      <c r="P69" s="145"/>
      <c r="Q69" s="146"/>
    </row>
    <row r="70" spans="1:17" ht="9" customHeight="1">
      <c r="A70" s="124" t="s">
        <v>111</v>
      </c>
      <c r="B70" s="35" t="s">
        <v>125</v>
      </c>
      <c r="C70" s="143">
        <v>106883</v>
      </c>
      <c r="D70" s="36">
        <v>7</v>
      </c>
      <c r="E70" s="145">
        <v>3564518</v>
      </c>
      <c r="F70" s="146">
        <v>3627647</v>
      </c>
      <c r="G70" s="147"/>
      <c r="H70" s="145"/>
      <c r="I70" s="147"/>
      <c r="J70" s="146"/>
      <c r="K70" s="147"/>
      <c r="L70" s="145"/>
      <c r="M70" s="145"/>
      <c r="N70" s="145"/>
      <c r="O70" s="145"/>
      <c r="P70" s="145"/>
      <c r="Q70" s="146"/>
    </row>
    <row r="71" spans="1:17" ht="9" customHeight="1">
      <c r="A71" s="124" t="s">
        <v>111</v>
      </c>
      <c r="B71" s="35" t="s">
        <v>126</v>
      </c>
      <c r="C71" s="143">
        <v>106980</v>
      </c>
      <c r="D71" s="36">
        <v>7</v>
      </c>
      <c r="E71" s="145">
        <v>4141719</v>
      </c>
      <c r="F71" s="146">
        <v>4178508</v>
      </c>
      <c r="G71" s="147"/>
      <c r="H71" s="145"/>
      <c r="I71" s="147"/>
      <c r="J71" s="146"/>
      <c r="K71" s="147"/>
      <c r="L71" s="145"/>
      <c r="M71" s="145"/>
      <c r="N71" s="145"/>
      <c r="O71" s="145"/>
      <c r="P71" s="145"/>
      <c r="Q71" s="146"/>
    </row>
    <row r="72" spans="1:17" ht="9" customHeight="1">
      <c r="A72" s="124" t="s">
        <v>111</v>
      </c>
      <c r="B72" s="35" t="s">
        <v>127</v>
      </c>
      <c r="C72" s="143">
        <v>106999</v>
      </c>
      <c r="D72" s="36">
        <v>7</v>
      </c>
      <c r="E72" s="145">
        <v>2023305</v>
      </c>
      <c r="F72" s="146">
        <v>2025112</v>
      </c>
      <c r="G72" s="147"/>
      <c r="H72" s="145"/>
      <c r="I72" s="147"/>
      <c r="J72" s="146"/>
      <c r="K72" s="147"/>
      <c r="L72" s="145"/>
      <c r="M72" s="145"/>
      <c r="N72" s="145"/>
      <c r="O72" s="145"/>
      <c r="P72" s="145"/>
      <c r="Q72" s="146"/>
    </row>
    <row r="73" spans="1:17" ht="9" customHeight="1">
      <c r="A73" s="124" t="s">
        <v>111</v>
      </c>
      <c r="B73" s="35" t="s">
        <v>128</v>
      </c>
      <c r="C73" s="143">
        <v>107318</v>
      </c>
      <c r="D73" s="36">
        <v>7</v>
      </c>
      <c r="E73" s="145">
        <v>2080800</v>
      </c>
      <c r="F73" s="146">
        <v>2230059</v>
      </c>
      <c r="G73" s="147"/>
      <c r="H73" s="145"/>
      <c r="I73" s="147"/>
      <c r="J73" s="146"/>
      <c r="K73" s="147"/>
      <c r="L73" s="145"/>
      <c r="M73" s="145"/>
      <c r="N73" s="145"/>
      <c r="O73" s="145"/>
      <c r="P73" s="145"/>
      <c r="Q73" s="146"/>
    </row>
    <row r="74" spans="1:17" ht="9" customHeight="1">
      <c r="A74" s="124" t="s">
        <v>111</v>
      </c>
      <c r="B74" s="35" t="s">
        <v>129</v>
      </c>
      <c r="C74" s="143">
        <v>107327</v>
      </c>
      <c r="D74" s="36">
        <v>7</v>
      </c>
      <c r="E74" s="145">
        <v>3805833</v>
      </c>
      <c r="F74" s="146">
        <v>3856990</v>
      </c>
      <c r="G74" s="147"/>
      <c r="H74" s="145"/>
      <c r="I74" s="147"/>
      <c r="J74" s="146"/>
      <c r="K74" s="147"/>
      <c r="L74" s="145"/>
      <c r="M74" s="145"/>
      <c r="N74" s="145"/>
      <c r="O74" s="145"/>
      <c r="P74" s="145"/>
      <c r="Q74" s="146"/>
    </row>
    <row r="75" spans="1:17" ht="9" customHeight="1">
      <c r="A75" s="124" t="s">
        <v>111</v>
      </c>
      <c r="B75" s="35" t="s">
        <v>130</v>
      </c>
      <c r="C75" s="143">
        <v>107460</v>
      </c>
      <c r="D75" s="36">
        <v>7</v>
      </c>
      <c r="E75" s="145">
        <v>5112281</v>
      </c>
      <c r="F75" s="146">
        <v>5251896</v>
      </c>
      <c r="G75" s="147"/>
      <c r="H75" s="145"/>
      <c r="I75" s="147"/>
      <c r="J75" s="146"/>
      <c r="K75" s="147"/>
      <c r="L75" s="145"/>
      <c r="M75" s="145"/>
      <c r="N75" s="145"/>
      <c r="O75" s="145"/>
      <c r="P75" s="145"/>
      <c r="Q75" s="146"/>
    </row>
    <row r="76" spans="1:17" ht="9" customHeight="1">
      <c r="A76" s="124" t="s">
        <v>111</v>
      </c>
      <c r="B76" s="35" t="s">
        <v>131</v>
      </c>
      <c r="C76" s="143">
        <v>367459</v>
      </c>
      <c r="D76" s="36">
        <v>7</v>
      </c>
      <c r="E76" s="145">
        <v>2782368</v>
      </c>
      <c r="F76" s="146">
        <v>2813714</v>
      </c>
      <c r="G76" s="147"/>
      <c r="H76" s="145"/>
      <c r="I76" s="147"/>
      <c r="J76" s="146"/>
      <c r="K76" s="147"/>
      <c r="L76" s="145"/>
      <c r="M76" s="145"/>
      <c r="N76" s="145"/>
      <c r="O76" s="145"/>
      <c r="P76" s="145"/>
      <c r="Q76" s="146"/>
    </row>
    <row r="77" spans="1:17" ht="9" customHeight="1">
      <c r="A77" s="124" t="s">
        <v>111</v>
      </c>
      <c r="B77" s="35" t="s">
        <v>132</v>
      </c>
      <c r="C77" s="143">
        <v>107521</v>
      </c>
      <c r="D77" s="36">
        <v>7</v>
      </c>
      <c r="E77" s="145">
        <v>1936397</v>
      </c>
      <c r="F77" s="146">
        <v>1916151</v>
      </c>
      <c r="G77" s="147"/>
      <c r="H77" s="145"/>
      <c r="I77" s="147"/>
      <c r="J77" s="146"/>
      <c r="K77" s="147"/>
      <c r="L77" s="145"/>
      <c r="M77" s="145"/>
      <c r="N77" s="145"/>
      <c r="O77" s="145"/>
      <c r="P77" s="145"/>
      <c r="Q77" s="146"/>
    </row>
    <row r="78" spans="1:17" ht="9" customHeight="1">
      <c r="A78" s="124" t="s">
        <v>111</v>
      </c>
      <c r="B78" s="35" t="s">
        <v>133</v>
      </c>
      <c r="C78" s="143">
        <v>107549</v>
      </c>
      <c r="D78" s="36">
        <v>7</v>
      </c>
      <c r="E78" s="145">
        <v>1739683</v>
      </c>
      <c r="F78" s="146">
        <v>1712583</v>
      </c>
      <c r="G78" s="147"/>
      <c r="H78" s="145"/>
      <c r="I78" s="147"/>
      <c r="J78" s="146"/>
      <c r="K78" s="147"/>
      <c r="L78" s="145"/>
      <c r="M78" s="145"/>
      <c r="N78" s="145"/>
      <c r="O78" s="145"/>
      <c r="P78" s="145"/>
      <c r="Q78" s="146"/>
    </row>
    <row r="79" spans="1:17" ht="9" customHeight="1">
      <c r="A79" s="124" t="s">
        <v>111</v>
      </c>
      <c r="B79" s="35" t="s">
        <v>134</v>
      </c>
      <c r="C79" s="143">
        <v>107585</v>
      </c>
      <c r="D79" s="36">
        <v>7</v>
      </c>
      <c r="E79" s="145">
        <v>2429093</v>
      </c>
      <c r="F79" s="146">
        <v>2458629</v>
      </c>
      <c r="G79" s="147"/>
      <c r="H79" s="145"/>
      <c r="I79" s="147"/>
      <c r="J79" s="146"/>
      <c r="K79" s="147"/>
      <c r="L79" s="145"/>
      <c r="M79" s="145"/>
      <c r="N79" s="145"/>
      <c r="O79" s="145"/>
      <c r="P79" s="145"/>
      <c r="Q79" s="146"/>
    </row>
    <row r="80" spans="1:17" ht="9" customHeight="1">
      <c r="A80" s="124" t="s">
        <v>111</v>
      </c>
      <c r="B80" s="35" t="s">
        <v>135</v>
      </c>
      <c r="C80" s="143">
        <v>107619</v>
      </c>
      <c r="D80" s="36">
        <v>7</v>
      </c>
      <c r="E80" s="145">
        <v>5126253</v>
      </c>
      <c r="F80" s="146">
        <v>6188155</v>
      </c>
      <c r="G80" s="147"/>
      <c r="H80" s="145"/>
      <c r="I80" s="147"/>
      <c r="J80" s="146"/>
      <c r="K80" s="147"/>
      <c r="L80" s="145"/>
      <c r="M80" s="145"/>
      <c r="N80" s="145"/>
      <c r="O80" s="145"/>
      <c r="P80" s="145"/>
      <c r="Q80" s="146"/>
    </row>
    <row r="81" spans="1:17" ht="9" customHeight="1">
      <c r="A81" s="124" t="s">
        <v>111</v>
      </c>
      <c r="B81" s="35" t="s">
        <v>136</v>
      </c>
      <c r="C81" s="143">
        <v>107637</v>
      </c>
      <c r="D81" s="36">
        <v>7</v>
      </c>
      <c r="E81" s="145">
        <v>2855631</v>
      </c>
      <c r="F81" s="146">
        <v>3187584</v>
      </c>
      <c r="G81" s="147"/>
      <c r="H81" s="145"/>
      <c r="I81" s="147"/>
      <c r="J81" s="146"/>
      <c r="K81" s="147"/>
      <c r="L81" s="145"/>
      <c r="M81" s="145"/>
      <c r="N81" s="145"/>
      <c r="O81" s="145"/>
      <c r="P81" s="145"/>
      <c r="Q81" s="146"/>
    </row>
    <row r="82" spans="1:17" ht="9" customHeight="1">
      <c r="A82" s="124" t="s">
        <v>111</v>
      </c>
      <c r="B82" s="35" t="s">
        <v>137</v>
      </c>
      <c r="C82" s="143">
        <v>107664</v>
      </c>
      <c r="D82" s="36">
        <v>7</v>
      </c>
      <c r="E82" s="145">
        <v>4182041</v>
      </c>
      <c r="F82" s="146">
        <v>4192584</v>
      </c>
      <c r="G82" s="147"/>
      <c r="H82" s="145"/>
      <c r="I82" s="147"/>
      <c r="J82" s="146"/>
      <c r="K82" s="147"/>
      <c r="L82" s="145"/>
      <c r="M82" s="145"/>
      <c r="N82" s="145"/>
      <c r="O82" s="145"/>
      <c r="P82" s="145"/>
      <c r="Q82" s="146"/>
    </row>
    <row r="83" spans="1:17" ht="9" customHeight="1">
      <c r="A83" s="124" t="s">
        <v>111</v>
      </c>
      <c r="B83" s="35" t="s">
        <v>138</v>
      </c>
      <c r="C83" s="143">
        <v>107725</v>
      </c>
      <c r="D83" s="36">
        <v>7</v>
      </c>
      <c r="E83" s="145">
        <v>2799521</v>
      </c>
      <c r="F83" s="146">
        <v>2807052</v>
      </c>
      <c r="G83" s="147"/>
      <c r="H83" s="145"/>
      <c r="I83" s="147"/>
      <c r="J83" s="146"/>
      <c r="K83" s="147"/>
      <c r="L83" s="145"/>
      <c r="M83" s="145"/>
      <c r="N83" s="145"/>
      <c r="O83" s="145"/>
      <c r="P83" s="145"/>
      <c r="Q83" s="146"/>
    </row>
    <row r="84" spans="1:17" ht="9" customHeight="1">
      <c r="A84" s="124" t="s">
        <v>111</v>
      </c>
      <c r="B84" s="35" t="s">
        <v>139</v>
      </c>
      <c r="C84" s="143">
        <v>107743</v>
      </c>
      <c r="D84" s="36">
        <v>7</v>
      </c>
      <c r="E84" s="145">
        <v>1622282</v>
      </c>
      <c r="F84" s="146">
        <v>1639763</v>
      </c>
      <c r="G84" s="147"/>
      <c r="H84" s="145"/>
      <c r="I84" s="147"/>
      <c r="J84" s="146"/>
      <c r="K84" s="147"/>
      <c r="L84" s="145"/>
      <c r="M84" s="145"/>
      <c r="N84" s="145"/>
      <c r="O84" s="145"/>
      <c r="P84" s="145"/>
      <c r="Q84" s="146"/>
    </row>
    <row r="85" spans="1:17" ht="9" customHeight="1">
      <c r="A85" s="124" t="s">
        <v>111</v>
      </c>
      <c r="B85" s="35" t="s">
        <v>140</v>
      </c>
      <c r="C85" s="143"/>
      <c r="D85" s="36">
        <v>7</v>
      </c>
      <c r="E85" s="145">
        <v>3659147</v>
      </c>
      <c r="F85" s="146">
        <v>3761392</v>
      </c>
      <c r="G85" s="147"/>
      <c r="H85" s="145"/>
      <c r="I85" s="147"/>
      <c r="J85" s="146"/>
      <c r="K85" s="147"/>
      <c r="L85" s="145"/>
      <c r="M85" s="145"/>
      <c r="N85" s="145"/>
      <c r="O85" s="145"/>
      <c r="P85" s="145"/>
      <c r="Q85" s="146"/>
    </row>
    <row r="86" spans="1:17" ht="9" customHeight="1">
      <c r="A86" s="124" t="s">
        <v>111</v>
      </c>
      <c r="B86" s="35" t="s">
        <v>141</v>
      </c>
      <c r="C86" s="143">
        <v>107992</v>
      </c>
      <c r="D86" s="36">
        <v>7</v>
      </c>
      <c r="E86" s="145">
        <v>3052348</v>
      </c>
      <c r="F86" s="146">
        <v>3066804</v>
      </c>
      <c r="G86" s="147"/>
      <c r="H86" s="145"/>
      <c r="I86" s="147"/>
      <c r="J86" s="146"/>
      <c r="K86" s="147"/>
      <c r="L86" s="145"/>
      <c r="M86" s="145"/>
      <c r="N86" s="145"/>
      <c r="O86" s="145"/>
      <c r="P86" s="145"/>
      <c r="Q86" s="146"/>
    </row>
    <row r="87" spans="1:17" ht="9" customHeight="1">
      <c r="A87" s="124" t="s">
        <v>111</v>
      </c>
      <c r="B87" s="35" t="s">
        <v>142</v>
      </c>
      <c r="C87" s="143">
        <v>108092</v>
      </c>
      <c r="D87" s="36">
        <v>7</v>
      </c>
      <c r="E87" s="145">
        <v>12815178</v>
      </c>
      <c r="F87" s="146">
        <v>12759938</v>
      </c>
      <c r="G87" s="147"/>
      <c r="H87" s="145"/>
      <c r="I87" s="147"/>
      <c r="J87" s="146"/>
      <c r="K87" s="147"/>
      <c r="L87" s="145"/>
      <c r="M87" s="145"/>
      <c r="N87" s="145"/>
      <c r="O87" s="145"/>
      <c r="P87" s="145"/>
      <c r="Q87" s="146"/>
    </row>
    <row r="88" spans="1:17" ht="9" customHeight="1">
      <c r="A88" s="124" t="s">
        <v>111</v>
      </c>
      <c r="B88" s="35" t="s">
        <v>143</v>
      </c>
      <c r="C88" s="143">
        <v>106263</v>
      </c>
      <c r="D88" s="36">
        <v>9</v>
      </c>
      <c r="E88" s="35"/>
      <c r="F88" s="146"/>
      <c r="G88" s="147"/>
      <c r="H88" s="145"/>
      <c r="I88" s="145"/>
      <c r="J88" s="146">
        <v>61000809</v>
      </c>
      <c r="K88" s="147"/>
      <c r="L88" s="145"/>
      <c r="M88" s="145"/>
      <c r="N88" s="145"/>
      <c r="O88" s="145"/>
      <c r="P88" s="145"/>
      <c r="Q88" s="146"/>
    </row>
    <row r="89" spans="1:17" ht="9" customHeight="1">
      <c r="A89" s="124" t="s">
        <v>144</v>
      </c>
      <c r="B89" s="35" t="s">
        <v>145</v>
      </c>
      <c r="C89" s="35" t="s">
        <v>146</v>
      </c>
      <c r="D89" s="153">
        <v>1</v>
      </c>
      <c r="E89" s="145">
        <v>178594065</v>
      </c>
      <c r="F89" s="146">
        <v>185413153</v>
      </c>
      <c r="G89" s="145"/>
      <c r="H89" s="146"/>
      <c r="I89" s="145"/>
      <c r="J89" s="145"/>
      <c r="K89" s="145"/>
      <c r="L89" s="145"/>
      <c r="M89" s="145"/>
      <c r="N89" s="145"/>
      <c r="O89" s="145"/>
      <c r="P89" s="35"/>
      <c r="Q89" s="36"/>
    </row>
    <row r="90" spans="1:17" ht="9" customHeight="1">
      <c r="A90" s="124" t="s">
        <v>144</v>
      </c>
      <c r="B90" s="35" t="s">
        <v>147</v>
      </c>
      <c r="C90" s="35" t="s">
        <v>148</v>
      </c>
      <c r="D90" s="153">
        <v>1</v>
      </c>
      <c r="E90" s="145">
        <v>210734613</v>
      </c>
      <c r="F90" s="146">
        <v>222447649</v>
      </c>
      <c r="G90" s="35"/>
      <c r="H90" s="35"/>
      <c r="I90" s="145" t="s">
        <v>954</v>
      </c>
      <c r="J90" s="146">
        <v>99934251</v>
      </c>
      <c r="K90" s="145"/>
      <c r="L90" s="145"/>
      <c r="M90" s="145"/>
      <c r="N90" s="145"/>
      <c r="O90" s="145"/>
      <c r="P90" s="35"/>
      <c r="Q90" s="36"/>
    </row>
    <row r="91" spans="1:17" ht="9" customHeight="1">
      <c r="A91" s="124" t="s">
        <v>144</v>
      </c>
      <c r="B91" s="154" t="s">
        <v>149</v>
      </c>
      <c r="C91" s="154" t="s">
        <v>150</v>
      </c>
      <c r="D91" s="155">
        <v>1</v>
      </c>
      <c r="E91" s="145">
        <v>162351139</v>
      </c>
      <c r="F91" s="146">
        <v>170994016</v>
      </c>
      <c r="G91" s="35"/>
      <c r="H91" s="35"/>
      <c r="I91" s="145" t="s">
        <v>955</v>
      </c>
      <c r="J91" s="146">
        <v>54144981</v>
      </c>
      <c r="K91" s="145"/>
      <c r="L91" s="145"/>
      <c r="M91" s="145"/>
      <c r="N91" s="145"/>
      <c r="O91" s="145"/>
      <c r="P91" s="35"/>
      <c r="Q91" s="36"/>
    </row>
    <row r="92" spans="1:17" ht="9" customHeight="1">
      <c r="A92" s="124" t="s">
        <v>144</v>
      </c>
      <c r="B92" s="35" t="s">
        <v>151</v>
      </c>
      <c r="C92" s="35" t="s">
        <v>152</v>
      </c>
      <c r="D92" s="153">
        <v>2</v>
      </c>
      <c r="E92" s="145">
        <v>82091625</v>
      </c>
      <c r="F92" s="146">
        <v>88630739</v>
      </c>
      <c r="G92" s="145"/>
      <c r="H92" s="146"/>
      <c r="I92" s="145"/>
      <c r="J92" s="145"/>
      <c r="K92" s="145"/>
      <c r="L92" s="145"/>
      <c r="M92" s="145"/>
      <c r="N92" s="145"/>
      <c r="O92" s="145"/>
      <c r="P92" s="35"/>
      <c r="Q92" s="36"/>
    </row>
    <row r="93" spans="1:17" ht="9" customHeight="1">
      <c r="A93" s="124" t="s">
        <v>144</v>
      </c>
      <c r="B93" s="154" t="s">
        <v>153</v>
      </c>
      <c r="C93" s="154" t="s">
        <v>154</v>
      </c>
      <c r="D93" s="155">
        <v>2</v>
      </c>
      <c r="E93" s="145">
        <v>101225766</v>
      </c>
      <c r="F93" s="146">
        <v>107383794</v>
      </c>
      <c r="G93" s="145"/>
      <c r="H93" s="146"/>
      <c r="I93" s="145"/>
      <c r="J93" s="145"/>
      <c r="K93" s="145"/>
      <c r="L93" s="145"/>
      <c r="M93" s="145"/>
      <c r="N93" s="145"/>
      <c r="O93" s="145"/>
      <c r="P93" s="35"/>
      <c r="Q93" s="36"/>
    </row>
    <row r="94" spans="1:17" ht="9" customHeight="1">
      <c r="A94" s="124" t="s">
        <v>144</v>
      </c>
      <c r="B94" s="154" t="s">
        <v>155</v>
      </c>
      <c r="C94" s="154" t="s">
        <v>156</v>
      </c>
      <c r="D94" s="155">
        <v>3</v>
      </c>
      <c r="E94" s="145">
        <v>111263674</v>
      </c>
      <c r="F94" s="146">
        <v>123971629</v>
      </c>
      <c r="G94" s="145"/>
      <c r="H94" s="146"/>
      <c r="I94" s="145"/>
      <c r="J94" s="145"/>
      <c r="K94" s="145"/>
      <c r="L94" s="145"/>
      <c r="M94" s="145"/>
      <c r="N94" s="145"/>
      <c r="O94" s="145"/>
      <c r="P94" s="35"/>
      <c r="Q94" s="36"/>
    </row>
    <row r="95" spans="1:17" ht="9" customHeight="1">
      <c r="A95" s="124" t="s">
        <v>144</v>
      </c>
      <c r="B95" s="35" t="s">
        <v>157</v>
      </c>
      <c r="C95" s="35" t="s">
        <v>158</v>
      </c>
      <c r="D95" s="153">
        <v>3</v>
      </c>
      <c r="E95" s="145">
        <v>39772918</v>
      </c>
      <c r="F95" s="146">
        <v>41078842</v>
      </c>
      <c r="G95" s="145"/>
      <c r="H95" s="146"/>
      <c r="I95" s="145"/>
      <c r="J95" s="145"/>
      <c r="K95" s="145"/>
      <c r="L95" s="145"/>
      <c r="M95" s="145"/>
      <c r="N95" s="145"/>
      <c r="O95" s="145"/>
      <c r="P95" s="35"/>
      <c r="Q95" s="36"/>
    </row>
    <row r="96" spans="1:17" ht="9" customHeight="1">
      <c r="A96" s="124" t="s">
        <v>144</v>
      </c>
      <c r="B96" s="154" t="s">
        <v>159</v>
      </c>
      <c r="C96" s="154" t="s">
        <v>160</v>
      </c>
      <c r="D96" s="155">
        <v>4</v>
      </c>
      <c r="E96" s="145">
        <v>61046384</v>
      </c>
      <c r="F96" s="146">
        <v>64068876</v>
      </c>
      <c r="G96" s="145"/>
      <c r="H96" s="146"/>
      <c r="I96" s="145"/>
      <c r="J96" s="145"/>
      <c r="K96" s="145"/>
      <c r="L96" s="145"/>
      <c r="M96" s="145"/>
      <c r="N96" s="145"/>
      <c r="O96" s="145"/>
      <c r="P96" s="35"/>
      <c r="Q96" s="36"/>
    </row>
    <row r="97" spans="1:17" ht="9" customHeight="1">
      <c r="A97" s="124" t="s">
        <v>144</v>
      </c>
      <c r="B97" s="35" t="s">
        <v>161</v>
      </c>
      <c r="C97" s="35" t="s">
        <v>162</v>
      </c>
      <c r="D97" s="153">
        <v>4</v>
      </c>
      <c r="E97" s="145">
        <v>39335261</v>
      </c>
      <c r="F97" s="146">
        <v>42085593</v>
      </c>
      <c r="G97" s="145"/>
      <c r="H97" s="146"/>
      <c r="I97" s="145"/>
      <c r="J97" s="145"/>
      <c r="K97" s="145"/>
      <c r="L97" s="145"/>
      <c r="M97" s="145"/>
      <c r="N97" s="145"/>
      <c r="O97" s="145"/>
      <c r="P97" s="35"/>
      <c r="Q97" s="36"/>
    </row>
    <row r="98" spans="1:17" ht="9" customHeight="1">
      <c r="A98" s="124" t="s">
        <v>144</v>
      </c>
      <c r="B98" s="152" t="s">
        <v>956</v>
      </c>
      <c r="C98" s="145" t="s">
        <v>957</v>
      </c>
      <c r="D98" s="146"/>
      <c r="E98" s="145">
        <v>10146053</v>
      </c>
      <c r="F98" s="146">
        <v>22043570</v>
      </c>
      <c r="G98" s="145"/>
      <c r="H98" s="146"/>
      <c r="I98" s="145"/>
      <c r="J98" s="145"/>
      <c r="K98" s="145"/>
      <c r="L98" s="145"/>
      <c r="M98" s="145"/>
      <c r="N98" s="145"/>
      <c r="O98" s="145"/>
      <c r="P98" s="35"/>
      <c r="Q98" s="36"/>
    </row>
    <row r="99" spans="1:17" ht="9" customHeight="1">
      <c r="A99" s="124" t="s">
        <v>144</v>
      </c>
      <c r="B99" s="35" t="s">
        <v>166</v>
      </c>
      <c r="C99" s="35">
        <v>132693</v>
      </c>
      <c r="D99" s="144" t="s">
        <v>167</v>
      </c>
      <c r="E99" s="156">
        <v>28164270.92277992</v>
      </c>
      <c r="F99" s="157">
        <v>28997554</v>
      </c>
      <c r="G99" s="147"/>
      <c r="H99" s="145"/>
      <c r="I99" s="147"/>
      <c r="J99" s="146"/>
      <c r="K99" s="147"/>
      <c r="L99" s="145"/>
      <c r="M99" s="145"/>
      <c r="N99" s="145"/>
      <c r="O99" s="145"/>
      <c r="P99" s="145"/>
      <c r="Q99" s="146"/>
    </row>
    <row r="100" spans="1:17" ht="9" customHeight="1">
      <c r="A100" s="124" t="s">
        <v>144</v>
      </c>
      <c r="B100" s="35" t="s">
        <v>168</v>
      </c>
      <c r="C100" s="35">
        <v>132709</v>
      </c>
      <c r="D100" s="144" t="s">
        <v>167</v>
      </c>
      <c r="E100" s="35">
        <v>41249596.69137709</v>
      </c>
      <c r="F100" s="36">
        <v>44276010</v>
      </c>
      <c r="G100" s="147"/>
      <c r="H100" s="145"/>
      <c r="I100" s="147"/>
      <c r="J100" s="146"/>
      <c r="K100" s="147"/>
      <c r="L100" s="145"/>
      <c r="M100" s="145"/>
      <c r="N100" s="145"/>
      <c r="O100" s="145"/>
      <c r="P100" s="145"/>
      <c r="Q100" s="146"/>
    </row>
    <row r="101" spans="1:17" ht="9" customHeight="1">
      <c r="A101" s="124" t="s">
        <v>144</v>
      </c>
      <c r="B101" s="35" t="s">
        <v>169</v>
      </c>
      <c r="C101" s="35">
        <v>132851</v>
      </c>
      <c r="D101" s="144" t="s">
        <v>167</v>
      </c>
      <c r="E101" s="35">
        <v>11674296.876447877</v>
      </c>
      <c r="F101" s="36">
        <v>12340289</v>
      </c>
      <c r="G101" s="147"/>
      <c r="H101" s="145"/>
      <c r="I101" s="147"/>
      <c r="J101" s="146"/>
      <c r="K101" s="147"/>
      <c r="L101" s="145"/>
      <c r="M101" s="145"/>
      <c r="N101" s="145"/>
      <c r="O101" s="145"/>
      <c r="P101" s="145"/>
      <c r="Q101" s="146"/>
    </row>
    <row r="102" spans="1:17" ht="9" customHeight="1">
      <c r="A102" s="124" t="s">
        <v>144</v>
      </c>
      <c r="B102" s="35" t="s">
        <v>170</v>
      </c>
      <c r="C102" s="35">
        <v>133021</v>
      </c>
      <c r="D102" s="144" t="s">
        <v>167</v>
      </c>
      <c r="E102" s="35">
        <v>6335274.882110682</v>
      </c>
      <c r="F102" s="36">
        <v>6457582</v>
      </c>
      <c r="G102" s="147"/>
      <c r="H102" s="145"/>
      <c r="I102" s="147"/>
      <c r="J102" s="146"/>
      <c r="K102" s="147"/>
      <c r="L102" s="145"/>
      <c r="M102" s="145"/>
      <c r="N102" s="145"/>
      <c r="O102" s="145"/>
      <c r="P102" s="145"/>
      <c r="Q102" s="146"/>
    </row>
    <row r="103" spans="1:17" ht="9" customHeight="1">
      <c r="A103" s="124" t="s">
        <v>144</v>
      </c>
      <c r="B103" s="35" t="s">
        <v>171</v>
      </c>
      <c r="C103" s="35">
        <v>133386</v>
      </c>
      <c r="D103" s="144" t="s">
        <v>167</v>
      </c>
      <c r="E103" s="35">
        <v>31521002.085456885</v>
      </c>
      <c r="F103" s="36">
        <v>33845506</v>
      </c>
      <c r="G103" s="147"/>
      <c r="H103" s="145"/>
      <c r="I103" s="147"/>
      <c r="J103" s="146"/>
      <c r="K103" s="147"/>
      <c r="L103" s="145"/>
      <c r="M103" s="145"/>
      <c r="N103" s="145"/>
      <c r="O103" s="145"/>
      <c r="P103" s="145"/>
      <c r="Q103" s="146"/>
    </row>
    <row r="104" spans="1:17" ht="9" customHeight="1">
      <c r="A104" s="124" t="s">
        <v>144</v>
      </c>
      <c r="B104" s="35" t="s">
        <v>172</v>
      </c>
      <c r="C104" s="35">
        <v>133508</v>
      </c>
      <c r="D104" s="144" t="s">
        <v>167</v>
      </c>
      <c r="E104" s="35">
        <v>14745718.684427284</v>
      </c>
      <c r="F104" s="36">
        <v>16415252</v>
      </c>
      <c r="G104" s="147"/>
      <c r="H104" s="145"/>
      <c r="I104" s="147"/>
      <c r="J104" s="146"/>
      <c r="K104" s="147"/>
      <c r="L104" s="145"/>
      <c r="M104" s="145"/>
      <c r="N104" s="145"/>
      <c r="O104" s="145"/>
      <c r="P104" s="145"/>
      <c r="Q104" s="146"/>
    </row>
    <row r="105" spans="1:17" ht="9" customHeight="1">
      <c r="A105" s="124" t="s">
        <v>144</v>
      </c>
      <c r="B105" s="35" t="s">
        <v>173</v>
      </c>
      <c r="C105" s="35">
        <v>133702</v>
      </c>
      <c r="D105" s="144" t="s">
        <v>167</v>
      </c>
      <c r="E105" s="35">
        <v>58483036.98507079</v>
      </c>
      <c r="F105" s="36">
        <v>60686949</v>
      </c>
      <c r="G105" s="147"/>
      <c r="H105" s="145"/>
      <c r="I105" s="147"/>
      <c r="J105" s="146"/>
      <c r="K105" s="147"/>
      <c r="L105" s="145"/>
      <c r="M105" s="145"/>
      <c r="N105" s="145"/>
      <c r="O105" s="145"/>
      <c r="P105" s="145"/>
      <c r="Q105" s="146"/>
    </row>
    <row r="106" spans="1:17" ht="9" customHeight="1">
      <c r="A106" s="124" t="s">
        <v>144</v>
      </c>
      <c r="B106" s="35" t="s">
        <v>174</v>
      </c>
      <c r="C106" s="35">
        <v>133960</v>
      </c>
      <c r="D106" s="144" t="s">
        <v>167</v>
      </c>
      <c r="E106" s="35">
        <v>4520998.741055341</v>
      </c>
      <c r="F106" s="36">
        <v>4818945</v>
      </c>
      <c r="G106" s="147"/>
      <c r="H106" s="145"/>
      <c r="I106" s="147"/>
      <c r="J106" s="146"/>
      <c r="K106" s="147"/>
      <c r="L106" s="145"/>
      <c r="M106" s="145"/>
      <c r="N106" s="145"/>
      <c r="O106" s="145"/>
      <c r="P106" s="145"/>
      <c r="Q106" s="146"/>
    </row>
    <row r="107" spans="1:17" ht="9" customHeight="1">
      <c r="A107" s="124" t="s">
        <v>144</v>
      </c>
      <c r="B107" s="35" t="s">
        <v>175</v>
      </c>
      <c r="C107" s="35">
        <v>134343</v>
      </c>
      <c r="D107" s="144" t="s">
        <v>167</v>
      </c>
      <c r="E107" s="35">
        <v>10806571.465379665</v>
      </c>
      <c r="F107" s="36">
        <v>11615868</v>
      </c>
      <c r="G107" s="147"/>
      <c r="H107" s="145"/>
      <c r="I107" s="147"/>
      <c r="J107" s="146"/>
      <c r="K107" s="147"/>
      <c r="L107" s="145"/>
      <c r="M107" s="145"/>
      <c r="N107" s="145"/>
      <c r="O107" s="145"/>
      <c r="P107" s="145"/>
      <c r="Q107" s="146"/>
    </row>
    <row r="108" spans="1:17" ht="9" customHeight="1">
      <c r="A108" s="124" t="s">
        <v>144</v>
      </c>
      <c r="B108" s="35" t="s">
        <v>176</v>
      </c>
      <c r="C108" s="35">
        <v>134495</v>
      </c>
      <c r="D108" s="144" t="s">
        <v>167</v>
      </c>
      <c r="E108" s="35">
        <v>33247245.125096526</v>
      </c>
      <c r="F108" s="36">
        <v>35187911</v>
      </c>
      <c r="G108" s="147"/>
      <c r="H108" s="145"/>
      <c r="I108" s="147"/>
      <c r="J108" s="146"/>
      <c r="K108" s="147"/>
      <c r="L108" s="145"/>
      <c r="M108" s="145"/>
      <c r="N108" s="145"/>
      <c r="O108" s="145"/>
      <c r="P108" s="145"/>
      <c r="Q108" s="146"/>
    </row>
    <row r="109" spans="1:17" ht="9" customHeight="1">
      <c r="A109" s="124" t="s">
        <v>144</v>
      </c>
      <c r="B109" s="35" t="s">
        <v>177</v>
      </c>
      <c r="C109" s="35">
        <v>134608</v>
      </c>
      <c r="D109" s="144" t="s">
        <v>167</v>
      </c>
      <c r="E109" s="35">
        <v>23996802.42084942</v>
      </c>
      <c r="F109" s="36">
        <v>26358184</v>
      </c>
      <c r="G109" s="147"/>
      <c r="H109" s="145"/>
      <c r="I109" s="147"/>
      <c r="J109" s="146"/>
      <c r="K109" s="147"/>
      <c r="L109" s="145"/>
      <c r="M109" s="145"/>
      <c r="N109" s="145"/>
      <c r="O109" s="145"/>
      <c r="P109" s="145"/>
      <c r="Q109" s="146"/>
    </row>
    <row r="110" spans="1:17" ht="9" customHeight="1">
      <c r="A110" s="124" t="s">
        <v>144</v>
      </c>
      <c r="B110" s="35" t="s">
        <v>178</v>
      </c>
      <c r="C110" s="35">
        <v>135160</v>
      </c>
      <c r="D110" s="144" t="s">
        <v>167</v>
      </c>
      <c r="E110" s="35">
        <v>9342713.057400258</v>
      </c>
      <c r="F110" s="36">
        <v>9468246</v>
      </c>
      <c r="G110" s="147"/>
      <c r="H110" s="145"/>
      <c r="I110" s="147"/>
      <c r="J110" s="146"/>
      <c r="K110" s="147"/>
      <c r="L110" s="145"/>
      <c r="M110" s="145"/>
      <c r="N110" s="145"/>
      <c r="O110" s="145"/>
      <c r="P110" s="145"/>
      <c r="Q110" s="146"/>
    </row>
    <row r="111" spans="1:17" ht="9" customHeight="1">
      <c r="A111" s="124" t="s">
        <v>144</v>
      </c>
      <c r="B111" s="35" t="s">
        <v>179</v>
      </c>
      <c r="C111" s="35">
        <v>135188</v>
      </c>
      <c r="D111" s="144" t="s">
        <v>167</v>
      </c>
      <c r="E111" s="35">
        <v>4998510.042985843</v>
      </c>
      <c r="F111" s="36">
        <v>5165808</v>
      </c>
      <c r="G111" s="147"/>
      <c r="H111" s="145"/>
      <c r="I111" s="147"/>
      <c r="J111" s="146"/>
      <c r="K111" s="147"/>
      <c r="L111" s="145"/>
      <c r="M111" s="145"/>
      <c r="N111" s="145"/>
      <c r="O111" s="145"/>
      <c r="P111" s="145"/>
      <c r="Q111" s="146"/>
    </row>
    <row r="112" spans="1:17" ht="9" customHeight="1">
      <c r="A112" s="124" t="s">
        <v>144</v>
      </c>
      <c r="B112" s="35" t="s">
        <v>180</v>
      </c>
      <c r="C112" s="35">
        <v>135391</v>
      </c>
      <c r="D112" s="144" t="s">
        <v>167</v>
      </c>
      <c r="E112" s="35">
        <v>14074090.275675675</v>
      </c>
      <c r="F112" s="36">
        <v>14554099</v>
      </c>
      <c r="G112" s="147"/>
      <c r="H112" s="145"/>
      <c r="I112" s="147"/>
      <c r="J112" s="146"/>
      <c r="K112" s="147"/>
      <c r="L112" s="145"/>
      <c r="M112" s="145"/>
      <c r="N112" s="145"/>
      <c r="O112" s="145"/>
      <c r="P112" s="145"/>
      <c r="Q112" s="146"/>
    </row>
    <row r="113" spans="1:17" ht="9" customHeight="1">
      <c r="A113" s="124" t="s">
        <v>144</v>
      </c>
      <c r="B113" s="35" t="s">
        <v>181</v>
      </c>
      <c r="C113" s="35">
        <v>135717</v>
      </c>
      <c r="D113" s="144" t="s">
        <v>167</v>
      </c>
      <c r="E113" s="35">
        <v>108870298.31428571</v>
      </c>
      <c r="F113" s="36">
        <v>114751994</v>
      </c>
      <c r="G113" s="147"/>
      <c r="H113" s="145"/>
      <c r="I113" s="147"/>
      <c r="J113" s="146"/>
      <c r="K113" s="147"/>
      <c r="L113" s="145"/>
      <c r="M113" s="145"/>
      <c r="N113" s="145"/>
      <c r="O113" s="145"/>
      <c r="P113" s="145"/>
      <c r="Q113" s="146"/>
    </row>
    <row r="114" spans="1:17" ht="9" customHeight="1">
      <c r="A114" s="124" t="s">
        <v>144</v>
      </c>
      <c r="B114" s="35" t="s">
        <v>182</v>
      </c>
      <c r="C114" s="35">
        <v>136145</v>
      </c>
      <c r="D114" s="144" t="s">
        <v>167</v>
      </c>
      <c r="E114" s="35">
        <v>4165459.4277992276</v>
      </c>
      <c r="F114" s="36">
        <v>4312878</v>
      </c>
      <c r="G114" s="147"/>
      <c r="H114" s="145"/>
      <c r="I114" s="147"/>
      <c r="J114" s="146"/>
      <c r="K114" s="147"/>
      <c r="L114" s="145"/>
      <c r="M114" s="145"/>
      <c r="N114" s="145"/>
      <c r="O114" s="145"/>
      <c r="P114" s="145"/>
      <c r="Q114" s="146"/>
    </row>
    <row r="115" spans="1:17" ht="9" customHeight="1">
      <c r="A115" s="124" t="s">
        <v>144</v>
      </c>
      <c r="B115" s="35" t="s">
        <v>183</v>
      </c>
      <c r="C115" s="35">
        <v>136233</v>
      </c>
      <c r="D115" s="144" t="s">
        <v>167</v>
      </c>
      <c r="E115" s="35">
        <v>11893623.94954955</v>
      </c>
      <c r="F115" s="36">
        <v>12086279</v>
      </c>
      <c r="G115" s="147"/>
      <c r="H115" s="145"/>
      <c r="I115" s="147"/>
      <c r="J115" s="146"/>
      <c r="K115" s="147"/>
      <c r="L115" s="145"/>
      <c r="M115" s="145"/>
      <c r="N115" s="145"/>
      <c r="O115" s="145"/>
      <c r="P115" s="145"/>
      <c r="Q115" s="146"/>
    </row>
    <row r="116" spans="1:17" ht="9" customHeight="1">
      <c r="A116" s="124" t="s">
        <v>144</v>
      </c>
      <c r="B116" s="35" t="s">
        <v>184</v>
      </c>
      <c r="C116" s="35">
        <v>136358</v>
      </c>
      <c r="D116" s="144" t="s">
        <v>167</v>
      </c>
      <c r="E116" s="35">
        <v>27539204.756499358</v>
      </c>
      <c r="F116" s="36">
        <v>28182741</v>
      </c>
      <c r="G116" s="147"/>
      <c r="H116" s="145"/>
      <c r="I116" s="147"/>
      <c r="J116" s="146"/>
      <c r="K116" s="147"/>
      <c r="L116" s="145"/>
      <c r="M116" s="145"/>
      <c r="N116" s="145"/>
      <c r="O116" s="145"/>
      <c r="P116" s="145"/>
      <c r="Q116" s="146"/>
    </row>
    <row r="117" spans="1:17" ht="9" customHeight="1">
      <c r="A117" s="124" t="s">
        <v>144</v>
      </c>
      <c r="B117" s="35" t="s">
        <v>185</v>
      </c>
      <c r="C117" s="35">
        <v>136400</v>
      </c>
      <c r="D117" s="144" t="s">
        <v>167</v>
      </c>
      <c r="E117" s="35">
        <v>9824015.780437581</v>
      </c>
      <c r="F117" s="36">
        <v>11086616</v>
      </c>
      <c r="G117" s="147"/>
      <c r="H117" s="145"/>
      <c r="I117" s="147"/>
      <c r="J117" s="146"/>
      <c r="K117" s="147"/>
      <c r="L117" s="145"/>
      <c r="M117" s="145"/>
      <c r="N117" s="145"/>
      <c r="O117" s="145"/>
      <c r="P117" s="145"/>
      <c r="Q117" s="146"/>
    </row>
    <row r="118" spans="1:17" ht="9" customHeight="1">
      <c r="A118" s="124" t="s">
        <v>144</v>
      </c>
      <c r="B118" s="35" t="s">
        <v>186</v>
      </c>
      <c r="C118" s="35">
        <v>136473</v>
      </c>
      <c r="D118" s="144" t="s">
        <v>167</v>
      </c>
      <c r="E118" s="35">
        <v>28772785.00875161</v>
      </c>
      <c r="F118" s="36">
        <v>29264589</v>
      </c>
      <c r="G118" s="147"/>
      <c r="H118" s="145"/>
      <c r="I118" s="147"/>
      <c r="J118" s="146"/>
      <c r="K118" s="147"/>
      <c r="L118" s="145"/>
      <c r="M118" s="145"/>
      <c r="N118" s="145"/>
      <c r="O118" s="145"/>
      <c r="P118" s="145"/>
      <c r="Q118" s="146"/>
    </row>
    <row r="119" spans="1:17" ht="9" customHeight="1">
      <c r="A119" s="124" t="s">
        <v>144</v>
      </c>
      <c r="B119" s="35" t="s">
        <v>187</v>
      </c>
      <c r="C119" s="35">
        <v>136516</v>
      </c>
      <c r="D119" s="144" t="s">
        <v>167</v>
      </c>
      <c r="E119" s="35">
        <v>10632644.05997426</v>
      </c>
      <c r="F119" s="36">
        <v>11024372</v>
      </c>
      <c r="G119" s="147"/>
      <c r="H119" s="145"/>
      <c r="I119" s="147"/>
      <c r="J119" s="146"/>
      <c r="K119" s="147"/>
      <c r="L119" s="145"/>
      <c r="M119" s="145"/>
      <c r="N119" s="145"/>
      <c r="O119" s="145"/>
      <c r="P119" s="145"/>
      <c r="Q119" s="146"/>
    </row>
    <row r="120" spans="1:17" ht="9" customHeight="1">
      <c r="A120" s="124" t="s">
        <v>144</v>
      </c>
      <c r="B120" s="35" t="s">
        <v>958</v>
      </c>
      <c r="C120" s="35">
        <v>137281</v>
      </c>
      <c r="D120" s="144" t="s">
        <v>167</v>
      </c>
      <c r="E120" s="35">
        <v>7260802.097297297</v>
      </c>
      <c r="F120" s="36">
        <v>7651589</v>
      </c>
      <c r="G120" s="147"/>
      <c r="H120" s="145"/>
      <c r="I120" s="147"/>
      <c r="J120" s="146"/>
      <c r="K120" s="147"/>
      <c r="L120" s="145"/>
      <c r="M120" s="145"/>
      <c r="N120" s="145"/>
      <c r="O120" s="145"/>
      <c r="P120" s="145"/>
      <c r="Q120" s="146"/>
    </row>
    <row r="121" spans="1:17" ht="9" customHeight="1">
      <c r="A121" s="124" t="s">
        <v>144</v>
      </c>
      <c r="B121" s="35" t="s">
        <v>192</v>
      </c>
      <c r="C121" s="35">
        <v>137078</v>
      </c>
      <c r="D121" s="144" t="s">
        <v>167</v>
      </c>
      <c r="E121" s="35">
        <v>34427794.56936937</v>
      </c>
      <c r="F121" s="36">
        <v>36100960</v>
      </c>
      <c r="G121" s="147"/>
      <c r="H121" s="145"/>
      <c r="I121" s="147"/>
      <c r="J121" s="146"/>
      <c r="K121" s="147"/>
      <c r="L121" s="145"/>
      <c r="M121" s="145"/>
      <c r="N121" s="145"/>
      <c r="O121" s="145"/>
      <c r="P121" s="145"/>
      <c r="Q121" s="146"/>
    </row>
    <row r="122" spans="1:17" ht="9" customHeight="1">
      <c r="A122" s="124" t="s">
        <v>144</v>
      </c>
      <c r="B122" s="35" t="s">
        <v>188</v>
      </c>
      <c r="C122" s="35">
        <v>137096</v>
      </c>
      <c r="D122" s="144" t="s">
        <v>167</v>
      </c>
      <c r="E122" s="35">
        <v>25168161.067181468</v>
      </c>
      <c r="F122" s="36">
        <v>26026663</v>
      </c>
      <c r="G122" s="147"/>
      <c r="H122" s="145"/>
      <c r="I122" s="147"/>
      <c r="J122" s="146"/>
      <c r="K122" s="147"/>
      <c r="L122" s="145"/>
      <c r="M122" s="145"/>
      <c r="N122" s="145"/>
      <c r="O122" s="145"/>
      <c r="P122" s="145"/>
      <c r="Q122" s="146"/>
    </row>
    <row r="123" spans="1:17" ht="9" customHeight="1">
      <c r="A123" s="124" t="s">
        <v>144</v>
      </c>
      <c r="B123" s="35" t="s">
        <v>189</v>
      </c>
      <c r="C123" s="35">
        <v>137209</v>
      </c>
      <c r="D123" s="144" t="s">
        <v>167</v>
      </c>
      <c r="E123" s="35">
        <v>21278034.95778636</v>
      </c>
      <c r="F123" s="36">
        <v>22314359.4</v>
      </c>
      <c r="G123" s="147"/>
      <c r="H123" s="145"/>
      <c r="I123" s="147"/>
      <c r="J123" s="146"/>
      <c r="K123" s="147"/>
      <c r="L123" s="145"/>
      <c r="M123" s="145"/>
      <c r="N123" s="145"/>
      <c r="O123" s="145"/>
      <c r="P123" s="145"/>
      <c r="Q123" s="146"/>
    </row>
    <row r="124" spans="1:17" ht="9" customHeight="1">
      <c r="A124" s="124" t="s">
        <v>144</v>
      </c>
      <c r="B124" s="35" t="s">
        <v>190</v>
      </c>
      <c r="C124" s="35">
        <v>137315</v>
      </c>
      <c r="D124" s="144" t="s">
        <v>167</v>
      </c>
      <c r="E124" s="35">
        <v>9224438.63037323</v>
      </c>
      <c r="F124" s="36">
        <v>9443394.4</v>
      </c>
      <c r="G124" s="147"/>
      <c r="H124" s="145"/>
      <c r="I124" s="147"/>
      <c r="J124" s="146"/>
      <c r="K124" s="147"/>
      <c r="L124" s="145"/>
      <c r="M124" s="145"/>
      <c r="N124" s="145"/>
      <c r="O124" s="145"/>
      <c r="P124" s="145"/>
      <c r="Q124" s="146"/>
    </row>
    <row r="125" spans="1:17" ht="9" customHeight="1">
      <c r="A125" s="124" t="s">
        <v>144</v>
      </c>
      <c r="B125" s="35" t="s">
        <v>193</v>
      </c>
      <c r="C125" s="35">
        <v>137759</v>
      </c>
      <c r="D125" s="144" t="s">
        <v>167</v>
      </c>
      <c r="E125" s="35">
        <v>16802491.77992278</v>
      </c>
      <c r="F125" s="36">
        <v>17200902.4</v>
      </c>
      <c r="G125" s="147"/>
      <c r="H125" s="145"/>
      <c r="I125" s="147"/>
      <c r="J125" s="146"/>
      <c r="K125" s="147"/>
      <c r="L125" s="145"/>
      <c r="M125" s="145"/>
      <c r="N125" s="145"/>
      <c r="O125" s="145"/>
      <c r="P125" s="145"/>
      <c r="Q125" s="146"/>
    </row>
    <row r="126" spans="1:17" ht="9" customHeight="1">
      <c r="A126" s="124" t="s">
        <v>144</v>
      </c>
      <c r="B126" s="35" t="s">
        <v>194</v>
      </c>
      <c r="C126" s="35">
        <v>138187</v>
      </c>
      <c r="D126" s="144" t="s">
        <v>167</v>
      </c>
      <c r="E126" s="35">
        <v>34897610.34465894</v>
      </c>
      <c r="F126" s="36">
        <v>39540312.4</v>
      </c>
      <c r="G126" s="147"/>
      <c r="H126" s="145"/>
      <c r="I126" s="147"/>
      <c r="J126" s="146"/>
      <c r="K126" s="147"/>
      <c r="L126" s="145"/>
      <c r="M126" s="145"/>
      <c r="N126" s="145"/>
      <c r="O126" s="145"/>
      <c r="P126" s="145"/>
      <c r="Q126" s="146"/>
    </row>
    <row r="127" spans="1:17" ht="9" customHeight="1">
      <c r="A127" s="124"/>
      <c r="B127" s="35"/>
      <c r="C127" s="35"/>
      <c r="D127" s="36"/>
      <c r="E127" s="35"/>
      <c r="F127" s="36"/>
      <c r="G127" s="147"/>
      <c r="H127" s="145"/>
      <c r="I127" s="147"/>
      <c r="J127" s="146"/>
      <c r="K127" s="147"/>
      <c r="L127" s="145"/>
      <c r="M127" s="145"/>
      <c r="N127" s="145"/>
      <c r="O127" s="145"/>
      <c r="P127" s="145"/>
      <c r="Q127" s="146"/>
    </row>
    <row r="128" spans="1:17" ht="9" customHeight="1">
      <c r="A128" s="124" t="s">
        <v>195</v>
      </c>
      <c r="B128" s="35" t="s">
        <v>197</v>
      </c>
      <c r="C128" s="143" t="s">
        <v>198</v>
      </c>
      <c r="D128" s="144" t="s">
        <v>199</v>
      </c>
      <c r="E128" s="35"/>
      <c r="F128" s="145">
        <v>257467531</v>
      </c>
      <c r="G128" s="147"/>
      <c r="H128" s="145"/>
      <c r="I128" s="147">
        <v>12236715</v>
      </c>
      <c r="J128" s="145"/>
      <c r="K128" s="147">
        <v>1382302</v>
      </c>
      <c r="L128" s="145"/>
      <c r="M128" s="145">
        <v>31525107</v>
      </c>
      <c r="N128" s="145">
        <v>38298217</v>
      </c>
      <c r="O128" s="145"/>
      <c r="P128" s="145">
        <v>5622498</v>
      </c>
      <c r="Q128" s="146"/>
    </row>
    <row r="129" spans="1:17" ht="9" customHeight="1">
      <c r="A129" s="124" t="s">
        <v>195</v>
      </c>
      <c r="B129" s="154" t="s">
        <v>200</v>
      </c>
      <c r="C129" s="158" t="s">
        <v>201</v>
      </c>
      <c r="D129" s="159">
        <v>1</v>
      </c>
      <c r="E129" s="35"/>
      <c r="F129" s="145">
        <v>128263452</v>
      </c>
      <c r="G129" s="147"/>
      <c r="H129" s="145"/>
      <c r="I129" s="147"/>
      <c r="J129" s="145"/>
      <c r="K129" s="147"/>
      <c r="L129" s="145"/>
      <c r="M129" s="145"/>
      <c r="N129" s="145"/>
      <c r="O129" s="145"/>
      <c r="P129" s="145"/>
      <c r="Q129" s="146"/>
    </row>
    <row r="130" spans="1:17" ht="9" customHeight="1">
      <c r="A130" s="124" t="s">
        <v>195</v>
      </c>
      <c r="B130" s="35" t="s">
        <v>202</v>
      </c>
      <c r="C130" s="143" t="s">
        <v>203</v>
      </c>
      <c r="D130" s="144" t="s">
        <v>204</v>
      </c>
      <c r="E130" s="35"/>
      <c r="F130" s="145">
        <v>126906905</v>
      </c>
      <c r="G130" s="147"/>
      <c r="H130" s="145"/>
      <c r="I130" s="147"/>
      <c r="J130" s="145"/>
      <c r="K130" s="147">
        <v>3066715</v>
      </c>
      <c r="L130" s="145">
        <v>567828</v>
      </c>
      <c r="M130" s="145"/>
      <c r="N130" s="145"/>
      <c r="O130" s="145">
        <v>10972069</v>
      </c>
      <c r="P130" s="145">
        <v>1489499</v>
      </c>
      <c r="Q130" s="146"/>
    </row>
    <row r="131" spans="1:17" ht="9" customHeight="1">
      <c r="A131" s="124" t="s">
        <v>195</v>
      </c>
      <c r="B131" s="35" t="s">
        <v>205</v>
      </c>
      <c r="C131" s="143" t="s">
        <v>206</v>
      </c>
      <c r="D131" s="144" t="s">
        <v>207</v>
      </c>
      <c r="E131" s="35"/>
      <c r="F131" s="145">
        <v>57293895</v>
      </c>
      <c r="G131" s="147"/>
      <c r="H131" s="145"/>
      <c r="I131" s="147"/>
      <c r="J131" s="145"/>
      <c r="K131" s="147"/>
      <c r="L131" s="145"/>
      <c r="M131" s="145"/>
      <c r="N131" s="145"/>
      <c r="O131" s="145"/>
      <c r="P131" s="145"/>
      <c r="Q131" s="146"/>
    </row>
    <row r="132" spans="1:17" ht="9" customHeight="1">
      <c r="A132" s="124" t="s">
        <v>195</v>
      </c>
      <c r="B132" s="35" t="s">
        <v>208</v>
      </c>
      <c r="C132" s="143" t="s">
        <v>209</v>
      </c>
      <c r="D132" s="144" t="s">
        <v>210</v>
      </c>
      <c r="E132" s="35"/>
      <c r="F132" s="145">
        <v>21598564</v>
      </c>
      <c r="G132" s="147"/>
      <c r="H132" s="145"/>
      <c r="I132" s="147"/>
      <c r="J132" s="145"/>
      <c r="K132" s="147"/>
      <c r="L132" s="145"/>
      <c r="M132" s="145"/>
      <c r="N132" s="145"/>
      <c r="O132" s="145"/>
      <c r="P132" s="145"/>
      <c r="Q132" s="146"/>
    </row>
    <row r="133" spans="1:17" ht="9" customHeight="1">
      <c r="A133" s="124" t="s">
        <v>195</v>
      </c>
      <c r="B133" s="35" t="s">
        <v>211</v>
      </c>
      <c r="C133" s="143" t="s">
        <v>212</v>
      </c>
      <c r="D133" s="144" t="s">
        <v>210</v>
      </c>
      <c r="E133" s="35"/>
      <c r="F133" s="145">
        <v>36719165</v>
      </c>
      <c r="G133" s="147"/>
      <c r="H133" s="145"/>
      <c r="I133" s="147"/>
      <c r="J133" s="145"/>
      <c r="K133" s="147"/>
      <c r="L133" s="145"/>
      <c r="M133" s="145"/>
      <c r="N133" s="145"/>
      <c r="O133" s="145"/>
      <c r="P133" s="145"/>
      <c r="Q133" s="146"/>
    </row>
    <row r="134" spans="1:17" ht="9" customHeight="1">
      <c r="A134" s="124" t="s">
        <v>195</v>
      </c>
      <c r="B134" s="35" t="s">
        <v>213</v>
      </c>
      <c r="C134" s="143" t="s">
        <v>214</v>
      </c>
      <c r="D134" s="144" t="s">
        <v>210</v>
      </c>
      <c r="E134" s="35"/>
      <c r="F134" s="145">
        <v>30533224</v>
      </c>
      <c r="G134" s="147"/>
      <c r="H134" s="145"/>
      <c r="I134" s="147"/>
      <c r="J134" s="145"/>
      <c r="K134" s="147"/>
      <c r="L134" s="145"/>
      <c r="M134" s="145"/>
      <c r="N134" s="145"/>
      <c r="O134" s="145"/>
      <c r="P134" s="145"/>
      <c r="Q134" s="146"/>
    </row>
    <row r="135" spans="1:17" ht="9" customHeight="1">
      <c r="A135" s="124" t="s">
        <v>195</v>
      </c>
      <c r="B135" s="154" t="s">
        <v>215</v>
      </c>
      <c r="C135" s="158" t="s">
        <v>216</v>
      </c>
      <c r="D135" s="159">
        <v>4</v>
      </c>
      <c r="E135" s="35"/>
      <c r="F135" s="145">
        <v>15180375</v>
      </c>
      <c r="G135" s="147"/>
      <c r="H135" s="145"/>
      <c r="I135" s="147"/>
      <c r="J135" s="145"/>
      <c r="K135" s="147"/>
      <c r="L135" s="145"/>
      <c r="M135" s="145"/>
      <c r="N135" s="145"/>
      <c r="O135" s="145"/>
      <c r="P135" s="145"/>
      <c r="Q135" s="146"/>
    </row>
    <row r="136" spans="1:17" ht="9" customHeight="1">
      <c r="A136" s="124" t="s">
        <v>195</v>
      </c>
      <c r="B136" s="35" t="s">
        <v>217</v>
      </c>
      <c r="C136" s="143" t="s">
        <v>218</v>
      </c>
      <c r="D136" s="144" t="s">
        <v>219</v>
      </c>
      <c r="E136" s="35"/>
      <c r="F136" s="145">
        <v>19167367</v>
      </c>
      <c r="G136" s="147"/>
      <c r="H136" s="145"/>
      <c r="I136" s="147"/>
      <c r="J136" s="145"/>
      <c r="K136" s="147"/>
      <c r="L136" s="145"/>
      <c r="M136" s="145"/>
      <c r="N136" s="145"/>
      <c r="O136" s="145"/>
      <c r="P136" s="145"/>
      <c r="Q136" s="146"/>
    </row>
    <row r="137" spans="1:17" ht="9" customHeight="1">
      <c r="A137" s="124" t="s">
        <v>195</v>
      </c>
      <c r="B137" s="35" t="s">
        <v>220</v>
      </c>
      <c r="C137" s="143" t="s">
        <v>221</v>
      </c>
      <c r="D137" s="144" t="s">
        <v>219</v>
      </c>
      <c r="E137" s="35"/>
      <c r="F137" s="145">
        <v>23649842</v>
      </c>
      <c r="G137" s="147"/>
      <c r="H137" s="145"/>
      <c r="I137" s="147"/>
      <c r="J137" s="145"/>
      <c r="K137" s="147"/>
      <c r="L137" s="145"/>
      <c r="M137" s="145"/>
      <c r="N137" s="145"/>
      <c r="O137" s="145"/>
      <c r="P137" s="145"/>
      <c r="Q137" s="146"/>
    </row>
    <row r="138" spans="1:17" ht="9" customHeight="1">
      <c r="A138" s="124" t="s">
        <v>195</v>
      </c>
      <c r="B138" s="35" t="s">
        <v>222</v>
      </c>
      <c r="C138" s="143" t="s">
        <v>223</v>
      </c>
      <c r="D138" s="144" t="s">
        <v>219</v>
      </c>
      <c r="E138" s="35"/>
      <c r="F138" s="145">
        <v>16190717</v>
      </c>
      <c r="G138" s="147"/>
      <c r="H138" s="145"/>
      <c r="I138" s="147"/>
      <c r="J138" s="145"/>
      <c r="K138" s="147"/>
      <c r="L138" s="145"/>
      <c r="M138" s="145"/>
      <c r="N138" s="145"/>
      <c r="O138" s="145"/>
      <c r="P138" s="145"/>
      <c r="Q138" s="146"/>
    </row>
    <row r="139" spans="1:17" ht="9" customHeight="1">
      <c r="A139" s="124" t="s">
        <v>195</v>
      </c>
      <c r="B139" s="35" t="s">
        <v>224</v>
      </c>
      <c r="C139" s="143" t="s">
        <v>225</v>
      </c>
      <c r="D139" s="144" t="s">
        <v>219</v>
      </c>
      <c r="E139" s="35"/>
      <c r="F139" s="145">
        <v>11009369</v>
      </c>
      <c r="G139" s="147"/>
      <c r="H139" s="145"/>
      <c r="I139" s="147"/>
      <c r="J139" s="145"/>
      <c r="K139" s="147"/>
      <c r="L139" s="145"/>
      <c r="M139" s="145"/>
      <c r="N139" s="145"/>
      <c r="O139" s="145"/>
      <c r="P139" s="145"/>
      <c r="Q139" s="146"/>
    </row>
    <row r="140" spans="1:17" ht="9" customHeight="1">
      <c r="A140" s="124" t="s">
        <v>195</v>
      </c>
      <c r="B140" s="35" t="s">
        <v>226</v>
      </c>
      <c r="C140" s="143" t="s">
        <v>227</v>
      </c>
      <c r="D140" s="144" t="s">
        <v>219</v>
      </c>
      <c r="E140" s="35"/>
      <c r="F140" s="145">
        <v>34076067</v>
      </c>
      <c r="G140" s="147"/>
      <c r="H140" s="145"/>
      <c r="I140" s="147"/>
      <c r="J140" s="145"/>
      <c r="K140" s="147"/>
      <c r="L140" s="145"/>
      <c r="M140" s="145"/>
      <c r="N140" s="145"/>
      <c r="O140" s="145"/>
      <c r="P140" s="145"/>
      <c r="Q140" s="146"/>
    </row>
    <row r="141" spans="1:17" ht="9" customHeight="1">
      <c r="A141" s="124" t="s">
        <v>195</v>
      </c>
      <c r="B141" s="35" t="s">
        <v>228</v>
      </c>
      <c r="C141" s="143" t="s">
        <v>229</v>
      </c>
      <c r="D141" s="144" t="s">
        <v>219</v>
      </c>
      <c r="E141" s="35"/>
      <c r="F141" s="145">
        <v>13568296</v>
      </c>
      <c r="G141" s="147"/>
      <c r="H141" s="145"/>
      <c r="I141" s="147"/>
      <c r="J141" s="145"/>
      <c r="K141" s="147"/>
      <c r="L141" s="145"/>
      <c r="M141" s="145"/>
      <c r="N141" s="145"/>
      <c r="O141" s="145"/>
      <c r="P141" s="145"/>
      <c r="Q141" s="146"/>
    </row>
    <row r="142" spans="1:17" ht="9" customHeight="1">
      <c r="A142" s="124" t="s">
        <v>195</v>
      </c>
      <c r="B142" s="35" t="s">
        <v>230</v>
      </c>
      <c r="C142" s="143" t="s">
        <v>231</v>
      </c>
      <c r="D142" s="144" t="s">
        <v>232</v>
      </c>
      <c r="E142" s="35"/>
      <c r="F142" s="145">
        <v>18723410</v>
      </c>
      <c r="G142" s="147"/>
      <c r="H142" s="145"/>
      <c r="I142" s="147"/>
      <c r="J142" s="145"/>
      <c r="K142" s="147"/>
      <c r="L142" s="145"/>
      <c r="M142" s="145"/>
      <c r="N142" s="145"/>
      <c r="O142" s="145"/>
      <c r="P142" s="145"/>
      <c r="Q142" s="146"/>
    </row>
    <row r="143" spans="1:17" ht="9" customHeight="1">
      <c r="A143" s="124" t="s">
        <v>195</v>
      </c>
      <c r="B143" s="35" t="s">
        <v>233</v>
      </c>
      <c r="C143" s="143" t="s">
        <v>234</v>
      </c>
      <c r="D143" s="144" t="s">
        <v>232</v>
      </c>
      <c r="E143" s="35"/>
      <c r="F143" s="145">
        <v>14443395</v>
      </c>
      <c r="G143" s="147"/>
      <c r="H143" s="145"/>
      <c r="I143" s="147"/>
      <c r="J143" s="145"/>
      <c r="K143" s="147"/>
      <c r="L143" s="145"/>
      <c r="M143" s="145"/>
      <c r="N143" s="145"/>
      <c r="O143" s="145"/>
      <c r="P143" s="145"/>
      <c r="Q143" s="146"/>
    </row>
    <row r="144" spans="1:17" ht="9" customHeight="1">
      <c r="A144" s="124" t="s">
        <v>195</v>
      </c>
      <c r="B144" s="35" t="s">
        <v>235</v>
      </c>
      <c r="C144" s="143" t="s">
        <v>236</v>
      </c>
      <c r="D144" s="144" t="s">
        <v>232</v>
      </c>
      <c r="E144" s="35"/>
      <c r="F144" s="145">
        <v>16596990</v>
      </c>
      <c r="G144" s="147"/>
      <c r="H144" s="145"/>
      <c r="I144" s="147"/>
      <c r="J144" s="145"/>
      <c r="K144" s="147"/>
      <c r="L144" s="145"/>
      <c r="M144" s="145"/>
      <c r="N144" s="145"/>
      <c r="O144" s="145"/>
      <c r="P144" s="145"/>
      <c r="Q144" s="146"/>
    </row>
    <row r="145" spans="1:17" ht="9" customHeight="1">
      <c r="A145" s="124" t="s">
        <v>195</v>
      </c>
      <c r="B145" s="35" t="s">
        <v>237</v>
      </c>
      <c r="C145" s="143" t="s">
        <v>238</v>
      </c>
      <c r="D145" s="144" t="s">
        <v>167</v>
      </c>
      <c r="E145" s="35"/>
      <c r="F145" s="145">
        <v>10119325</v>
      </c>
      <c r="G145" s="147"/>
      <c r="H145" s="145"/>
      <c r="I145" s="147"/>
      <c r="J145" s="145"/>
      <c r="K145" s="147"/>
      <c r="L145" s="145"/>
      <c r="M145" s="145"/>
      <c r="N145" s="145"/>
      <c r="O145" s="145"/>
      <c r="P145" s="145"/>
      <c r="Q145" s="146"/>
    </row>
    <row r="146" spans="1:17" ht="9" customHeight="1">
      <c r="A146" s="124" t="s">
        <v>195</v>
      </c>
      <c r="B146" s="35" t="s">
        <v>239</v>
      </c>
      <c r="C146" s="143" t="s">
        <v>240</v>
      </c>
      <c r="D146" s="144" t="s">
        <v>167</v>
      </c>
      <c r="E146" s="35"/>
      <c r="F146" s="145">
        <v>6299629</v>
      </c>
      <c r="G146" s="147"/>
      <c r="H146" s="145"/>
      <c r="I146" s="147"/>
      <c r="J146" s="145"/>
      <c r="K146" s="147"/>
      <c r="L146" s="145"/>
      <c r="M146" s="145"/>
      <c r="N146" s="145"/>
      <c r="O146" s="145"/>
      <c r="P146" s="145"/>
      <c r="Q146" s="146"/>
    </row>
    <row r="147" spans="1:17" ht="9" customHeight="1">
      <c r="A147" s="124" t="s">
        <v>195</v>
      </c>
      <c r="B147" s="35" t="s">
        <v>241</v>
      </c>
      <c r="C147" s="143" t="s">
        <v>242</v>
      </c>
      <c r="D147" s="144" t="s">
        <v>167</v>
      </c>
      <c r="E147" s="35"/>
      <c r="F147" s="145">
        <v>3824335</v>
      </c>
      <c r="G147" s="147"/>
      <c r="H147" s="145"/>
      <c r="I147" s="147"/>
      <c r="J147" s="145"/>
      <c r="K147" s="147"/>
      <c r="L147" s="145"/>
      <c r="M147" s="145"/>
      <c r="N147" s="145"/>
      <c r="O147" s="145"/>
      <c r="P147" s="145"/>
      <c r="Q147" s="146"/>
    </row>
    <row r="148" spans="1:17" ht="9" customHeight="1">
      <c r="A148" s="124" t="s">
        <v>195</v>
      </c>
      <c r="B148" s="35" t="s">
        <v>243</v>
      </c>
      <c r="C148" s="143" t="s">
        <v>244</v>
      </c>
      <c r="D148" s="144" t="s">
        <v>167</v>
      </c>
      <c r="E148" s="35"/>
      <c r="F148" s="145">
        <v>6018842</v>
      </c>
      <c r="G148" s="147"/>
      <c r="H148" s="145"/>
      <c r="I148" s="147"/>
      <c r="J148" s="145"/>
      <c r="K148" s="147"/>
      <c r="L148" s="145"/>
      <c r="M148" s="145"/>
      <c r="N148" s="145"/>
      <c r="O148" s="145"/>
      <c r="P148" s="145"/>
      <c r="Q148" s="146"/>
    </row>
    <row r="149" spans="1:17" ht="9" customHeight="1">
      <c r="A149" s="124" t="s">
        <v>195</v>
      </c>
      <c r="B149" s="35" t="s">
        <v>245</v>
      </c>
      <c r="C149" s="143" t="s">
        <v>246</v>
      </c>
      <c r="D149" s="144" t="s">
        <v>167</v>
      </c>
      <c r="E149" s="35"/>
      <c r="F149" s="145">
        <v>7715821</v>
      </c>
      <c r="G149" s="147"/>
      <c r="H149" s="145"/>
      <c r="I149" s="147"/>
      <c r="J149" s="145"/>
      <c r="K149" s="147"/>
      <c r="L149" s="145"/>
      <c r="M149" s="145"/>
      <c r="N149" s="145"/>
      <c r="O149" s="145"/>
      <c r="P149" s="145"/>
      <c r="Q149" s="146"/>
    </row>
    <row r="150" spans="1:17" ht="9" customHeight="1">
      <c r="A150" s="124" t="s">
        <v>195</v>
      </c>
      <c r="B150" s="35" t="s">
        <v>247</v>
      </c>
      <c r="C150" s="143" t="s">
        <v>248</v>
      </c>
      <c r="D150" s="144" t="s">
        <v>167</v>
      </c>
      <c r="E150" s="35"/>
      <c r="F150" s="145">
        <v>9297960</v>
      </c>
      <c r="G150" s="147"/>
      <c r="H150" s="145"/>
      <c r="I150" s="147"/>
      <c r="J150" s="145"/>
      <c r="K150" s="147"/>
      <c r="L150" s="145"/>
      <c r="M150" s="145"/>
      <c r="N150" s="145"/>
      <c r="O150" s="145"/>
      <c r="P150" s="145"/>
      <c r="Q150" s="146"/>
    </row>
    <row r="151" spans="1:17" ht="9" customHeight="1">
      <c r="A151" s="124" t="s">
        <v>195</v>
      </c>
      <c r="B151" s="35" t="s">
        <v>249</v>
      </c>
      <c r="C151" s="143" t="s">
        <v>250</v>
      </c>
      <c r="D151" s="144" t="s">
        <v>167</v>
      </c>
      <c r="E151" s="35"/>
      <c r="F151" s="145">
        <v>40539632</v>
      </c>
      <c r="G151" s="147"/>
      <c r="H151" s="145"/>
      <c r="I151" s="147"/>
      <c r="J151" s="145"/>
      <c r="K151" s="147"/>
      <c r="L151" s="145"/>
      <c r="M151" s="145"/>
      <c r="N151" s="145"/>
      <c r="O151" s="145"/>
      <c r="P151" s="145"/>
      <c r="Q151" s="146"/>
    </row>
    <row r="152" spans="1:17" ht="9" customHeight="1">
      <c r="A152" s="124" t="s">
        <v>195</v>
      </c>
      <c r="B152" s="35" t="s">
        <v>251</v>
      </c>
      <c r="C152" s="143" t="s">
        <v>252</v>
      </c>
      <c r="D152" s="144" t="s">
        <v>167</v>
      </c>
      <c r="E152" s="35"/>
      <c r="F152" s="145">
        <v>2792295</v>
      </c>
      <c r="G152" s="147"/>
      <c r="H152" s="145"/>
      <c r="I152" s="147"/>
      <c r="J152" s="145"/>
      <c r="K152" s="147"/>
      <c r="L152" s="145"/>
      <c r="M152" s="145"/>
      <c r="N152" s="145"/>
      <c r="O152" s="145"/>
      <c r="P152" s="145"/>
      <c r="Q152" s="146"/>
    </row>
    <row r="153" spans="1:17" ht="9" customHeight="1">
      <c r="A153" s="124" t="s">
        <v>195</v>
      </c>
      <c r="B153" s="35" t="s">
        <v>253</v>
      </c>
      <c r="C153" s="143" t="s">
        <v>254</v>
      </c>
      <c r="D153" s="144" t="s">
        <v>167</v>
      </c>
      <c r="E153" s="35"/>
      <c r="F153" s="145">
        <v>8652208</v>
      </c>
      <c r="G153" s="147"/>
      <c r="H153" s="145"/>
      <c r="I153" s="147"/>
      <c r="J153" s="145"/>
      <c r="K153" s="147"/>
      <c r="L153" s="145"/>
      <c r="M153" s="145"/>
      <c r="N153" s="145"/>
      <c r="O153" s="145"/>
      <c r="P153" s="145"/>
      <c r="Q153" s="146"/>
    </row>
    <row r="154" spans="1:17" ht="9" customHeight="1">
      <c r="A154" s="124" t="s">
        <v>195</v>
      </c>
      <c r="B154" s="35" t="s">
        <v>255</v>
      </c>
      <c r="C154" s="143" t="s">
        <v>256</v>
      </c>
      <c r="D154" s="144" t="s">
        <v>167</v>
      </c>
      <c r="E154" s="35"/>
      <c r="F154" s="145">
        <v>8841318</v>
      </c>
      <c r="G154" s="147"/>
      <c r="H154" s="145"/>
      <c r="I154" s="147"/>
      <c r="J154" s="145"/>
      <c r="K154" s="147"/>
      <c r="L154" s="145"/>
      <c r="M154" s="145"/>
      <c r="N154" s="145"/>
      <c r="O154" s="145"/>
      <c r="P154" s="145"/>
      <c r="Q154" s="146"/>
    </row>
    <row r="155" spans="1:17" ht="9" customHeight="1">
      <c r="A155" s="124" t="s">
        <v>195</v>
      </c>
      <c r="B155" s="35" t="s">
        <v>257</v>
      </c>
      <c r="C155" s="143" t="s">
        <v>258</v>
      </c>
      <c r="D155" s="144" t="s">
        <v>167</v>
      </c>
      <c r="E155" s="35"/>
      <c r="F155" s="145">
        <v>6791839</v>
      </c>
      <c r="G155" s="147"/>
      <c r="H155" s="145"/>
      <c r="I155" s="147"/>
      <c r="J155" s="145"/>
      <c r="K155" s="147"/>
      <c r="L155" s="145"/>
      <c r="M155" s="145"/>
      <c r="N155" s="145"/>
      <c r="O155" s="145"/>
      <c r="P155" s="145"/>
      <c r="Q155" s="146"/>
    </row>
    <row r="156" spans="1:17" ht="9" customHeight="1">
      <c r="A156" s="124" t="s">
        <v>195</v>
      </c>
      <c r="B156" s="35" t="s">
        <v>259</v>
      </c>
      <c r="C156" s="143" t="s">
        <v>260</v>
      </c>
      <c r="D156" s="144" t="s">
        <v>167</v>
      </c>
      <c r="E156" s="35"/>
      <c r="F156" s="145">
        <v>11461185</v>
      </c>
      <c r="G156" s="147"/>
      <c r="H156" s="145"/>
      <c r="I156" s="147"/>
      <c r="J156" s="145"/>
      <c r="K156" s="147"/>
      <c r="L156" s="145"/>
      <c r="M156" s="145"/>
      <c r="N156" s="145"/>
      <c r="O156" s="145"/>
      <c r="P156" s="145"/>
      <c r="Q156" s="146"/>
    </row>
    <row r="157" spans="1:17" ht="9" customHeight="1">
      <c r="A157" s="124" t="s">
        <v>195</v>
      </c>
      <c r="B157" s="35" t="s">
        <v>261</v>
      </c>
      <c r="C157" s="143" t="s">
        <v>262</v>
      </c>
      <c r="D157" s="144" t="s">
        <v>167</v>
      </c>
      <c r="E157" s="35"/>
      <c r="F157" s="145">
        <v>8390023</v>
      </c>
      <c r="G157" s="147"/>
      <c r="H157" s="145"/>
      <c r="I157" s="147"/>
      <c r="J157" s="145"/>
      <c r="K157" s="147"/>
      <c r="L157" s="145"/>
      <c r="M157" s="145"/>
      <c r="N157" s="145"/>
      <c r="O157" s="145"/>
      <c r="P157" s="145"/>
      <c r="Q157" s="146"/>
    </row>
    <row r="158" spans="1:17" ht="9" customHeight="1">
      <c r="A158" s="124" t="s">
        <v>195</v>
      </c>
      <c r="B158" s="35" t="s">
        <v>263</v>
      </c>
      <c r="C158" s="143" t="s">
        <v>264</v>
      </c>
      <c r="D158" s="144" t="s">
        <v>167</v>
      </c>
      <c r="E158" s="35"/>
      <c r="F158" s="145">
        <v>5086798</v>
      </c>
      <c r="G158" s="147"/>
      <c r="H158" s="145"/>
      <c r="I158" s="147"/>
      <c r="J158" s="145"/>
      <c r="K158" s="147"/>
      <c r="L158" s="145"/>
      <c r="M158" s="145"/>
      <c r="N158" s="145"/>
      <c r="O158" s="145"/>
      <c r="P158" s="145"/>
      <c r="Q158" s="146"/>
    </row>
    <row r="159" spans="1:17" ht="9" customHeight="1">
      <c r="A159" s="124" t="s">
        <v>195</v>
      </c>
      <c r="B159" s="35" t="s">
        <v>265</v>
      </c>
      <c r="C159" s="143" t="s">
        <v>266</v>
      </c>
      <c r="D159" s="144" t="s">
        <v>167</v>
      </c>
      <c r="E159" s="35"/>
      <c r="F159" s="145">
        <v>3179607</v>
      </c>
      <c r="G159" s="147"/>
      <c r="H159" s="145"/>
      <c r="I159" s="147"/>
      <c r="J159" s="145"/>
      <c r="K159" s="147"/>
      <c r="L159" s="145"/>
      <c r="M159" s="145"/>
      <c r="N159" s="145"/>
      <c r="O159" s="145"/>
      <c r="P159" s="145"/>
      <c r="Q159" s="146"/>
    </row>
    <row r="160" spans="1:17" ht="9" customHeight="1">
      <c r="A160" s="124" t="s">
        <v>195</v>
      </c>
      <c r="B160" s="35" t="s">
        <v>267</v>
      </c>
      <c r="C160" s="143" t="s">
        <v>268</v>
      </c>
      <c r="D160" s="144" t="s">
        <v>269</v>
      </c>
      <c r="E160" s="35"/>
      <c r="F160" s="145"/>
      <c r="G160" s="147"/>
      <c r="H160" s="145"/>
      <c r="I160" s="147"/>
      <c r="J160" s="145">
        <v>147047840</v>
      </c>
      <c r="K160" s="147">
        <v>359714</v>
      </c>
      <c r="L160" s="145"/>
      <c r="M160" s="145"/>
      <c r="N160" s="145"/>
      <c r="O160" s="145"/>
      <c r="P160" s="145"/>
      <c r="Q160" s="146"/>
    </row>
    <row r="161" spans="1:17" ht="9" customHeight="1">
      <c r="A161" s="124" t="s">
        <v>195</v>
      </c>
      <c r="B161" s="35" t="s">
        <v>270</v>
      </c>
      <c r="C161" s="143" t="s">
        <v>271</v>
      </c>
      <c r="D161" s="144" t="s">
        <v>269</v>
      </c>
      <c r="E161" s="35"/>
      <c r="F161" s="145">
        <v>16929336</v>
      </c>
      <c r="G161" s="147"/>
      <c r="H161" s="145"/>
      <c r="I161" s="147"/>
      <c r="J161" s="145"/>
      <c r="K161" s="147"/>
      <c r="L161" s="145"/>
      <c r="M161" s="145"/>
      <c r="N161" s="145"/>
      <c r="O161" s="145"/>
      <c r="P161" s="145"/>
      <c r="Q161" s="146"/>
    </row>
    <row r="162" spans="1:17" ht="9" customHeight="1">
      <c r="A162" s="124" t="s">
        <v>195</v>
      </c>
      <c r="B162" s="35" t="s">
        <v>272</v>
      </c>
      <c r="C162" s="35">
        <v>138682</v>
      </c>
      <c r="D162" s="36">
        <v>8</v>
      </c>
      <c r="E162" s="145">
        <v>5435109</v>
      </c>
      <c r="F162" s="146">
        <v>5558578</v>
      </c>
      <c r="G162" s="147"/>
      <c r="H162" s="145"/>
      <c r="I162" s="147"/>
      <c r="J162" s="146"/>
      <c r="K162" s="147"/>
      <c r="L162" s="145"/>
      <c r="M162" s="145"/>
      <c r="N162" s="145"/>
      <c r="O162" s="145"/>
      <c r="P162" s="145"/>
      <c r="Q162" s="146"/>
    </row>
    <row r="163" spans="1:17" ht="9" customHeight="1">
      <c r="A163" s="124" t="s">
        <v>195</v>
      </c>
      <c r="B163" s="35" t="s">
        <v>273</v>
      </c>
      <c r="C163" s="35">
        <v>366447</v>
      </c>
      <c r="D163" s="36">
        <v>8</v>
      </c>
      <c r="E163" s="145">
        <v>2084286</v>
      </c>
      <c r="F163" s="146">
        <v>2106255</v>
      </c>
      <c r="G163" s="147"/>
      <c r="H163" s="145"/>
      <c r="I163" s="147"/>
      <c r="J163" s="146"/>
      <c r="K163" s="147"/>
      <c r="L163" s="145"/>
      <c r="M163" s="145"/>
      <c r="N163" s="145"/>
      <c r="O163" s="145"/>
      <c r="P163" s="145"/>
      <c r="Q163" s="146"/>
    </row>
    <row r="164" spans="1:17" ht="9" customHeight="1">
      <c r="A164" s="124" t="s">
        <v>195</v>
      </c>
      <c r="B164" s="35" t="s">
        <v>274</v>
      </c>
      <c r="C164" s="35">
        <v>246813</v>
      </c>
      <c r="D164" s="36">
        <v>8</v>
      </c>
      <c r="E164" s="145">
        <v>6055500</v>
      </c>
      <c r="F164" s="146">
        <v>6195643</v>
      </c>
      <c r="G164" s="147"/>
      <c r="H164" s="145"/>
      <c r="I164" s="147"/>
      <c r="J164" s="146"/>
      <c r="K164" s="147"/>
      <c r="L164" s="145"/>
      <c r="M164" s="145"/>
      <c r="N164" s="145"/>
      <c r="O164" s="145"/>
      <c r="P164" s="145"/>
      <c r="Q164" s="146"/>
    </row>
    <row r="165" spans="1:17" ht="9" customHeight="1">
      <c r="A165" s="124" t="s">
        <v>195</v>
      </c>
      <c r="B165" s="35" t="s">
        <v>275</v>
      </c>
      <c r="C165" s="35">
        <v>138840</v>
      </c>
      <c r="D165" s="36">
        <v>8</v>
      </c>
      <c r="E165" s="145">
        <v>8095177</v>
      </c>
      <c r="F165" s="146">
        <v>8122054</v>
      </c>
      <c r="G165" s="147"/>
      <c r="H165" s="145"/>
      <c r="I165" s="147"/>
      <c r="J165" s="146"/>
      <c r="K165" s="147"/>
      <c r="L165" s="145"/>
      <c r="M165" s="145"/>
      <c r="N165" s="145"/>
      <c r="O165" s="145"/>
      <c r="P165" s="145"/>
      <c r="Q165" s="146"/>
    </row>
    <row r="166" spans="1:17" ht="9" customHeight="1">
      <c r="A166" s="124" t="s">
        <v>195</v>
      </c>
      <c r="B166" s="35" t="s">
        <v>276</v>
      </c>
      <c r="C166" s="35">
        <v>138956</v>
      </c>
      <c r="D166" s="36">
        <v>8</v>
      </c>
      <c r="E166" s="145">
        <v>8893501</v>
      </c>
      <c r="F166" s="146">
        <v>8866012</v>
      </c>
      <c r="G166" s="147"/>
      <c r="H166" s="145"/>
      <c r="I166" s="147"/>
      <c r="J166" s="146"/>
      <c r="K166" s="147"/>
      <c r="L166" s="145"/>
      <c r="M166" s="145"/>
      <c r="N166" s="145"/>
      <c r="O166" s="145"/>
      <c r="P166" s="145"/>
      <c r="Q166" s="146"/>
    </row>
    <row r="167" spans="1:17" ht="9" customHeight="1">
      <c r="A167" s="124" t="s">
        <v>195</v>
      </c>
      <c r="B167" s="35" t="s">
        <v>277</v>
      </c>
      <c r="C167" s="35">
        <v>139126</v>
      </c>
      <c r="D167" s="36">
        <v>8</v>
      </c>
      <c r="E167" s="145">
        <v>3043253</v>
      </c>
      <c r="F167" s="146">
        <v>3636800</v>
      </c>
      <c r="G167" s="147"/>
      <c r="H167" s="145"/>
      <c r="I167" s="147"/>
      <c r="J167" s="146"/>
      <c r="K167" s="147"/>
      <c r="L167" s="145"/>
      <c r="M167" s="145"/>
      <c r="N167" s="145"/>
      <c r="O167" s="145"/>
      <c r="P167" s="145"/>
      <c r="Q167" s="146"/>
    </row>
    <row r="168" spans="1:17" ht="9" customHeight="1">
      <c r="A168" s="124" t="s">
        <v>195</v>
      </c>
      <c r="B168" s="35" t="s">
        <v>278</v>
      </c>
      <c r="C168" s="35">
        <v>139278</v>
      </c>
      <c r="D168" s="36">
        <v>8</v>
      </c>
      <c r="E168" s="145">
        <v>5665543</v>
      </c>
      <c r="F168" s="146">
        <v>6063419</v>
      </c>
      <c r="G168" s="147"/>
      <c r="H168" s="145"/>
      <c r="I168" s="147"/>
      <c r="J168" s="146"/>
      <c r="K168" s="147"/>
      <c r="L168" s="145"/>
      <c r="M168" s="145"/>
      <c r="N168" s="145"/>
      <c r="O168" s="145"/>
      <c r="P168" s="145"/>
      <c r="Q168" s="146"/>
    </row>
    <row r="169" spans="1:17" ht="9" customHeight="1">
      <c r="A169" s="124" t="s">
        <v>195</v>
      </c>
      <c r="B169" s="35" t="s">
        <v>279</v>
      </c>
      <c r="C169" s="35">
        <v>140331</v>
      </c>
      <c r="D169" s="36">
        <v>8</v>
      </c>
      <c r="E169" s="145">
        <v>5564712</v>
      </c>
      <c r="F169" s="146">
        <v>6620876</v>
      </c>
      <c r="G169" s="147"/>
      <c r="H169" s="145"/>
      <c r="I169" s="147"/>
      <c r="J169" s="146"/>
      <c r="K169" s="147"/>
      <c r="L169" s="145"/>
      <c r="M169" s="145"/>
      <c r="N169" s="145"/>
      <c r="O169" s="145"/>
      <c r="P169" s="145"/>
      <c r="Q169" s="146"/>
    </row>
    <row r="170" spans="1:17" ht="9" customHeight="1">
      <c r="A170" s="124" t="s">
        <v>195</v>
      </c>
      <c r="B170" s="35" t="s">
        <v>280</v>
      </c>
      <c r="C170" s="35">
        <v>139357</v>
      </c>
      <c r="D170" s="36">
        <v>8</v>
      </c>
      <c r="E170" s="145">
        <v>5990294</v>
      </c>
      <c r="F170" s="146">
        <v>6066506</v>
      </c>
      <c r="G170" s="147"/>
      <c r="H170" s="145"/>
      <c r="I170" s="147"/>
      <c r="J170" s="146"/>
      <c r="K170" s="147"/>
      <c r="L170" s="145"/>
      <c r="M170" s="145"/>
      <c r="N170" s="145"/>
      <c r="O170" s="145"/>
      <c r="P170" s="145"/>
      <c r="Q170" s="146"/>
    </row>
    <row r="171" spans="1:17" ht="9" customHeight="1">
      <c r="A171" s="124" t="s">
        <v>195</v>
      </c>
      <c r="B171" s="35" t="s">
        <v>281</v>
      </c>
      <c r="C171" s="35">
        <v>139384</v>
      </c>
      <c r="D171" s="36">
        <v>8</v>
      </c>
      <c r="E171" s="145">
        <v>3754750</v>
      </c>
      <c r="F171" s="146">
        <v>4191785</v>
      </c>
      <c r="G171" s="147"/>
      <c r="H171" s="145"/>
      <c r="I171" s="147"/>
      <c r="J171" s="146"/>
      <c r="K171" s="147"/>
      <c r="L171" s="145"/>
      <c r="M171" s="145"/>
      <c r="N171" s="145"/>
      <c r="O171" s="145"/>
      <c r="P171" s="145"/>
      <c r="Q171" s="146"/>
    </row>
    <row r="172" spans="1:17" ht="9" customHeight="1">
      <c r="A172" s="124" t="s">
        <v>195</v>
      </c>
      <c r="B172" s="35" t="s">
        <v>959</v>
      </c>
      <c r="C172" s="35">
        <v>139472</v>
      </c>
      <c r="D172" s="36">
        <v>8</v>
      </c>
      <c r="E172" s="145">
        <v>393569</v>
      </c>
      <c r="F172" s="146">
        <v>404689</v>
      </c>
      <c r="G172" s="147"/>
      <c r="H172" s="145"/>
      <c r="I172" s="147"/>
      <c r="J172" s="146"/>
      <c r="K172" s="147"/>
      <c r="L172" s="145"/>
      <c r="M172" s="145"/>
      <c r="N172" s="145"/>
      <c r="O172" s="145"/>
      <c r="P172" s="145"/>
      <c r="Q172" s="146"/>
    </row>
    <row r="173" spans="1:17" ht="9" customHeight="1">
      <c r="A173" s="124" t="s">
        <v>195</v>
      </c>
      <c r="B173" s="35" t="s">
        <v>282</v>
      </c>
      <c r="C173" s="35">
        <v>244446</v>
      </c>
      <c r="D173" s="36">
        <v>8</v>
      </c>
      <c r="E173" s="145">
        <v>8681784</v>
      </c>
      <c r="F173" s="146">
        <v>11739183</v>
      </c>
      <c r="G173" s="147"/>
      <c r="H173" s="145"/>
      <c r="I173" s="147"/>
      <c r="J173" s="146"/>
      <c r="K173" s="147"/>
      <c r="L173" s="145"/>
      <c r="M173" s="145"/>
      <c r="N173" s="145"/>
      <c r="O173" s="145"/>
      <c r="P173" s="145"/>
      <c r="Q173" s="146"/>
    </row>
    <row r="174" spans="1:17" ht="9" customHeight="1">
      <c r="A174" s="124" t="s">
        <v>195</v>
      </c>
      <c r="B174" s="35" t="s">
        <v>283</v>
      </c>
      <c r="C174" s="35">
        <v>248794</v>
      </c>
      <c r="D174" s="36">
        <v>8</v>
      </c>
      <c r="E174" s="145">
        <v>2622996</v>
      </c>
      <c r="F174" s="146">
        <v>2595285</v>
      </c>
      <c r="G174" s="147"/>
      <c r="H174" s="145"/>
      <c r="I174" s="147"/>
      <c r="J174" s="146"/>
      <c r="K174" s="147"/>
      <c r="L174" s="145"/>
      <c r="M174" s="145"/>
      <c r="N174" s="145"/>
      <c r="O174" s="145"/>
      <c r="P174" s="145"/>
      <c r="Q174" s="146"/>
    </row>
    <row r="175" spans="1:17" ht="9" customHeight="1">
      <c r="A175" s="124" t="s">
        <v>195</v>
      </c>
      <c r="B175" s="35" t="s">
        <v>284</v>
      </c>
      <c r="C175" s="35">
        <v>139986</v>
      </c>
      <c r="D175" s="36">
        <v>8</v>
      </c>
      <c r="E175" s="145">
        <v>4087509</v>
      </c>
      <c r="F175" s="146">
        <v>3758021</v>
      </c>
      <c r="G175" s="147"/>
      <c r="H175" s="145"/>
      <c r="I175" s="147"/>
      <c r="J175" s="146"/>
      <c r="K175" s="147"/>
      <c r="L175" s="145"/>
      <c r="M175" s="145"/>
      <c r="N175" s="145"/>
      <c r="O175" s="145"/>
      <c r="P175" s="145"/>
      <c r="Q175" s="146"/>
    </row>
    <row r="176" spans="1:17" ht="9" customHeight="1">
      <c r="A176" s="124" t="s">
        <v>195</v>
      </c>
      <c r="B176" s="35" t="s">
        <v>285</v>
      </c>
      <c r="C176" s="35">
        <v>140012</v>
      </c>
      <c r="D176" s="36">
        <v>8</v>
      </c>
      <c r="E176" s="145">
        <v>5417451</v>
      </c>
      <c r="F176" s="146">
        <v>5504783</v>
      </c>
      <c r="G176" s="147"/>
      <c r="H176" s="145"/>
      <c r="I176" s="147"/>
      <c r="J176" s="146"/>
      <c r="K176" s="147"/>
      <c r="L176" s="145"/>
      <c r="M176" s="145"/>
      <c r="N176" s="145"/>
      <c r="O176" s="145"/>
      <c r="P176" s="145"/>
      <c r="Q176" s="146"/>
    </row>
    <row r="177" spans="1:17" ht="9" customHeight="1">
      <c r="A177" s="124" t="s">
        <v>195</v>
      </c>
      <c r="B177" s="35" t="s">
        <v>286</v>
      </c>
      <c r="C177" s="35">
        <v>140076</v>
      </c>
      <c r="D177" s="36">
        <v>8</v>
      </c>
      <c r="E177" s="145">
        <v>3987330</v>
      </c>
      <c r="F177" s="146">
        <v>3664249</v>
      </c>
      <c r="G177" s="147"/>
      <c r="H177" s="145"/>
      <c r="I177" s="147"/>
      <c r="J177" s="146"/>
      <c r="K177" s="147"/>
      <c r="L177" s="145"/>
      <c r="M177" s="145"/>
      <c r="N177" s="145"/>
      <c r="O177" s="145"/>
      <c r="P177" s="145"/>
      <c r="Q177" s="146"/>
    </row>
    <row r="178" spans="1:17" ht="9" customHeight="1">
      <c r="A178" s="124" t="s">
        <v>195</v>
      </c>
      <c r="B178" s="35" t="s">
        <v>287</v>
      </c>
      <c r="C178" s="35">
        <v>140243</v>
      </c>
      <c r="D178" s="36">
        <v>8</v>
      </c>
      <c r="E178" s="145">
        <v>3849229</v>
      </c>
      <c r="F178" s="146">
        <v>3778194</v>
      </c>
      <c r="G178" s="147"/>
      <c r="H178" s="145"/>
      <c r="I178" s="147"/>
      <c r="J178" s="146"/>
      <c r="K178" s="147"/>
      <c r="L178" s="145"/>
      <c r="M178" s="145"/>
      <c r="N178" s="145"/>
      <c r="O178" s="145"/>
      <c r="P178" s="145"/>
      <c r="Q178" s="146"/>
    </row>
    <row r="179" spans="1:17" ht="9" customHeight="1">
      <c r="A179" s="124" t="s">
        <v>195</v>
      </c>
      <c r="B179" s="35" t="s">
        <v>288</v>
      </c>
      <c r="C179" s="35">
        <v>140304</v>
      </c>
      <c r="D179" s="36">
        <v>8</v>
      </c>
      <c r="E179" s="145">
        <v>6287881</v>
      </c>
      <c r="F179" s="146">
        <v>6527708</v>
      </c>
      <c r="G179" s="147"/>
      <c r="H179" s="145"/>
      <c r="I179" s="147"/>
      <c r="J179" s="146"/>
      <c r="K179" s="147"/>
      <c r="L179" s="145"/>
      <c r="M179" s="145"/>
      <c r="N179" s="145"/>
      <c r="O179" s="145"/>
      <c r="P179" s="145"/>
      <c r="Q179" s="146"/>
    </row>
    <row r="180" spans="1:17" ht="9" customHeight="1">
      <c r="A180" s="124" t="s">
        <v>195</v>
      </c>
      <c r="B180" s="35" t="s">
        <v>289</v>
      </c>
      <c r="C180" s="35">
        <v>140085</v>
      </c>
      <c r="D180" s="36">
        <v>8</v>
      </c>
      <c r="E180" s="145">
        <v>2920388</v>
      </c>
      <c r="F180" s="146">
        <v>4906896</v>
      </c>
      <c r="G180" s="147"/>
      <c r="H180" s="145"/>
      <c r="I180" s="147"/>
      <c r="J180" s="146"/>
      <c r="K180" s="147"/>
      <c r="L180" s="145"/>
      <c r="M180" s="145"/>
      <c r="N180" s="145"/>
      <c r="O180" s="145"/>
      <c r="P180" s="145"/>
      <c r="Q180" s="146"/>
    </row>
    <row r="181" spans="1:17" ht="11.25">
      <c r="A181" s="124" t="s">
        <v>195</v>
      </c>
      <c r="B181" s="35" t="s">
        <v>290</v>
      </c>
      <c r="C181" s="35">
        <v>140599</v>
      </c>
      <c r="D181" s="36">
        <v>8</v>
      </c>
      <c r="E181" s="145">
        <v>2677430</v>
      </c>
      <c r="F181" s="146">
        <v>2818010</v>
      </c>
      <c r="G181" s="147"/>
      <c r="H181" s="145"/>
      <c r="I181" s="147"/>
      <c r="J181" s="146"/>
      <c r="K181" s="147"/>
      <c r="L181" s="145"/>
      <c r="M181" s="145"/>
      <c r="N181" s="145"/>
      <c r="O181" s="145"/>
      <c r="P181" s="145"/>
      <c r="Q181" s="146"/>
    </row>
    <row r="182" spans="1:17" ht="11.25">
      <c r="A182" s="124" t="s">
        <v>195</v>
      </c>
      <c r="B182" s="35" t="s">
        <v>291</v>
      </c>
      <c r="C182" s="35">
        <v>140678</v>
      </c>
      <c r="D182" s="36">
        <v>8</v>
      </c>
      <c r="E182" s="145">
        <v>5175467</v>
      </c>
      <c r="F182" s="146">
        <v>5071257</v>
      </c>
      <c r="G182" s="147"/>
      <c r="H182" s="145"/>
      <c r="I182" s="147"/>
      <c r="J182" s="146"/>
      <c r="K182" s="147"/>
      <c r="L182" s="145"/>
      <c r="M182" s="145"/>
      <c r="N182" s="145"/>
      <c r="O182" s="145"/>
      <c r="P182" s="145"/>
      <c r="Q182" s="146"/>
    </row>
    <row r="183" spans="1:17" ht="11.25">
      <c r="A183" s="124" t="s">
        <v>195</v>
      </c>
      <c r="B183" s="35" t="s">
        <v>292</v>
      </c>
      <c r="C183" s="35">
        <v>366456</v>
      </c>
      <c r="D183" s="36">
        <v>8</v>
      </c>
      <c r="E183" s="145">
        <v>2869498</v>
      </c>
      <c r="F183" s="146">
        <v>2866783</v>
      </c>
      <c r="G183" s="147"/>
      <c r="H183" s="145"/>
      <c r="I183" s="147"/>
      <c r="J183" s="146"/>
      <c r="K183" s="147"/>
      <c r="L183" s="145"/>
      <c r="M183" s="145"/>
      <c r="N183" s="145"/>
      <c r="O183" s="145"/>
      <c r="P183" s="145"/>
      <c r="Q183" s="146"/>
    </row>
    <row r="184" spans="1:17" ht="11.25">
      <c r="A184" s="124" t="s">
        <v>195</v>
      </c>
      <c r="B184" s="35" t="s">
        <v>293</v>
      </c>
      <c r="C184" s="35">
        <v>366465</v>
      </c>
      <c r="D184" s="36">
        <v>8</v>
      </c>
      <c r="E184" s="145">
        <v>2228620</v>
      </c>
      <c r="F184" s="146">
        <v>2200633</v>
      </c>
      <c r="G184" s="147"/>
      <c r="H184" s="145"/>
      <c r="I184" s="147"/>
      <c r="J184" s="146"/>
      <c r="K184" s="147"/>
      <c r="L184" s="145"/>
      <c r="M184" s="145"/>
      <c r="N184" s="145"/>
      <c r="O184" s="145"/>
      <c r="P184" s="145"/>
      <c r="Q184" s="146"/>
    </row>
    <row r="185" spans="1:17" ht="11.25">
      <c r="A185" s="124" t="s">
        <v>195</v>
      </c>
      <c r="B185" s="35" t="s">
        <v>294</v>
      </c>
      <c r="C185" s="35">
        <v>248776</v>
      </c>
      <c r="D185" s="36">
        <v>8</v>
      </c>
      <c r="E185" s="145">
        <v>2834849</v>
      </c>
      <c r="F185" s="146">
        <v>2960364</v>
      </c>
      <c r="G185" s="147"/>
      <c r="H185" s="145"/>
      <c r="I185" s="147"/>
      <c r="J185" s="146"/>
      <c r="K185" s="147"/>
      <c r="L185" s="145"/>
      <c r="M185" s="145"/>
      <c r="N185" s="145"/>
      <c r="O185" s="145"/>
      <c r="P185" s="145"/>
      <c r="Q185" s="146"/>
    </row>
    <row r="186" spans="1:17" ht="11.25">
      <c r="A186" s="124" t="s">
        <v>195</v>
      </c>
      <c r="B186" s="35" t="s">
        <v>295</v>
      </c>
      <c r="C186" s="35">
        <v>140809</v>
      </c>
      <c r="D186" s="36">
        <v>8</v>
      </c>
      <c r="E186" s="145">
        <v>2530773</v>
      </c>
      <c r="F186" s="146">
        <v>2476579</v>
      </c>
      <c r="G186" s="147"/>
      <c r="H186" s="145"/>
      <c r="I186" s="147"/>
      <c r="J186" s="146"/>
      <c r="K186" s="147"/>
      <c r="L186" s="145"/>
      <c r="M186" s="145"/>
      <c r="N186" s="145"/>
      <c r="O186" s="145"/>
      <c r="P186" s="145"/>
      <c r="Q186" s="146"/>
    </row>
    <row r="187" spans="1:17" ht="11.25">
      <c r="A187" s="124" t="s">
        <v>195</v>
      </c>
      <c r="B187" s="35" t="s">
        <v>296</v>
      </c>
      <c r="C187" s="35"/>
      <c r="D187" s="36">
        <v>8</v>
      </c>
      <c r="E187" s="145">
        <v>867659</v>
      </c>
      <c r="F187" s="146">
        <v>1897576</v>
      </c>
      <c r="G187" s="147"/>
      <c r="H187" s="145"/>
      <c r="I187" s="147"/>
      <c r="J187" s="146"/>
      <c r="K187" s="147"/>
      <c r="L187" s="145"/>
      <c r="M187" s="145"/>
      <c r="N187" s="145"/>
      <c r="O187" s="145"/>
      <c r="P187" s="145"/>
      <c r="Q187" s="146"/>
    </row>
    <row r="188" spans="1:17" ht="11.25">
      <c r="A188" s="124" t="s">
        <v>195</v>
      </c>
      <c r="B188" s="35" t="s">
        <v>297</v>
      </c>
      <c r="C188" s="35">
        <v>140942</v>
      </c>
      <c r="D188" s="36">
        <v>8</v>
      </c>
      <c r="E188" s="145">
        <v>4662334</v>
      </c>
      <c r="F188" s="146">
        <v>4679878</v>
      </c>
      <c r="G188" s="147"/>
      <c r="H188" s="145"/>
      <c r="I188" s="147"/>
      <c r="J188" s="146"/>
      <c r="K188" s="147"/>
      <c r="L188" s="145"/>
      <c r="M188" s="145"/>
      <c r="N188" s="145"/>
      <c r="O188" s="145"/>
      <c r="P188" s="145"/>
      <c r="Q188" s="146"/>
    </row>
    <row r="189" spans="1:17" ht="11.25">
      <c r="A189" s="124" t="s">
        <v>195</v>
      </c>
      <c r="B189" s="35" t="s">
        <v>298</v>
      </c>
      <c r="C189" s="35">
        <v>141006</v>
      </c>
      <c r="D189" s="36">
        <v>8</v>
      </c>
      <c r="E189" s="145">
        <v>4532041</v>
      </c>
      <c r="F189" s="146">
        <v>4634994</v>
      </c>
      <c r="G189" s="147"/>
      <c r="H189" s="145"/>
      <c r="I189" s="147"/>
      <c r="J189" s="146"/>
      <c r="K189" s="147"/>
      <c r="L189" s="145"/>
      <c r="M189" s="145"/>
      <c r="N189" s="145"/>
      <c r="O189" s="145"/>
      <c r="P189" s="145"/>
      <c r="Q189" s="146"/>
    </row>
    <row r="190" spans="1:17" ht="11.25">
      <c r="A190" s="124" t="s">
        <v>195</v>
      </c>
      <c r="B190" s="35" t="s">
        <v>299</v>
      </c>
      <c r="C190" s="35">
        <v>368911</v>
      </c>
      <c r="D190" s="36">
        <v>8</v>
      </c>
      <c r="E190" s="145">
        <v>2221232</v>
      </c>
      <c r="F190" s="146">
        <v>2383210</v>
      </c>
      <c r="G190" s="147"/>
      <c r="H190" s="145"/>
      <c r="I190" s="147"/>
      <c r="J190" s="146"/>
      <c r="K190" s="147"/>
      <c r="L190" s="145"/>
      <c r="M190" s="145"/>
      <c r="N190" s="145"/>
      <c r="O190" s="145"/>
      <c r="P190" s="145"/>
      <c r="Q190" s="146"/>
    </row>
    <row r="191" spans="1:17" ht="11.25">
      <c r="A191" s="124" t="s">
        <v>195</v>
      </c>
      <c r="B191" s="35" t="s">
        <v>300</v>
      </c>
      <c r="C191" s="35">
        <v>141121</v>
      </c>
      <c r="D191" s="36">
        <v>8</v>
      </c>
      <c r="E191" s="145">
        <v>2728114</v>
      </c>
      <c r="F191" s="146">
        <v>2843961</v>
      </c>
      <c r="G191" s="147"/>
      <c r="H191" s="145"/>
      <c r="I191" s="147"/>
      <c r="J191" s="146"/>
      <c r="K191" s="147"/>
      <c r="L191" s="145"/>
      <c r="M191" s="145"/>
      <c r="N191" s="145"/>
      <c r="O191" s="145"/>
      <c r="P191" s="145"/>
      <c r="Q191" s="146"/>
    </row>
    <row r="192" spans="1:17" ht="11.25">
      <c r="A192" s="124" t="s">
        <v>195</v>
      </c>
      <c r="B192" s="35" t="s">
        <v>301</v>
      </c>
      <c r="C192" s="35">
        <v>141158</v>
      </c>
      <c r="D192" s="36">
        <v>8</v>
      </c>
      <c r="E192" s="145">
        <v>3170623</v>
      </c>
      <c r="F192" s="146">
        <v>3983695</v>
      </c>
      <c r="G192" s="147"/>
      <c r="H192" s="145"/>
      <c r="I192" s="147"/>
      <c r="J192" s="146"/>
      <c r="K192" s="147"/>
      <c r="L192" s="145"/>
      <c r="M192" s="145"/>
      <c r="N192" s="145"/>
      <c r="O192" s="145"/>
      <c r="P192" s="145"/>
      <c r="Q192" s="146"/>
    </row>
    <row r="193" spans="1:17" ht="11.25">
      <c r="A193" s="124" t="s">
        <v>195</v>
      </c>
      <c r="B193" s="35" t="s">
        <v>302</v>
      </c>
      <c r="C193" s="35">
        <v>141255</v>
      </c>
      <c r="D193" s="36">
        <v>8</v>
      </c>
      <c r="E193" s="145">
        <v>3944947</v>
      </c>
      <c r="F193" s="146">
        <v>4548236</v>
      </c>
      <c r="G193" s="147"/>
      <c r="H193" s="145"/>
      <c r="I193" s="147"/>
      <c r="J193" s="146"/>
      <c r="K193" s="147"/>
      <c r="L193" s="145"/>
      <c r="M193" s="145"/>
      <c r="N193" s="145"/>
      <c r="O193" s="145"/>
      <c r="P193" s="145"/>
      <c r="Q193" s="146"/>
    </row>
    <row r="194" spans="1:17" ht="11.25">
      <c r="A194" s="124" t="s">
        <v>195</v>
      </c>
      <c r="B194" s="35" t="s">
        <v>303</v>
      </c>
      <c r="C194" s="35">
        <v>141273</v>
      </c>
      <c r="D194" s="36">
        <v>8</v>
      </c>
      <c r="E194" s="145">
        <v>2754695</v>
      </c>
      <c r="F194" s="146">
        <v>3333766</v>
      </c>
      <c r="G194" s="147"/>
      <c r="H194" s="145"/>
      <c r="I194" s="147"/>
      <c r="J194" s="146"/>
      <c r="K194" s="147"/>
      <c r="L194" s="145"/>
      <c r="M194" s="145"/>
      <c r="N194" s="145"/>
      <c r="O194" s="145"/>
      <c r="P194" s="145"/>
      <c r="Q194" s="146"/>
    </row>
    <row r="195" spans="1:17" ht="11.25">
      <c r="A195" s="124" t="s">
        <v>195</v>
      </c>
      <c r="B195" s="35" t="s">
        <v>304</v>
      </c>
      <c r="C195" s="35">
        <v>141228</v>
      </c>
      <c r="D195" s="36">
        <v>8</v>
      </c>
      <c r="E195" s="145">
        <v>3717320</v>
      </c>
      <c r="F195" s="146">
        <v>3685131</v>
      </c>
      <c r="G195" s="147"/>
      <c r="H195" s="145"/>
      <c r="I195" s="147"/>
      <c r="J195" s="146"/>
      <c r="K195" s="147"/>
      <c r="L195" s="145"/>
      <c r="M195" s="145"/>
      <c r="N195" s="145"/>
      <c r="O195" s="145"/>
      <c r="P195" s="145"/>
      <c r="Q195" s="146"/>
    </row>
    <row r="196" spans="1:17" ht="11.25">
      <c r="A196" s="124"/>
      <c r="B196" s="35"/>
      <c r="C196" s="35"/>
      <c r="D196" s="36"/>
      <c r="E196" s="145"/>
      <c r="F196" s="146"/>
      <c r="G196" s="147"/>
      <c r="H196" s="145"/>
      <c r="I196" s="147"/>
      <c r="J196" s="146"/>
      <c r="K196" s="147"/>
      <c r="L196" s="145"/>
      <c r="M196" s="145"/>
      <c r="N196" s="145"/>
      <c r="O196" s="145"/>
      <c r="P196" s="145"/>
      <c r="Q196" s="146"/>
    </row>
    <row r="197" spans="1:17" ht="11.25">
      <c r="A197" s="35" t="s">
        <v>305</v>
      </c>
      <c r="B197" s="160" t="s">
        <v>306</v>
      </c>
      <c r="C197" s="160">
        <v>157085</v>
      </c>
      <c r="D197" s="161">
        <v>1</v>
      </c>
      <c r="E197" s="162">
        <v>83324600</v>
      </c>
      <c r="F197" s="163">
        <v>86916700</v>
      </c>
      <c r="G197" s="164"/>
      <c r="H197" s="162"/>
      <c r="I197" s="164"/>
      <c r="J197" s="163">
        <v>75496600</v>
      </c>
      <c r="K197" s="164">
        <v>14728500</v>
      </c>
      <c r="L197" s="162">
        <v>0</v>
      </c>
      <c r="M197" s="162">
        <v>31060900</v>
      </c>
      <c r="N197" s="162">
        <v>26106100</v>
      </c>
      <c r="O197" s="162">
        <v>0</v>
      </c>
      <c r="P197" s="162">
        <v>13849700</v>
      </c>
      <c r="Q197" s="163">
        <v>100000</v>
      </c>
    </row>
    <row r="198" spans="1:17" ht="11.25">
      <c r="A198" s="35" t="s">
        <v>305</v>
      </c>
      <c r="B198" s="160" t="s">
        <v>307</v>
      </c>
      <c r="C198" s="160">
        <v>157289</v>
      </c>
      <c r="D198" s="161">
        <v>2</v>
      </c>
      <c r="E198" s="162">
        <v>73201700</v>
      </c>
      <c r="F198" s="163">
        <v>68765700</v>
      </c>
      <c r="G198" s="164"/>
      <c r="H198" s="162"/>
      <c r="I198" s="164"/>
      <c r="J198" s="163">
        <v>64955400</v>
      </c>
      <c r="K198" s="164">
        <v>1247600</v>
      </c>
      <c r="L198" s="162">
        <v>0</v>
      </c>
      <c r="M198" s="162">
        <v>0</v>
      </c>
      <c r="N198" s="162">
        <v>0</v>
      </c>
      <c r="O198" s="162">
        <v>0</v>
      </c>
      <c r="P198" s="162">
        <v>796600</v>
      </c>
      <c r="Q198" s="163">
        <v>0</v>
      </c>
    </row>
    <row r="199" spans="1:17" ht="11.25">
      <c r="A199" s="35" t="s">
        <v>305</v>
      </c>
      <c r="B199" s="160" t="s">
        <v>308</v>
      </c>
      <c r="C199" s="160">
        <v>156620</v>
      </c>
      <c r="D199" s="161">
        <v>3</v>
      </c>
      <c r="E199" s="162">
        <v>49894685</v>
      </c>
      <c r="F199" s="163">
        <v>52151485</v>
      </c>
      <c r="G199" s="164"/>
      <c r="H199" s="162"/>
      <c r="I199" s="164"/>
      <c r="J199" s="163"/>
      <c r="K199" s="164">
        <v>0</v>
      </c>
      <c r="L199" s="162">
        <v>0</v>
      </c>
      <c r="M199" s="162">
        <v>0</v>
      </c>
      <c r="N199" s="162">
        <v>0</v>
      </c>
      <c r="O199" s="162">
        <v>0</v>
      </c>
      <c r="P199" s="162">
        <v>0</v>
      </c>
      <c r="Q199" s="163">
        <v>0</v>
      </c>
    </row>
    <row r="200" spans="1:17" ht="11.25">
      <c r="A200" s="35" t="s">
        <v>305</v>
      </c>
      <c r="B200" s="160" t="s">
        <v>309</v>
      </c>
      <c r="C200" s="160">
        <v>157401</v>
      </c>
      <c r="D200" s="161">
        <v>3</v>
      </c>
      <c r="E200" s="162">
        <v>34023805</v>
      </c>
      <c r="F200" s="163">
        <v>35803105</v>
      </c>
      <c r="G200" s="164"/>
      <c r="H200" s="162"/>
      <c r="I200" s="164"/>
      <c r="J200" s="163"/>
      <c r="K200" s="164">
        <v>2358700</v>
      </c>
      <c r="L200" s="162">
        <v>0</v>
      </c>
      <c r="M200" s="162">
        <v>0</v>
      </c>
      <c r="N200" s="162">
        <v>0</v>
      </c>
      <c r="O200" s="162">
        <v>0</v>
      </c>
      <c r="P200" s="162">
        <v>0</v>
      </c>
      <c r="Q200" s="163">
        <v>100000</v>
      </c>
    </row>
    <row r="201" spans="1:17" ht="11.25">
      <c r="A201" s="35" t="s">
        <v>305</v>
      </c>
      <c r="B201" s="160" t="s">
        <v>310</v>
      </c>
      <c r="C201" s="160">
        <v>157951</v>
      </c>
      <c r="D201" s="161">
        <v>3</v>
      </c>
      <c r="E201" s="162">
        <v>48761205</v>
      </c>
      <c r="F201" s="163">
        <v>50318805</v>
      </c>
      <c r="G201" s="164"/>
      <c r="H201" s="162"/>
      <c r="I201" s="164"/>
      <c r="J201" s="163"/>
      <c r="K201" s="164">
        <v>0</v>
      </c>
      <c r="L201" s="162">
        <v>0</v>
      </c>
      <c r="M201" s="162">
        <v>0</v>
      </c>
      <c r="N201" s="162">
        <v>0</v>
      </c>
      <c r="O201" s="162">
        <v>0</v>
      </c>
      <c r="P201" s="162">
        <v>0</v>
      </c>
      <c r="Q201" s="163">
        <v>0</v>
      </c>
    </row>
    <row r="202" spans="1:17" ht="11.25">
      <c r="A202" s="35" t="s">
        <v>305</v>
      </c>
      <c r="B202" s="160" t="s">
        <v>311</v>
      </c>
      <c r="C202" s="160">
        <v>157386</v>
      </c>
      <c r="D202" s="161">
        <v>4</v>
      </c>
      <c r="E202" s="162">
        <v>28699805</v>
      </c>
      <c r="F202" s="163">
        <v>29890705</v>
      </c>
      <c r="G202" s="164"/>
      <c r="H202" s="162"/>
      <c r="I202" s="164"/>
      <c r="J202" s="163"/>
      <c r="K202" s="164">
        <v>982800</v>
      </c>
      <c r="L202" s="162">
        <v>0</v>
      </c>
      <c r="M202" s="162">
        <v>0</v>
      </c>
      <c r="N202" s="162">
        <v>0</v>
      </c>
      <c r="O202" s="162">
        <v>0</v>
      </c>
      <c r="P202" s="162">
        <v>141000</v>
      </c>
      <c r="Q202" s="163">
        <v>0</v>
      </c>
    </row>
    <row r="203" spans="1:17" ht="11.25">
      <c r="A203" s="35" t="s">
        <v>305</v>
      </c>
      <c r="B203" s="160" t="s">
        <v>312</v>
      </c>
      <c r="C203" s="160">
        <v>157447</v>
      </c>
      <c r="D203" s="161">
        <v>5</v>
      </c>
      <c r="E203" s="162">
        <v>25390000</v>
      </c>
      <c r="F203" s="163">
        <v>26345300</v>
      </c>
      <c r="G203" s="164"/>
      <c r="H203" s="162"/>
      <c r="I203" s="164"/>
      <c r="J203" s="163"/>
      <c r="K203" s="164">
        <v>0</v>
      </c>
      <c r="L203" s="162">
        <v>0</v>
      </c>
      <c r="M203" s="162">
        <v>0</v>
      </c>
      <c r="N203" s="162">
        <v>0</v>
      </c>
      <c r="O203" s="162">
        <v>0</v>
      </c>
      <c r="P203" s="162">
        <v>0</v>
      </c>
      <c r="Q203" s="163">
        <v>0</v>
      </c>
    </row>
    <row r="204" spans="1:17" ht="11.25">
      <c r="A204" s="35" t="s">
        <v>305</v>
      </c>
      <c r="B204" s="160" t="s">
        <v>313</v>
      </c>
      <c r="C204" s="160">
        <v>157058</v>
      </c>
      <c r="D204" s="161">
        <v>6</v>
      </c>
      <c r="E204" s="162">
        <v>16251700</v>
      </c>
      <c r="F204" s="163">
        <v>15982250</v>
      </c>
      <c r="G204" s="164"/>
      <c r="H204" s="162"/>
      <c r="I204" s="164"/>
      <c r="J204" s="163"/>
      <c r="K204" s="164">
        <v>355650</v>
      </c>
      <c r="L204" s="162">
        <v>0</v>
      </c>
      <c r="M204" s="162">
        <v>845100</v>
      </c>
      <c r="N204" s="162">
        <v>0</v>
      </c>
      <c r="O204" s="162">
        <v>0</v>
      </c>
      <c r="P204" s="162">
        <v>0</v>
      </c>
      <c r="Q204" s="163">
        <v>0</v>
      </c>
    </row>
    <row r="205" spans="1:17" ht="11.25">
      <c r="A205" s="35" t="s">
        <v>305</v>
      </c>
      <c r="B205" s="160" t="s">
        <v>314</v>
      </c>
      <c r="C205" s="160">
        <v>156231</v>
      </c>
      <c r="D205" s="161">
        <v>7</v>
      </c>
      <c r="E205" s="162">
        <v>64884900</v>
      </c>
      <c r="F205" s="163">
        <v>71125900</v>
      </c>
      <c r="G205" s="164"/>
      <c r="H205" s="162"/>
      <c r="I205" s="164"/>
      <c r="J205" s="163"/>
      <c r="K205" s="164">
        <v>0</v>
      </c>
      <c r="L205" s="162">
        <v>0</v>
      </c>
      <c r="M205" s="162">
        <v>0</v>
      </c>
      <c r="N205" s="162">
        <v>0</v>
      </c>
      <c r="O205" s="162">
        <v>0</v>
      </c>
      <c r="P205" s="162">
        <v>0</v>
      </c>
      <c r="Q205" s="163">
        <v>0</v>
      </c>
    </row>
    <row r="206" spans="1:17" ht="11.25">
      <c r="A206" s="35" t="s">
        <v>315</v>
      </c>
      <c r="B206" s="145" t="s">
        <v>960</v>
      </c>
      <c r="C206" s="165" t="s">
        <v>317</v>
      </c>
      <c r="D206" s="146">
        <v>1</v>
      </c>
      <c r="E206" s="145">
        <v>107393932</v>
      </c>
      <c r="F206" s="146">
        <f>116551064-600000-1561287+6627000</f>
        <v>121016777</v>
      </c>
      <c r="G206" s="147">
        <v>0</v>
      </c>
      <c r="H206" s="145">
        <v>0</v>
      </c>
      <c r="I206" s="147">
        <v>13620935</v>
      </c>
      <c r="J206" s="146"/>
      <c r="K206" s="147"/>
      <c r="L206" s="145"/>
      <c r="M206" s="145"/>
      <c r="N206" s="145"/>
      <c r="O206" s="145"/>
      <c r="P206" s="145"/>
      <c r="Q206" s="146"/>
    </row>
    <row r="207" spans="1:17" ht="11.25">
      <c r="A207" s="35" t="s">
        <v>315</v>
      </c>
      <c r="B207" s="145" t="s">
        <v>961</v>
      </c>
      <c r="C207" s="165" t="s">
        <v>319</v>
      </c>
      <c r="D207" s="146">
        <v>2</v>
      </c>
      <c r="E207" s="145">
        <v>41214698</v>
      </c>
      <c r="F207" s="146">
        <f>45058257-75000+2115000</f>
        <v>47098257</v>
      </c>
      <c r="G207" s="147">
        <v>0</v>
      </c>
      <c r="H207" s="145">
        <v>0</v>
      </c>
      <c r="I207" s="147"/>
      <c r="J207" s="146"/>
      <c r="K207" s="147"/>
      <c r="L207" s="145"/>
      <c r="M207" s="145"/>
      <c r="N207" s="145"/>
      <c r="O207" s="145"/>
      <c r="P207" s="145"/>
      <c r="Q207" s="146"/>
    </row>
    <row r="208" spans="1:17" ht="11.25">
      <c r="A208" s="35" t="s">
        <v>315</v>
      </c>
      <c r="B208" s="145" t="s">
        <v>320</v>
      </c>
      <c r="C208" s="165" t="s">
        <v>321</v>
      </c>
      <c r="D208" s="146">
        <v>2</v>
      </c>
      <c r="E208" s="145">
        <v>34193995</v>
      </c>
      <c r="F208" s="146">
        <f>38043925-100000+1893000</f>
        <v>39836925</v>
      </c>
      <c r="G208" s="147">
        <v>0</v>
      </c>
      <c r="H208" s="145">
        <v>0</v>
      </c>
      <c r="I208" s="147"/>
      <c r="J208" s="146"/>
      <c r="K208" s="147"/>
      <c r="L208" s="145"/>
      <c r="M208" s="145"/>
      <c r="N208" s="145"/>
      <c r="O208" s="145"/>
      <c r="P208" s="145"/>
      <c r="Q208" s="146"/>
    </row>
    <row r="209" spans="1:17" ht="11.25">
      <c r="A209" s="35" t="s">
        <v>315</v>
      </c>
      <c r="B209" s="145" t="s">
        <v>962</v>
      </c>
      <c r="C209" s="165" t="s">
        <v>323</v>
      </c>
      <c r="D209" s="146">
        <v>3</v>
      </c>
      <c r="E209" s="145">
        <v>29564273</v>
      </c>
      <c r="F209" s="146">
        <f>32091272-25000+1161000</f>
        <v>33227272</v>
      </c>
      <c r="G209" s="147">
        <v>0</v>
      </c>
      <c r="H209" s="145">
        <v>0</v>
      </c>
      <c r="I209" s="147"/>
      <c r="J209" s="146"/>
      <c r="K209" s="147"/>
      <c r="L209" s="145"/>
      <c r="M209" s="145"/>
      <c r="N209" s="145"/>
      <c r="O209" s="145"/>
      <c r="P209" s="145"/>
      <c r="Q209" s="146"/>
    </row>
    <row r="210" spans="1:17" ht="11.25">
      <c r="A210" s="35" t="s">
        <v>315</v>
      </c>
      <c r="B210" s="145" t="s">
        <v>324</v>
      </c>
      <c r="C210" s="165" t="s">
        <v>325</v>
      </c>
      <c r="D210" s="146">
        <v>3</v>
      </c>
      <c r="E210" s="145">
        <v>32365963</v>
      </c>
      <c r="F210" s="146">
        <f>36677820+4836355-1091149+1965000</f>
        <v>42388026</v>
      </c>
      <c r="G210" s="147">
        <v>0</v>
      </c>
      <c r="H210" s="145">
        <v>0</v>
      </c>
      <c r="I210" s="147"/>
      <c r="J210" s="146"/>
      <c r="K210" s="147"/>
      <c r="L210" s="145"/>
      <c r="M210" s="145"/>
      <c r="N210" s="145"/>
      <c r="O210" s="145"/>
      <c r="P210" s="145"/>
      <c r="Q210" s="146"/>
    </row>
    <row r="211" spans="1:17" ht="11.25">
      <c r="A211" s="35" t="s">
        <v>315</v>
      </c>
      <c r="B211" s="145" t="s">
        <v>326</v>
      </c>
      <c r="C211" s="165" t="s">
        <v>327</v>
      </c>
      <c r="D211" s="146">
        <v>3</v>
      </c>
      <c r="E211" s="145">
        <v>30279752</v>
      </c>
      <c r="F211" s="146">
        <f>32800363-100000+2058000</f>
        <v>34758363</v>
      </c>
      <c r="G211" s="147">
        <v>0</v>
      </c>
      <c r="H211" s="145">
        <v>0</v>
      </c>
      <c r="I211" s="147"/>
      <c r="J211" s="146"/>
      <c r="K211" s="147"/>
      <c r="L211" s="145"/>
      <c r="M211" s="145"/>
      <c r="N211" s="145"/>
      <c r="O211" s="145"/>
      <c r="P211" s="145"/>
      <c r="Q211" s="146"/>
    </row>
    <row r="212" spans="1:17" ht="11.25">
      <c r="A212" s="35" t="s">
        <v>315</v>
      </c>
      <c r="B212" s="145" t="s">
        <v>328</v>
      </c>
      <c r="C212" s="165" t="s">
        <v>329</v>
      </c>
      <c r="D212" s="146">
        <v>3</v>
      </c>
      <c r="E212" s="145">
        <v>18270307</v>
      </c>
      <c r="F212" s="146">
        <f>20173523+1050000</f>
        <v>21223523</v>
      </c>
      <c r="G212" s="147">
        <v>0</v>
      </c>
      <c r="H212" s="145">
        <v>0</v>
      </c>
      <c r="I212" s="147"/>
      <c r="J212" s="146"/>
      <c r="K212" s="147"/>
      <c r="L212" s="145"/>
      <c r="M212" s="145"/>
      <c r="N212" s="145"/>
      <c r="O212" s="145"/>
      <c r="P212" s="145"/>
      <c r="Q212" s="146"/>
    </row>
    <row r="213" spans="1:17" ht="11.25">
      <c r="A213" s="35" t="s">
        <v>315</v>
      </c>
      <c r="B213" s="145" t="s">
        <v>330</v>
      </c>
      <c r="C213" s="165" t="s">
        <v>331</v>
      </c>
      <c r="D213" s="146">
        <v>4</v>
      </c>
      <c r="E213" s="145">
        <v>18566726</v>
      </c>
      <c r="F213" s="146">
        <f>21539586-1255058+993000</f>
        <v>21277528</v>
      </c>
      <c r="G213" s="147">
        <v>0</v>
      </c>
      <c r="H213" s="145">
        <v>0</v>
      </c>
      <c r="I213" s="147"/>
      <c r="J213" s="146"/>
      <c r="K213" s="147"/>
      <c r="L213" s="145"/>
      <c r="M213" s="145"/>
      <c r="N213" s="145"/>
      <c r="O213" s="145"/>
      <c r="P213" s="145"/>
      <c r="Q213" s="146"/>
    </row>
    <row r="214" spans="1:17" ht="11.25">
      <c r="A214" s="35" t="s">
        <v>315</v>
      </c>
      <c r="B214" s="145" t="s">
        <v>332</v>
      </c>
      <c r="C214" s="165" t="s">
        <v>333</v>
      </c>
      <c r="D214" s="146">
        <v>4</v>
      </c>
      <c r="E214" s="145">
        <v>19863553</v>
      </c>
      <c r="F214" s="146">
        <f>21398697+1386000</f>
        <v>22784697</v>
      </c>
      <c r="G214" s="147">
        <v>0</v>
      </c>
      <c r="H214" s="145">
        <v>0</v>
      </c>
      <c r="I214" s="147"/>
      <c r="J214" s="146"/>
      <c r="K214" s="147"/>
      <c r="L214" s="145"/>
      <c r="M214" s="145"/>
      <c r="N214" s="145"/>
      <c r="O214" s="145"/>
      <c r="P214" s="145"/>
      <c r="Q214" s="146"/>
    </row>
    <row r="215" spans="1:17" ht="11.25">
      <c r="A215" s="35" t="s">
        <v>315</v>
      </c>
      <c r="B215" s="145" t="s">
        <v>334</v>
      </c>
      <c r="C215" s="165" t="s">
        <v>335</v>
      </c>
      <c r="D215" s="146">
        <v>4</v>
      </c>
      <c r="E215" s="145">
        <v>27389374</v>
      </c>
      <c r="F215" s="146">
        <f>30239062+1590000</f>
        <v>31829062</v>
      </c>
      <c r="G215" s="147">
        <v>0</v>
      </c>
      <c r="H215" s="145">
        <v>0</v>
      </c>
      <c r="I215" s="147"/>
      <c r="J215" s="146"/>
      <c r="K215" s="147"/>
      <c r="L215" s="145"/>
      <c r="M215" s="145"/>
      <c r="N215" s="145"/>
      <c r="O215" s="145"/>
      <c r="P215" s="145"/>
      <c r="Q215" s="146"/>
    </row>
    <row r="216" spans="1:17" ht="11.25">
      <c r="A216" s="35" t="s">
        <v>315</v>
      </c>
      <c r="B216" s="145" t="s">
        <v>336</v>
      </c>
      <c r="C216" s="165" t="s">
        <v>337</v>
      </c>
      <c r="D216" s="146">
        <v>5</v>
      </c>
      <c r="E216" s="145">
        <v>8951751</v>
      </c>
      <c r="F216" s="146">
        <f>9844044+465000</f>
        <v>10309044</v>
      </c>
      <c r="G216" s="147">
        <v>0</v>
      </c>
      <c r="H216" s="145">
        <v>0</v>
      </c>
      <c r="I216" s="147"/>
      <c r="J216" s="146"/>
      <c r="K216" s="147"/>
      <c r="L216" s="145"/>
      <c r="M216" s="145"/>
      <c r="N216" s="145"/>
      <c r="O216" s="145"/>
      <c r="P216" s="145"/>
      <c r="Q216" s="146"/>
    </row>
    <row r="217" spans="1:17" ht="11.25">
      <c r="A217" s="35" t="s">
        <v>315</v>
      </c>
      <c r="B217" s="145" t="s">
        <v>338</v>
      </c>
      <c r="C217" s="165" t="s">
        <v>339</v>
      </c>
      <c r="D217" s="146">
        <v>5</v>
      </c>
      <c r="E217" s="145">
        <v>17368092</v>
      </c>
      <c r="F217" s="146">
        <f>18845424+561000</f>
        <v>19406424</v>
      </c>
      <c r="G217" s="147">
        <v>0</v>
      </c>
      <c r="H217" s="145">
        <v>0</v>
      </c>
      <c r="I217" s="147"/>
      <c r="J217" s="146"/>
      <c r="K217" s="147"/>
      <c r="L217" s="145"/>
      <c r="M217" s="145"/>
      <c r="N217" s="145"/>
      <c r="O217" s="145"/>
      <c r="P217" s="145"/>
      <c r="Q217" s="146"/>
    </row>
    <row r="218" spans="1:17" ht="11.25">
      <c r="A218" s="35" t="s">
        <v>315</v>
      </c>
      <c r="B218" s="145" t="s">
        <v>340</v>
      </c>
      <c r="C218" s="165" t="s">
        <v>341</v>
      </c>
      <c r="D218" s="146">
        <v>5</v>
      </c>
      <c r="E218" s="145">
        <v>9166971</v>
      </c>
      <c r="F218" s="146">
        <f>10104372+393000</f>
        <v>10497372</v>
      </c>
      <c r="G218" s="147">
        <v>0</v>
      </c>
      <c r="H218" s="145">
        <v>0</v>
      </c>
      <c r="I218" s="147"/>
      <c r="J218" s="146"/>
      <c r="K218" s="147"/>
      <c r="L218" s="145"/>
      <c r="M218" s="145"/>
      <c r="N218" s="145"/>
      <c r="O218" s="145"/>
      <c r="P218" s="145"/>
      <c r="Q218" s="146"/>
    </row>
    <row r="219" spans="1:17" ht="11.25">
      <c r="A219" s="35" t="s">
        <v>315</v>
      </c>
      <c r="B219" s="145" t="s">
        <v>342</v>
      </c>
      <c r="C219" s="165" t="s">
        <v>343</v>
      </c>
      <c r="D219" s="146">
        <v>7</v>
      </c>
      <c r="E219" s="145"/>
      <c r="F219" s="146"/>
      <c r="G219" s="147">
        <v>0</v>
      </c>
      <c r="H219" s="145">
        <v>0</v>
      </c>
      <c r="I219" s="147"/>
      <c r="J219" s="146"/>
      <c r="K219" s="147"/>
      <c r="L219" s="145"/>
      <c r="M219" s="145"/>
      <c r="N219" s="145"/>
      <c r="O219" s="145"/>
      <c r="P219" s="145"/>
      <c r="Q219" s="146"/>
    </row>
    <row r="220" spans="1:17" ht="11.25">
      <c r="A220" s="35" t="s">
        <v>315</v>
      </c>
      <c r="B220" s="145" t="s">
        <v>344</v>
      </c>
      <c r="C220" s="165" t="s">
        <v>345</v>
      </c>
      <c r="D220" s="146">
        <v>7</v>
      </c>
      <c r="E220" s="145">
        <v>18765898</v>
      </c>
      <c r="F220" s="146">
        <f>20188988+519000</f>
        <v>20707988</v>
      </c>
      <c r="G220" s="147">
        <v>0</v>
      </c>
      <c r="H220" s="145">
        <v>0</v>
      </c>
      <c r="I220" s="147"/>
      <c r="J220" s="146"/>
      <c r="K220" s="147"/>
      <c r="L220" s="145"/>
      <c r="M220" s="145"/>
      <c r="N220" s="145"/>
      <c r="O220" s="145"/>
      <c r="P220" s="145"/>
      <c r="Q220" s="146"/>
    </row>
    <row r="221" spans="1:17" ht="11.25">
      <c r="A221" s="35" t="s">
        <v>315</v>
      </c>
      <c r="B221" s="145" t="s">
        <v>346</v>
      </c>
      <c r="C221" s="165" t="s">
        <v>347</v>
      </c>
      <c r="D221" s="146">
        <v>7</v>
      </c>
      <c r="E221" s="145">
        <v>4829419</v>
      </c>
      <c r="F221" s="146">
        <f>5213596+372000</f>
        <v>5585596</v>
      </c>
      <c r="G221" s="147">
        <v>0</v>
      </c>
      <c r="H221" s="145">
        <v>0</v>
      </c>
      <c r="I221" s="147"/>
      <c r="J221" s="146"/>
      <c r="K221" s="147"/>
      <c r="L221" s="145"/>
      <c r="M221" s="145"/>
      <c r="N221" s="145"/>
      <c r="O221" s="145"/>
      <c r="P221" s="145"/>
      <c r="Q221" s="146"/>
    </row>
    <row r="222" spans="1:17" ht="11.25">
      <c r="A222" s="35" t="s">
        <v>315</v>
      </c>
      <c r="B222" s="145" t="s">
        <v>348</v>
      </c>
      <c r="C222" s="165" t="s">
        <v>349</v>
      </c>
      <c r="D222" s="146">
        <v>7</v>
      </c>
      <c r="E222" s="145">
        <v>4113722</v>
      </c>
      <c r="F222" s="146">
        <f>4439360+270000</f>
        <v>4709360</v>
      </c>
      <c r="G222" s="147">
        <v>0</v>
      </c>
      <c r="H222" s="145">
        <v>0</v>
      </c>
      <c r="I222" s="147"/>
      <c r="J222" s="146"/>
      <c r="K222" s="147"/>
      <c r="L222" s="145"/>
      <c r="M222" s="145"/>
      <c r="N222" s="145"/>
      <c r="O222" s="145"/>
      <c r="P222" s="145"/>
      <c r="Q222" s="146"/>
    </row>
    <row r="223" spans="1:17" ht="11.25">
      <c r="A223" s="35" t="s">
        <v>315</v>
      </c>
      <c r="B223" s="145" t="s">
        <v>350</v>
      </c>
      <c r="C223" s="165" t="s">
        <v>351</v>
      </c>
      <c r="D223" s="146">
        <v>7</v>
      </c>
      <c r="E223" s="145">
        <v>3244417</v>
      </c>
      <c r="F223" s="146">
        <v>3524976</v>
      </c>
      <c r="G223" s="147">
        <v>0</v>
      </c>
      <c r="H223" s="145">
        <v>0</v>
      </c>
      <c r="I223" s="147"/>
      <c r="J223" s="146"/>
      <c r="K223" s="147"/>
      <c r="L223" s="145"/>
      <c r="M223" s="145"/>
      <c r="N223" s="145"/>
      <c r="O223" s="145"/>
      <c r="P223" s="145"/>
      <c r="Q223" s="146"/>
    </row>
    <row r="224" spans="1:17" ht="11.25">
      <c r="A224" s="35" t="s">
        <v>315</v>
      </c>
      <c r="B224" s="145" t="s">
        <v>352</v>
      </c>
      <c r="C224" s="165" t="s">
        <v>353</v>
      </c>
      <c r="D224" s="146">
        <v>7</v>
      </c>
      <c r="E224" s="145">
        <v>4234697</v>
      </c>
      <c r="F224" s="146">
        <f>4509685+228000</f>
        <v>4737685</v>
      </c>
      <c r="G224" s="147">
        <v>0</v>
      </c>
      <c r="H224" s="145">
        <v>0</v>
      </c>
      <c r="I224" s="147"/>
      <c r="J224" s="146"/>
      <c r="K224" s="147"/>
      <c r="L224" s="145"/>
      <c r="M224" s="145"/>
      <c r="N224" s="145"/>
      <c r="O224" s="145"/>
      <c r="P224" s="145"/>
      <c r="Q224" s="146"/>
    </row>
    <row r="225" spans="1:17" ht="11.25">
      <c r="A225" s="35" t="s">
        <v>315</v>
      </c>
      <c r="B225" s="145" t="s">
        <v>354</v>
      </c>
      <c r="C225" s="165" t="s">
        <v>317</v>
      </c>
      <c r="D225" s="146">
        <v>9</v>
      </c>
      <c r="E225" s="145">
        <v>4625286</v>
      </c>
      <c r="F225" s="146">
        <v>4931109</v>
      </c>
      <c r="G225" s="147">
        <v>0</v>
      </c>
      <c r="H225" s="145">
        <v>0</v>
      </c>
      <c r="I225" s="147"/>
      <c r="J225" s="146"/>
      <c r="K225" s="147"/>
      <c r="L225" s="145"/>
      <c r="M225" s="145"/>
      <c r="N225" s="145"/>
      <c r="O225" s="145"/>
      <c r="P225" s="145"/>
      <c r="Q225" s="146"/>
    </row>
    <row r="226" spans="1:17" ht="11.25">
      <c r="A226" s="35" t="s">
        <v>315</v>
      </c>
      <c r="B226" s="145" t="s">
        <v>355</v>
      </c>
      <c r="C226" s="165" t="s">
        <v>356</v>
      </c>
      <c r="D226" s="146">
        <v>9</v>
      </c>
      <c r="E226" s="145">
        <v>61466068</v>
      </c>
      <c r="F226" s="146">
        <v>71396264</v>
      </c>
      <c r="G226" s="147">
        <v>0</v>
      </c>
      <c r="H226" s="145">
        <v>0</v>
      </c>
      <c r="I226" s="147"/>
      <c r="J226" s="146"/>
      <c r="K226" s="147"/>
      <c r="L226" s="145"/>
      <c r="M226" s="145"/>
      <c r="N226" s="145"/>
      <c r="O226" s="145"/>
      <c r="P226" s="145"/>
      <c r="Q226" s="146"/>
    </row>
    <row r="227" spans="1:17" ht="11.25">
      <c r="A227" s="35" t="s">
        <v>315</v>
      </c>
      <c r="B227" s="35" t="s">
        <v>357</v>
      </c>
      <c r="C227" s="35">
        <v>160560</v>
      </c>
      <c r="D227" s="36">
        <v>8</v>
      </c>
      <c r="E227" s="145">
        <v>1290000</v>
      </c>
      <c r="F227" s="146">
        <v>1315674</v>
      </c>
      <c r="G227" s="147"/>
      <c r="H227" s="145"/>
      <c r="I227" s="147"/>
      <c r="J227" s="146"/>
      <c r="K227" s="147"/>
      <c r="L227" s="145"/>
      <c r="M227" s="145"/>
      <c r="N227" s="145"/>
      <c r="O227" s="145"/>
      <c r="P227" s="145"/>
      <c r="Q227" s="146"/>
    </row>
    <row r="228" spans="1:17" ht="11.25">
      <c r="A228" s="35" t="s">
        <v>315</v>
      </c>
      <c r="B228" s="35" t="s">
        <v>358</v>
      </c>
      <c r="C228" s="35">
        <v>158088</v>
      </c>
      <c r="D228" s="36">
        <v>8</v>
      </c>
      <c r="E228" s="145">
        <v>1625515</v>
      </c>
      <c r="F228" s="146">
        <v>1821288</v>
      </c>
      <c r="G228" s="147"/>
      <c r="H228" s="145"/>
      <c r="I228" s="147"/>
      <c r="J228" s="146"/>
      <c r="K228" s="147"/>
      <c r="L228" s="145"/>
      <c r="M228" s="145"/>
      <c r="N228" s="145"/>
      <c r="O228" s="145"/>
      <c r="P228" s="145"/>
      <c r="Q228" s="146"/>
    </row>
    <row r="229" spans="1:17" ht="11.25">
      <c r="A229" s="35" t="s">
        <v>315</v>
      </c>
      <c r="B229" s="35" t="s">
        <v>359</v>
      </c>
      <c r="C229" s="35">
        <v>158219</v>
      </c>
      <c r="D229" s="36">
        <v>8</v>
      </c>
      <c r="E229" s="145">
        <v>1161000</v>
      </c>
      <c r="F229" s="146">
        <v>1340157</v>
      </c>
      <c r="G229" s="147"/>
      <c r="H229" s="145"/>
      <c r="I229" s="147"/>
      <c r="J229" s="146"/>
      <c r="K229" s="147"/>
      <c r="L229" s="145"/>
      <c r="M229" s="145"/>
      <c r="N229" s="145"/>
      <c r="O229" s="145"/>
      <c r="P229" s="145"/>
      <c r="Q229" s="146"/>
    </row>
    <row r="230" spans="1:17" ht="11.25">
      <c r="A230" s="35" t="s">
        <v>315</v>
      </c>
      <c r="B230" s="35" t="s">
        <v>360</v>
      </c>
      <c r="C230" s="35">
        <v>158237</v>
      </c>
      <c r="D230" s="36">
        <v>8</v>
      </c>
      <c r="E230" s="145">
        <v>1432980</v>
      </c>
      <c r="F230" s="146">
        <v>1401416</v>
      </c>
      <c r="G230" s="147"/>
      <c r="H230" s="145"/>
      <c r="I230" s="147"/>
      <c r="J230" s="146"/>
      <c r="K230" s="147"/>
      <c r="L230" s="145"/>
      <c r="M230" s="145"/>
      <c r="N230" s="145"/>
      <c r="O230" s="145"/>
      <c r="P230" s="145"/>
      <c r="Q230" s="146"/>
    </row>
    <row r="231" spans="1:17" ht="11.25">
      <c r="A231" s="35" t="s">
        <v>315</v>
      </c>
      <c r="B231" s="35" t="s">
        <v>361</v>
      </c>
      <c r="C231" s="35">
        <v>158307</v>
      </c>
      <c r="D231" s="36">
        <v>8</v>
      </c>
      <c r="E231" s="145">
        <v>1254716</v>
      </c>
      <c r="F231" s="146">
        <v>1256181</v>
      </c>
      <c r="G231" s="147"/>
      <c r="H231" s="145"/>
      <c r="I231" s="147"/>
      <c r="J231" s="146"/>
      <c r="K231" s="147"/>
      <c r="L231" s="145"/>
      <c r="M231" s="145"/>
      <c r="N231" s="145"/>
      <c r="O231" s="145"/>
      <c r="P231" s="145"/>
      <c r="Q231" s="146"/>
    </row>
    <row r="232" spans="1:17" ht="11.25">
      <c r="A232" s="35" t="s">
        <v>315</v>
      </c>
      <c r="B232" s="35" t="s">
        <v>362</v>
      </c>
      <c r="C232" s="35">
        <v>158352</v>
      </c>
      <c r="D232" s="36">
        <v>8</v>
      </c>
      <c r="E232" s="145">
        <v>2802273</v>
      </c>
      <c r="F232" s="146">
        <v>2975152</v>
      </c>
      <c r="G232" s="147"/>
      <c r="H232" s="145"/>
      <c r="I232" s="147"/>
      <c r="J232" s="146"/>
      <c r="K232" s="147"/>
      <c r="L232" s="145"/>
      <c r="M232" s="145"/>
      <c r="N232" s="145"/>
      <c r="O232" s="145"/>
      <c r="P232" s="145"/>
      <c r="Q232" s="146"/>
    </row>
    <row r="233" spans="1:17" ht="11.25">
      <c r="A233" s="35" t="s">
        <v>315</v>
      </c>
      <c r="B233" s="35" t="s">
        <v>363</v>
      </c>
      <c r="C233" s="35">
        <v>158529</v>
      </c>
      <c r="D233" s="36">
        <v>8</v>
      </c>
      <c r="E233" s="145">
        <v>726166</v>
      </c>
      <c r="F233" s="146">
        <v>765272</v>
      </c>
      <c r="G233" s="147"/>
      <c r="H233" s="145"/>
      <c r="I233" s="147"/>
      <c r="J233" s="146"/>
      <c r="K233" s="147"/>
      <c r="L233" s="145"/>
      <c r="M233" s="145"/>
      <c r="N233" s="145"/>
      <c r="O233" s="145"/>
      <c r="P233" s="145"/>
      <c r="Q233" s="146"/>
    </row>
    <row r="234" spans="1:17" ht="11.25">
      <c r="A234" s="35" t="s">
        <v>315</v>
      </c>
      <c r="B234" s="35" t="s">
        <v>364</v>
      </c>
      <c r="C234" s="35">
        <v>158583</v>
      </c>
      <c r="D234" s="36">
        <v>8</v>
      </c>
      <c r="E234" s="145">
        <v>668787</v>
      </c>
      <c r="F234" s="146">
        <v>627145</v>
      </c>
      <c r="G234" s="147"/>
      <c r="H234" s="145"/>
      <c r="I234" s="147"/>
      <c r="J234" s="146"/>
      <c r="K234" s="147"/>
      <c r="L234" s="145"/>
      <c r="M234" s="145"/>
      <c r="N234" s="145"/>
      <c r="O234" s="145"/>
      <c r="P234" s="145"/>
      <c r="Q234" s="146"/>
    </row>
    <row r="235" spans="1:17" ht="11.25">
      <c r="A235" s="35" t="s">
        <v>315</v>
      </c>
      <c r="B235" s="35" t="s">
        <v>365</v>
      </c>
      <c r="C235" s="35">
        <v>160816</v>
      </c>
      <c r="D235" s="36">
        <v>8</v>
      </c>
      <c r="E235" s="145">
        <v>693558</v>
      </c>
      <c r="F235" s="146">
        <v>843772</v>
      </c>
      <c r="G235" s="147"/>
      <c r="H235" s="145"/>
      <c r="I235" s="147"/>
      <c r="J235" s="146"/>
      <c r="K235" s="147"/>
      <c r="L235" s="145"/>
      <c r="M235" s="145"/>
      <c r="N235" s="145"/>
      <c r="O235" s="145"/>
      <c r="P235" s="145"/>
      <c r="Q235" s="146"/>
    </row>
    <row r="236" spans="1:17" ht="11.25">
      <c r="A236" s="35" t="s">
        <v>315</v>
      </c>
      <c r="B236" s="35" t="s">
        <v>366</v>
      </c>
      <c r="C236" s="35">
        <v>158769</v>
      </c>
      <c r="D236" s="36">
        <v>8</v>
      </c>
      <c r="E236" s="145">
        <v>2145340</v>
      </c>
      <c r="F236" s="146">
        <v>2483869</v>
      </c>
      <c r="G236" s="147"/>
      <c r="H236" s="145"/>
      <c r="I236" s="147"/>
      <c r="J236" s="146"/>
      <c r="K236" s="147"/>
      <c r="L236" s="145"/>
      <c r="M236" s="145"/>
      <c r="N236" s="145"/>
      <c r="O236" s="145"/>
      <c r="P236" s="145"/>
      <c r="Q236" s="146"/>
    </row>
    <row r="237" spans="1:17" ht="11.25">
      <c r="A237" s="35" t="s">
        <v>315</v>
      </c>
      <c r="B237" s="35" t="s">
        <v>367</v>
      </c>
      <c r="C237" s="35">
        <v>158893</v>
      </c>
      <c r="D237" s="36">
        <v>8</v>
      </c>
      <c r="E237" s="145">
        <v>854616</v>
      </c>
      <c r="F237" s="146">
        <v>976469</v>
      </c>
      <c r="G237" s="147"/>
      <c r="H237" s="145"/>
      <c r="I237" s="147"/>
      <c r="J237" s="146"/>
      <c r="K237" s="147"/>
      <c r="L237" s="145"/>
      <c r="M237" s="145"/>
      <c r="N237" s="145"/>
      <c r="O237" s="145"/>
      <c r="P237" s="145"/>
      <c r="Q237" s="146"/>
    </row>
    <row r="238" spans="1:17" ht="11.25">
      <c r="A238" s="35" t="s">
        <v>315</v>
      </c>
      <c r="B238" s="35" t="s">
        <v>368</v>
      </c>
      <c r="C238" s="35">
        <v>158936</v>
      </c>
      <c r="D238" s="36">
        <v>8</v>
      </c>
      <c r="E238" s="145">
        <v>731860</v>
      </c>
      <c r="F238" s="146">
        <v>665790</v>
      </c>
      <c r="G238" s="147"/>
      <c r="H238" s="145"/>
      <c r="I238" s="147"/>
      <c r="J238" s="146"/>
      <c r="K238" s="147"/>
      <c r="L238" s="145"/>
      <c r="M238" s="145"/>
      <c r="N238" s="145"/>
      <c r="O238" s="145"/>
      <c r="P238" s="145"/>
      <c r="Q238" s="146"/>
    </row>
    <row r="239" spans="1:17" ht="11.25">
      <c r="A239" s="35" t="s">
        <v>315</v>
      </c>
      <c r="B239" s="35" t="s">
        <v>369</v>
      </c>
      <c r="C239" s="35">
        <v>158945</v>
      </c>
      <c r="D239" s="36">
        <v>8</v>
      </c>
      <c r="E239" s="145">
        <v>882210</v>
      </c>
      <c r="F239" s="146">
        <v>901468</v>
      </c>
      <c r="G239" s="147"/>
      <c r="H239" s="145"/>
      <c r="I239" s="147"/>
      <c r="J239" s="146"/>
      <c r="K239" s="147"/>
      <c r="L239" s="145"/>
      <c r="M239" s="145"/>
      <c r="N239" s="145"/>
      <c r="O239" s="145"/>
      <c r="P239" s="145"/>
      <c r="Q239" s="146"/>
    </row>
    <row r="240" spans="1:17" ht="11.25">
      <c r="A240" s="35" t="s">
        <v>315</v>
      </c>
      <c r="B240" s="35" t="s">
        <v>370</v>
      </c>
      <c r="C240" s="35">
        <v>159018</v>
      </c>
      <c r="D240" s="36">
        <v>8</v>
      </c>
      <c r="E240" s="145">
        <v>1125715</v>
      </c>
      <c r="F240" s="146">
        <v>1185140</v>
      </c>
      <c r="G240" s="147"/>
      <c r="H240" s="145"/>
      <c r="I240" s="147"/>
      <c r="J240" s="146"/>
      <c r="K240" s="147"/>
      <c r="L240" s="145"/>
      <c r="M240" s="145"/>
      <c r="N240" s="145"/>
      <c r="O240" s="145"/>
      <c r="P240" s="145"/>
      <c r="Q240" s="146"/>
    </row>
    <row r="241" spans="1:17" ht="11.25">
      <c r="A241" s="35" t="s">
        <v>315</v>
      </c>
      <c r="B241" s="35" t="s">
        <v>371</v>
      </c>
      <c r="C241" s="35">
        <v>159090</v>
      </c>
      <c r="D241" s="36">
        <v>8</v>
      </c>
      <c r="E241" s="145">
        <v>914465</v>
      </c>
      <c r="F241" s="146">
        <v>1057874</v>
      </c>
      <c r="G241" s="147"/>
      <c r="H241" s="145"/>
      <c r="I241" s="147"/>
      <c r="J241" s="146"/>
      <c r="K241" s="147"/>
      <c r="L241" s="145"/>
      <c r="M241" s="145"/>
      <c r="N241" s="145"/>
      <c r="O241" s="145"/>
      <c r="P241" s="145"/>
      <c r="Q241" s="146"/>
    </row>
    <row r="242" spans="1:17" ht="11.25">
      <c r="A242" s="35" t="s">
        <v>315</v>
      </c>
      <c r="B242" s="35" t="s">
        <v>372</v>
      </c>
      <c r="C242" s="35">
        <v>159258</v>
      </c>
      <c r="D242" s="36">
        <v>8</v>
      </c>
      <c r="E242" s="145">
        <v>1817203</v>
      </c>
      <c r="F242" s="146">
        <v>1786933</v>
      </c>
      <c r="G242" s="147"/>
      <c r="H242" s="145"/>
      <c r="I242" s="147"/>
      <c r="J242" s="146"/>
      <c r="K242" s="147"/>
      <c r="L242" s="145"/>
      <c r="M242" s="145"/>
      <c r="N242" s="145"/>
      <c r="O242" s="145"/>
      <c r="P242" s="145"/>
      <c r="Q242" s="146"/>
    </row>
    <row r="243" spans="1:17" ht="11.25">
      <c r="A243" s="35" t="s">
        <v>315</v>
      </c>
      <c r="B243" s="35" t="s">
        <v>373</v>
      </c>
      <c r="C243" s="35">
        <v>160214</v>
      </c>
      <c r="D243" s="36">
        <v>8</v>
      </c>
      <c r="E243" s="145">
        <v>1873007</v>
      </c>
      <c r="F243" s="146">
        <v>2040469</v>
      </c>
      <c r="G243" s="147"/>
      <c r="H243" s="145"/>
      <c r="I243" s="147"/>
      <c r="J243" s="146"/>
      <c r="K243" s="147"/>
      <c r="L243" s="145"/>
      <c r="M243" s="145"/>
      <c r="N243" s="145"/>
      <c r="O243" s="145"/>
      <c r="P243" s="145"/>
      <c r="Q243" s="146"/>
    </row>
    <row r="244" spans="1:17" ht="11.25">
      <c r="A244" s="35" t="s">
        <v>315</v>
      </c>
      <c r="B244" s="35" t="s">
        <v>374</v>
      </c>
      <c r="C244" s="35">
        <v>159443</v>
      </c>
      <c r="D244" s="36">
        <v>8</v>
      </c>
      <c r="E244" s="145">
        <v>2713525</v>
      </c>
      <c r="F244" s="146">
        <v>2949583</v>
      </c>
      <c r="G244" s="147"/>
      <c r="H244" s="145"/>
      <c r="I244" s="147"/>
      <c r="J244" s="146"/>
      <c r="K244" s="147"/>
      <c r="L244" s="145"/>
      <c r="M244" s="145"/>
      <c r="N244" s="145"/>
      <c r="O244" s="145"/>
      <c r="P244" s="145"/>
      <c r="Q244" s="146"/>
    </row>
    <row r="245" spans="1:17" ht="11.25">
      <c r="A245" s="35" t="s">
        <v>315</v>
      </c>
      <c r="B245" s="35" t="s">
        <v>375</v>
      </c>
      <c r="C245" s="35">
        <v>160843</v>
      </c>
      <c r="D245" s="36">
        <v>8</v>
      </c>
      <c r="E245" s="145">
        <v>908283</v>
      </c>
      <c r="F245" s="146">
        <v>978493</v>
      </c>
      <c r="G245" s="147"/>
      <c r="H245" s="145"/>
      <c r="I245" s="147"/>
      <c r="J245" s="146"/>
      <c r="K245" s="147"/>
      <c r="L245" s="145"/>
      <c r="M245" s="145"/>
      <c r="N245" s="145"/>
      <c r="O245" s="145"/>
      <c r="P245" s="145"/>
      <c r="Q245" s="146"/>
    </row>
    <row r="246" spans="1:17" ht="11.25">
      <c r="A246" s="35" t="s">
        <v>315</v>
      </c>
      <c r="B246" s="35" t="s">
        <v>376</v>
      </c>
      <c r="C246" s="35">
        <v>159692</v>
      </c>
      <c r="D246" s="36">
        <v>8</v>
      </c>
      <c r="E246" s="145">
        <v>680714</v>
      </c>
      <c r="F246" s="146">
        <v>799371</v>
      </c>
      <c r="G246" s="147"/>
      <c r="H246" s="145"/>
      <c r="I246" s="147"/>
      <c r="J246" s="146"/>
      <c r="K246" s="147"/>
      <c r="L246" s="145"/>
      <c r="M246" s="145"/>
      <c r="N246" s="145"/>
      <c r="O246" s="145"/>
      <c r="P246" s="145"/>
      <c r="Q246" s="146"/>
    </row>
    <row r="247" spans="1:17" ht="11.25">
      <c r="A247" s="35" t="s">
        <v>315</v>
      </c>
      <c r="B247" s="35" t="s">
        <v>377</v>
      </c>
      <c r="C247" s="35">
        <v>159823</v>
      </c>
      <c r="D247" s="36">
        <v>8</v>
      </c>
      <c r="E247" s="145">
        <v>1254716</v>
      </c>
      <c r="F247" s="146">
        <v>1256181</v>
      </c>
      <c r="G247" s="147"/>
      <c r="H247" s="145"/>
      <c r="I247" s="147"/>
      <c r="J247" s="146"/>
      <c r="K247" s="147"/>
      <c r="L247" s="145"/>
      <c r="M247" s="145"/>
      <c r="N247" s="145"/>
      <c r="O247" s="145"/>
      <c r="P247" s="145"/>
      <c r="Q247" s="146"/>
    </row>
    <row r="248" spans="1:17" ht="11.25">
      <c r="A248" s="35" t="s">
        <v>315</v>
      </c>
      <c r="B248" s="35" t="s">
        <v>378</v>
      </c>
      <c r="C248" s="35">
        <v>159911</v>
      </c>
      <c r="D248" s="36">
        <v>8</v>
      </c>
      <c r="E248" s="145">
        <v>1513426</v>
      </c>
      <c r="F248" s="146">
        <v>1709580</v>
      </c>
      <c r="G248" s="147"/>
      <c r="H248" s="145"/>
      <c r="I248" s="147"/>
      <c r="J248" s="146"/>
      <c r="K248" s="147"/>
      <c r="L248" s="145"/>
      <c r="M248" s="145"/>
      <c r="N248" s="145"/>
      <c r="O248" s="145"/>
      <c r="P248" s="145"/>
      <c r="Q248" s="146"/>
    </row>
    <row r="249" spans="1:17" ht="11.25">
      <c r="A249" s="35" t="s">
        <v>315</v>
      </c>
      <c r="B249" s="35" t="s">
        <v>379</v>
      </c>
      <c r="C249" s="35">
        <v>159984</v>
      </c>
      <c r="D249" s="36">
        <v>8</v>
      </c>
      <c r="E249" s="145">
        <v>606206</v>
      </c>
      <c r="F249" s="146">
        <v>601657</v>
      </c>
      <c r="G249" s="147"/>
      <c r="H249" s="145"/>
      <c r="I249" s="147"/>
      <c r="J249" s="146"/>
      <c r="K249" s="147"/>
      <c r="L249" s="145"/>
      <c r="M249" s="145"/>
      <c r="N249" s="145"/>
      <c r="O249" s="145"/>
      <c r="P249" s="145"/>
      <c r="Q249" s="146"/>
    </row>
    <row r="250" spans="1:17" ht="11.25">
      <c r="A250" s="35" t="s">
        <v>315</v>
      </c>
      <c r="B250" s="35" t="s">
        <v>380</v>
      </c>
      <c r="C250" s="35">
        <v>160001</v>
      </c>
      <c r="D250" s="36">
        <v>8</v>
      </c>
      <c r="E250" s="145">
        <v>997452</v>
      </c>
      <c r="F250" s="146">
        <v>1086008</v>
      </c>
      <c r="G250" s="147"/>
      <c r="H250" s="145"/>
      <c r="I250" s="147"/>
      <c r="J250" s="146"/>
      <c r="K250" s="147"/>
      <c r="L250" s="145"/>
      <c r="M250" s="145"/>
      <c r="N250" s="145"/>
      <c r="O250" s="145"/>
      <c r="P250" s="145"/>
      <c r="Q250" s="146"/>
    </row>
    <row r="251" spans="1:17" ht="11.25">
      <c r="A251" s="35" t="s">
        <v>315</v>
      </c>
      <c r="B251" s="35" t="s">
        <v>381</v>
      </c>
      <c r="C251" s="35">
        <v>160010</v>
      </c>
      <c r="D251" s="36">
        <v>8</v>
      </c>
      <c r="E251" s="145">
        <v>1267635</v>
      </c>
      <c r="F251" s="146">
        <v>1277139</v>
      </c>
      <c r="G251" s="147"/>
      <c r="H251" s="145"/>
      <c r="I251" s="147"/>
      <c r="J251" s="146"/>
      <c r="K251" s="147"/>
      <c r="L251" s="145"/>
      <c r="M251" s="145"/>
      <c r="N251" s="145"/>
      <c r="O251" s="145"/>
      <c r="P251" s="145"/>
      <c r="Q251" s="146"/>
    </row>
    <row r="252" spans="1:17" ht="11.25">
      <c r="A252" s="35" t="s">
        <v>315</v>
      </c>
      <c r="B252" s="35" t="s">
        <v>382</v>
      </c>
      <c r="C252" s="35">
        <v>160047</v>
      </c>
      <c r="D252" s="36">
        <v>8</v>
      </c>
      <c r="E252" s="145">
        <v>615481</v>
      </c>
      <c r="F252" s="146">
        <v>856837</v>
      </c>
      <c r="G252" s="147"/>
      <c r="H252" s="145"/>
      <c r="I252" s="147"/>
      <c r="J252" s="146"/>
      <c r="K252" s="147"/>
      <c r="L252" s="145"/>
      <c r="M252" s="145"/>
      <c r="N252" s="145"/>
      <c r="O252" s="145"/>
      <c r="P252" s="145"/>
      <c r="Q252" s="146"/>
    </row>
    <row r="253" spans="1:17" ht="11.25">
      <c r="A253" s="35" t="s">
        <v>315</v>
      </c>
      <c r="B253" s="35" t="s">
        <v>383</v>
      </c>
      <c r="C253" s="35">
        <v>160205</v>
      </c>
      <c r="D253" s="36">
        <v>8</v>
      </c>
      <c r="E253" s="145">
        <v>0</v>
      </c>
      <c r="F253" s="146">
        <v>0</v>
      </c>
      <c r="G253" s="147"/>
      <c r="H253" s="145"/>
      <c r="I253" s="147"/>
      <c r="J253" s="146"/>
      <c r="K253" s="147"/>
      <c r="L253" s="145"/>
      <c r="M253" s="145"/>
      <c r="N253" s="145"/>
      <c r="O253" s="145"/>
      <c r="P253" s="145"/>
      <c r="Q253" s="146"/>
    </row>
    <row r="254" spans="1:17" ht="11.25">
      <c r="A254" s="35" t="s">
        <v>315</v>
      </c>
      <c r="B254" s="35" t="s">
        <v>384</v>
      </c>
      <c r="C254" s="35">
        <v>160311</v>
      </c>
      <c r="D254" s="36">
        <v>8</v>
      </c>
      <c r="E254" s="145">
        <v>815207</v>
      </c>
      <c r="F254" s="146">
        <v>931435</v>
      </c>
      <c r="G254" s="147"/>
      <c r="H254" s="145"/>
      <c r="I254" s="147"/>
      <c r="J254" s="146"/>
      <c r="K254" s="147"/>
      <c r="L254" s="145"/>
      <c r="M254" s="145"/>
      <c r="N254" s="145"/>
      <c r="O254" s="145"/>
      <c r="P254" s="145"/>
      <c r="Q254" s="146"/>
    </row>
    <row r="255" spans="1:17" ht="11.25">
      <c r="A255" s="35" t="s">
        <v>315</v>
      </c>
      <c r="B255" s="35" t="s">
        <v>385</v>
      </c>
      <c r="C255" s="35">
        <v>160366</v>
      </c>
      <c r="D255" s="36">
        <v>8</v>
      </c>
      <c r="E255" s="145">
        <v>513661</v>
      </c>
      <c r="F255" s="146">
        <v>590285</v>
      </c>
      <c r="G255" s="147"/>
      <c r="H255" s="145"/>
      <c r="I255" s="147"/>
      <c r="J255" s="146"/>
      <c r="K255" s="147"/>
      <c r="L255" s="145"/>
      <c r="M255" s="145"/>
      <c r="N255" s="145"/>
      <c r="O255" s="145"/>
      <c r="P255" s="145"/>
      <c r="Q255" s="146"/>
    </row>
    <row r="256" spans="1:17" ht="11.25">
      <c r="A256" s="35" t="s">
        <v>315</v>
      </c>
      <c r="B256" s="35" t="s">
        <v>386</v>
      </c>
      <c r="C256" s="35">
        <v>160384</v>
      </c>
      <c r="D256" s="36">
        <v>8</v>
      </c>
      <c r="E256" s="145">
        <v>641241</v>
      </c>
      <c r="F256" s="146">
        <v>689901</v>
      </c>
      <c r="G256" s="147"/>
      <c r="H256" s="145"/>
      <c r="I256" s="147"/>
      <c r="J256" s="146"/>
      <c r="K256" s="147"/>
      <c r="L256" s="145"/>
      <c r="M256" s="145"/>
      <c r="N256" s="145"/>
      <c r="O256" s="145"/>
      <c r="P256" s="145"/>
      <c r="Q256" s="146"/>
    </row>
    <row r="257" spans="1:17" ht="11.25">
      <c r="A257" s="35" t="s">
        <v>315</v>
      </c>
      <c r="B257" s="35" t="s">
        <v>387</v>
      </c>
      <c r="C257" s="35">
        <v>160427</v>
      </c>
      <c r="D257" s="36">
        <v>8</v>
      </c>
      <c r="E257" s="145">
        <v>2596076</v>
      </c>
      <c r="F257" s="146">
        <v>2703233</v>
      </c>
      <c r="G257" s="147"/>
      <c r="H257" s="145"/>
      <c r="I257" s="147"/>
      <c r="J257" s="146"/>
      <c r="K257" s="147"/>
      <c r="L257" s="145"/>
      <c r="M257" s="145"/>
      <c r="N257" s="145"/>
      <c r="O257" s="145"/>
      <c r="P257" s="145"/>
      <c r="Q257" s="146"/>
    </row>
    <row r="258" spans="1:17" ht="11.25">
      <c r="A258" s="35" t="s">
        <v>315</v>
      </c>
      <c r="B258" s="35" t="s">
        <v>388</v>
      </c>
      <c r="C258" s="35">
        <v>160436</v>
      </c>
      <c r="D258" s="36">
        <v>8</v>
      </c>
      <c r="E258" s="145">
        <v>1275292</v>
      </c>
      <c r="F258" s="146">
        <v>1314012</v>
      </c>
      <c r="G258" s="147"/>
      <c r="H258" s="145"/>
      <c r="I258" s="147"/>
      <c r="J258" s="146"/>
      <c r="K258" s="147"/>
      <c r="L258" s="145"/>
      <c r="M258" s="145"/>
      <c r="N258" s="145"/>
      <c r="O258" s="145"/>
      <c r="P258" s="145"/>
      <c r="Q258" s="146"/>
    </row>
    <row r="259" spans="1:17" ht="11.25">
      <c r="A259" s="35" t="s">
        <v>315</v>
      </c>
      <c r="B259" s="35" t="s">
        <v>389</v>
      </c>
      <c r="C259" s="35">
        <v>160454</v>
      </c>
      <c r="D259" s="36">
        <v>8</v>
      </c>
      <c r="E259" s="145">
        <v>612572</v>
      </c>
      <c r="F259" s="146">
        <v>629664</v>
      </c>
      <c r="G259" s="147"/>
      <c r="H259" s="145"/>
      <c r="I259" s="147"/>
      <c r="J259" s="146"/>
      <c r="K259" s="147"/>
      <c r="L259" s="145"/>
      <c r="M259" s="145"/>
      <c r="N259" s="145"/>
      <c r="O259" s="145"/>
      <c r="P259" s="145"/>
      <c r="Q259" s="146"/>
    </row>
    <row r="260" spans="1:17" ht="11.25">
      <c r="A260" s="35" t="s">
        <v>315</v>
      </c>
      <c r="B260" s="35" t="s">
        <v>390</v>
      </c>
      <c r="C260" s="35">
        <v>160481</v>
      </c>
      <c r="D260" s="36">
        <v>8</v>
      </c>
      <c r="E260" s="145">
        <v>1368399</v>
      </c>
      <c r="F260" s="146">
        <v>1581654</v>
      </c>
      <c r="G260" s="147"/>
      <c r="H260" s="145"/>
      <c r="I260" s="147"/>
      <c r="J260" s="146"/>
      <c r="K260" s="147"/>
      <c r="L260" s="145"/>
      <c r="M260" s="145"/>
      <c r="N260" s="145"/>
      <c r="O260" s="145"/>
      <c r="P260" s="145"/>
      <c r="Q260" s="146"/>
    </row>
    <row r="261" spans="1:17" ht="11.25">
      <c r="A261" s="35" t="s">
        <v>315</v>
      </c>
      <c r="B261" s="35" t="s">
        <v>391</v>
      </c>
      <c r="C261" s="35">
        <v>160579</v>
      </c>
      <c r="D261" s="36">
        <v>8</v>
      </c>
      <c r="E261" s="145">
        <v>4045222</v>
      </c>
      <c r="F261" s="146">
        <v>4283315</v>
      </c>
      <c r="G261" s="147"/>
      <c r="H261" s="145"/>
      <c r="I261" s="147"/>
      <c r="J261" s="146"/>
      <c r="K261" s="147"/>
      <c r="L261" s="145"/>
      <c r="M261" s="145"/>
      <c r="N261" s="145"/>
      <c r="O261" s="145"/>
      <c r="P261" s="145"/>
      <c r="Q261" s="146"/>
    </row>
    <row r="262" spans="1:17" ht="11.25">
      <c r="A262" s="35" t="s">
        <v>315</v>
      </c>
      <c r="B262" s="35" t="s">
        <v>392</v>
      </c>
      <c r="C262" s="35">
        <v>160667</v>
      </c>
      <c r="D262" s="36">
        <v>8</v>
      </c>
      <c r="E262" s="145">
        <v>1989044</v>
      </c>
      <c r="F262" s="146">
        <v>2049696</v>
      </c>
      <c r="G262" s="147"/>
      <c r="H262" s="145"/>
      <c r="I262" s="147"/>
      <c r="J262" s="146"/>
      <c r="K262" s="147"/>
      <c r="L262" s="145"/>
      <c r="M262" s="145"/>
      <c r="N262" s="145"/>
      <c r="O262" s="145"/>
      <c r="P262" s="145"/>
      <c r="Q262" s="146"/>
    </row>
    <row r="263" spans="1:17" ht="11.25">
      <c r="A263" s="35" t="s">
        <v>315</v>
      </c>
      <c r="B263" s="35" t="s">
        <v>393</v>
      </c>
      <c r="C263" s="35">
        <v>160685</v>
      </c>
      <c r="D263" s="36">
        <v>8</v>
      </c>
      <c r="E263" s="145">
        <v>1276234</v>
      </c>
      <c r="F263" s="146">
        <v>1341116</v>
      </c>
      <c r="G263" s="147"/>
      <c r="H263" s="145"/>
      <c r="I263" s="147"/>
      <c r="J263" s="146"/>
      <c r="K263" s="147"/>
      <c r="L263" s="145"/>
      <c r="M263" s="145"/>
      <c r="N263" s="145"/>
      <c r="O263" s="145"/>
      <c r="P263" s="145"/>
      <c r="Q263" s="146"/>
    </row>
    <row r="264" spans="1:17" ht="11.25">
      <c r="A264" s="35" t="s">
        <v>315</v>
      </c>
      <c r="B264" s="35" t="s">
        <v>394</v>
      </c>
      <c r="C264" s="35">
        <v>160694</v>
      </c>
      <c r="D264" s="36">
        <v>8</v>
      </c>
      <c r="E264" s="145">
        <v>1272647</v>
      </c>
      <c r="F264" s="146">
        <v>1317864</v>
      </c>
      <c r="G264" s="147"/>
      <c r="H264" s="145"/>
      <c r="I264" s="147"/>
      <c r="J264" s="146"/>
      <c r="K264" s="147"/>
      <c r="L264" s="145"/>
      <c r="M264" s="145"/>
      <c r="N264" s="145"/>
      <c r="O264" s="145"/>
      <c r="P264" s="145"/>
      <c r="Q264" s="146"/>
    </row>
    <row r="265" spans="1:17" ht="11.25">
      <c r="A265" s="35" t="s">
        <v>315</v>
      </c>
      <c r="B265" s="35" t="s">
        <v>395</v>
      </c>
      <c r="C265" s="35">
        <v>160719</v>
      </c>
      <c r="D265" s="36">
        <v>8</v>
      </c>
      <c r="E265" s="145">
        <v>832794</v>
      </c>
      <c r="F265" s="146">
        <v>877496</v>
      </c>
      <c r="G265" s="147"/>
      <c r="H265" s="145"/>
      <c r="I265" s="147"/>
      <c r="J265" s="146"/>
      <c r="K265" s="147"/>
      <c r="L265" s="145"/>
      <c r="M265" s="145"/>
      <c r="N265" s="145"/>
      <c r="O265" s="145"/>
      <c r="P265" s="145"/>
      <c r="Q265" s="146"/>
    </row>
    <row r="266" spans="1:17" ht="11.25">
      <c r="A266" s="35" t="s">
        <v>315</v>
      </c>
      <c r="B266" s="35" t="s">
        <v>396</v>
      </c>
      <c r="C266" s="35">
        <v>160676</v>
      </c>
      <c r="D266" s="36">
        <v>8</v>
      </c>
      <c r="E266" s="145">
        <v>2332313</v>
      </c>
      <c r="F266" s="146">
        <v>2360859</v>
      </c>
      <c r="G266" s="147"/>
      <c r="H266" s="145"/>
      <c r="I266" s="147"/>
      <c r="J266" s="146"/>
      <c r="K266" s="147"/>
      <c r="L266" s="145"/>
      <c r="M266" s="145"/>
      <c r="N266" s="145"/>
      <c r="O266" s="145"/>
      <c r="P266" s="145"/>
      <c r="Q266" s="146"/>
    </row>
    <row r="267" spans="1:17" ht="11.25">
      <c r="A267" s="35" t="s">
        <v>315</v>
      </c>
      <c r="B267" s="35" t="s">
        <v>397</v>
      </c>
      <c r="C267" s="35">
        <v>159267</v>
      </c>
      <c r="D267" s="36">
        <v>8</v>
      </c>
      <c r="E267" s="145">
        <v>1408010</v>
      </c>
      <c r="F267" s="146">
        <v>1484061</v>
      </c>
      <c r="G267" s="147"/>
      <c r="H267" s="145"/>
      <c r="I267" s="147"/>
      <c r="J267" s="146"/>
      <c r="K267" s="147"/>
      <c r="L267" s="145"/>
      <c r="M267" s="145"/>
      <c r="N267" s="145"/>
      <c r="O267" s="145"/>
      <c r="P267" s="145"/>
      <c r="Q267" s="146"/>
    </row>
    <row r="268" spans="1:17" ht="11.25">
      <c r="A268" s="35" t="s">
        <v>315</v>
      </c>
      <c r="B268" s="35" t="s">
        <v>398</v>
      </c>
      <c r="C268" s="35">
        <v>160870</v>
      </c>
      <c r="D268" s="36">
        <v>8</v>
      </c>
      <c r="E268" s="145">
        <v>1238566</v>
      </c>
      <c r="F268" s="146">
        <v>1414121</v>
      </c>
      <c r="G268" s="147"/>
      <c r="H268" s="145"/>
      <c r="I268" s="147"/>
      <c r="J268" s="146"/>
      <c r="K268" s="147"/>
      <c r="L268" s="145"/>
      <c r="M268" s="145"/>
      <c r="N268" s="145"/>
      <c r="O268" s="145"/>
      <c r="P268" s="145"/>
      <c r="Q268" s="146"/>
    </row>
    <row r="269" spans="1:17" ht="11.25">
      <c r="A269" s="35" t="s">
        <v>315</v>
      </c>
      <c r="B269" s="35" t="s">
        <v>399</v>
      </c>
      <c r="C269" s="35">
        <v>160913</v>
      </c>
      <c r="D269" s="36">
        <v>8</v>
      </c>
      <c r="E269" s="145">
        <v>1548181</v>
      </c>
      <c r="F269" s="146">
        <v>1619491</v>
      </c>
      <c r="G269" s="147"/>
      <c r="H269" s="145"/>
      <c r="I269" s="147"/>
      <c r="J269" s="146"/>
      <c r="K269" s="147"/>
      <c r="L269" s="145"/>
      <c r="M269" s="145"/>
      <c r="N269" s="145"/>
      <c r="O269" s="145"/>
      <c r="P269" s="145"/>
      <c r="Q269" s="146"/>
    </row>
    <row r="270" spans="1:17" ht="11.25">
      <c r="A270" s="35" t="s">
        <v>315</v>
      </c>
      <c r="B270" s="35" t="s">
        <v>400</v>
      </c>
      <c r="C270" s="35">
        <v>159045</v>
      </c>
      <c r="D270" s="36">
        <v>8</v>
      </c>
      <c r="E270" s="145">
        <v>861013</v>
      </c>
      <c r="F270" s="146">
        <v>882243</v>
      </c>
      <c r="G270" s="147"/>
      <c r="H270" s="145"/>
      <c r="I270" s="147"/>
      <c r="J270" s="146"/>
      <c r="K270" s="147"/>
      <c r="L270" s="145"/>
      <c r="M270" s="145"/>
      <c r="N270" s="145"/>
      <c r="O270" s="145"/>
      <c r="P270" s="145"/>
      <c r="Q270" s="146"/>
    </row>
    <row r="271" spans="1:17" ht="11.25">
      <c r="A271" s="35" t="s">
        <v>315</v>
      </c>
      <c r="B271" s="35" t="s">
        <v>401</v>
      </c>
      <c r="C271" s="35">
        <v>159249</v>
      </c>
      <c r="D271" s="36">
        <v>8</v>
      </c>
      <c r="E271" s="145">
        <v>570099</v>
      </c>
      <c r="F271" s="146">
        <v>648582</v>
      </c>
      <c r="G271" s="147"/>
      <c r="H271" s="145"/>
      <c r="I271" s="147"/>
      <c r="J271" s="146"/>
      <c r="K271" s="147"/>
      <c r="L271" s="145"/>
      <c r="M271" s="145"/>
      <c r="N271" s="145"/>
      <c r="O271" s="145"/>
      <c r="P271" s="145"/>
      <c r="Q271" s="146"/>
    </row>
    <row r="272" spans="1:17" ht="11.25">
      <c r="A272" s="35" t="s">
        <v>402</v>
      </c>
      <c r="B272" s="166" t="s">
        <v>403</v>
      </c>
      <c r="C272" s="166">
        <v>163286</v>
      </c>
      <c r="D272" s="167">
        <v>1</v>
      </c>
      <c r="E272" s="35">
        <v>240698186</v>
      </c>
      <c r="F272" s="168">
        <v>244048330</v>
      </c>
      <c r="G272" s="169"/>
      <c r="H272" s="170"/>
      <c r="I272" s="169"/>
      <c r="J272" s="171"/>
      <c r="K272" s="169"/>
      <c r="L272" s="170"/>
      <c r="M272" s="170"/>
      <c r="N272" s="170"/>
      <c r="O272" s="170"/>
      <c r="P272" s="170"/>
      <c r="Q272" s="172"/>
    </row>
    <row r="273" spans="1:17" ht="11.25">
      <c r="A273" s="35" t="s">
        <v>402</v>
      </c>
      <c r="B273" s="166" t="s">
        <v>404</v>
      </c>
      <c r="C273" s="166">
        <v>163268</v>
      </c>
      <c r="D273" s="167">
        <v>2</v>
      </c>
      <c r="E273" s="35">
        <v>44648391</v>
      </c>
      <c r="F273" s="168">
        <v>45026833</v>
      </c>
      <c r="G273" s="169"/>
      <c r="H273" s="170"/>
      <c r="I273" s="169"/>
      <c r="J273" s="171"/>
      <c r="K273" s="169"/>
      <c r="L273" s="170"/>
      <c r="M273" s="170"/>
      <c r="N273" s="170"/>
      <c r="O273" s="170"/>
      <c r="P273" s="170"/>
      <c r="Q273" s="172"/>
    </row>
    <row r="274" spans="1:17" ht="11.25">
      <c r="A274" s="35" t="s">
        <v>402</v>
      </c>
      <c r="B274" s="166" t="s">
        <v>405</v>
      </c>
      <c r="C274" s="166">
        <v>162007</v>
      </c>
      <c r="D274" s="167">
        <v>4</v>
      </c>
      <c r="E274" s="35">
        <v>13351264</v>
      </c>
      <c r="F274" s="168">
        <v>14052920</v>
      </c>
      <c r="G274" s="169"/>
      <c r="H274" s="170"/>
      <c r="I274" s="169"/>
      <c r="J274" s="171"/>
      <c r="K274" s="169"/>
      <c r="L274" s="170"/>
      <c r="M274" s="170"/>
      <c r="N274" s="170"/>
      <c r="O274" s="170"/>
      <c r="P274" s="170"/>
      <c r="Q274" s="172"/>
    </row>
    <row r="275" spans="1:17" ht="11.25">
      <c r="A275" s="35" t="s">
        <v>402</v>
      </c>
      <c r="B275" s="166" t="s">
        <v>406</v>
      </c>
      <c r="C275" s="166">
        <v>162584</v>
      </c>
      <c r="D275" s="167">
        <v>4</v>
      </c>
      <c r="E275" s="35">
        <v>19330054</v>
      </c>
      <c r="F275" s="168">
        <v>19622091</v>
      </c>
      <c r="G275" s="169"/>
      <c r="H275" s="170"/>
      <c r="I275" s="169"/>
      <c r="J275" s="171"/>
      <c r="K275" s="169"/>
      <c r="L275" s="170"/>
      <c r="M275" s="170"/>
      <c r="N275" s="170"/>
      <c r="O275" s="170"/>
      <c r="P275" s="170"/>
      <c r="Q275" s="172"/>
    </row>
    <row r="276" spans="1:17" ht="11.25">
      <c r="A276" s="35" t="s">
        <v>402</v>
      </c>
      <c r="B276" s="166" t="s">
        <v>407</v>
      </c>
      <c r="C276" s="166">
        <v>163453</v>
      </c>
      <c r="D276" s="167">
        <v>4</v>
      </c>
      <c r="E276" s="35">
        <v>32704408</v>
      </c>
      <c r="F276" s="168">
        <v>34211392</v>
      </c>
      <c r="G276" s="169"/>
      <c r="H276" s="170"/>
      <c r="I276" s="169"/>
      <c r="J276" s="171"/>
      <c r="K276" s="169"/>
      <c r="L276" s="170"/>
      <c r="M276" s="170"/>
      <c r="N276" s="170"/>
      <c r="O276" s="170"/>
      <c r="P276" s="170"/>
      <c r="Q276" s="172"/>
    </row>
    <row r="277" spans="1:17" ht="11.25">
      <c r="A277" s="35" t="s">
        <v>402</v>
      </c>
      <c r="B277" s="166" t="s">
        <v>408</v>
      </c>
      <c r="C277" s="166">
        <v>163851</v>
      </c>
      <c r="D277" s="167">
        <v>4</v>
      </c>
      <c r="E277" s="35">
        <v>19827901</v>
      </c>
      <c r="F277" s="168">
        <v>20163774</v>
      </c>
      <c r="G277" s="169"/>
      <c r="H277" s="170"/>
      <c r="I277" s="169"/>
      <c r="J277" s="171"/>
      <c r="K277" s="169"/>
      <c r="L277" s="170"/>
      <c r="M277" s="170"/>
      <c r="N277" s="170"/>
      <c r="O277" s="170"/>
      <c r="P277" s="170"/>
      <c r="Q277" s="172"/>
    </row>
    <row r="278" spans="1:17" ht="11.25">
      <c r="A278" s="35" t="s">
        <v>402</v>
      </c>
      <c r="B278" s="166" t="s">
        <v>409</v>
      </c>
      <c r="C278" s="166">
        <v>164076</v>
      </c>
      <c r="D278" s="167">
        <v>4</v>
      </c>
      <c r="E278" s="35">
        <v>45470977</v>
      </c>
      <c r="F278" s="168">
        <v>46627878</v>
      </c>
      <c r="G278" s="169"/>
      <c r="H278" s="170"/>
      <c r="I278" s="169"/>
      <c r="J278" s="171"/>
      <c r="K278" s="169"/>
      <c r="L278" s="170"/>
      <c r="M278" s="170"/>
      <c r="N278" s="170"/>
      <c r="O278" s="170"/>
      <c r="P278" s="170"/>
      <c r="Q278" s="172"/>
    </row>
    <row r="279" spans="1:17" ht="11.25">
      <c r="A279" s="35" t="s">
        <v>402</v>
      </c>
      <c r="B279" s="166" t="s">
        <v>410</v>
      </c>
      <c r="C279" s="166">
        <v>161873</v>
      </c>
      <c r="D279" s="167">
        <v>4</v>
      </c>
      <c r="E279" s="35">
        <v>18837841</v>
      </c>
      <c r="F279" s="168">
        <v>19117280</v>
      </c>
      <c r="G279" s="169"/>
      <c r="H279" s="170"/>
      <c r="I279" s="169"/>
      <c r="J279" s="171"/>
      <c r="K279" s="169"/>
      <c r="L279" s="170"/>
      <c r="M279" s="170"/>
      <c r="N279" s="170"/>
      <c r="O279" s="170"/>
      <c r="P279" s="170"/>
      <c r="Q279" s="172"/>
    </row>
    <row r="280" spans="1:17" ht="11.25">
      <c r="A280" s="35" t="s">
        <v>402</v>
      </c>
      <c r="B280" s="35" t="s">
        <v>411</v>
      </c>
      <c r="C280" s="35">
        <v>162283</v>
      </c>
      <c r="D280" s="36">
        <v>5</v>
      </c>
      <c r="E280" s="35">
        <v>13013587</v>
      </c>
      <c r="F280" s="168">
        <v>13509502</v>
      </c>
      <c r="G280" s="169"/>
      <c r="H280" s="170"/>
      <c r="I280" s="169"/>
      <c r="J280" s="171"/>
      <c r="K280" s="169"/>
      <c r="L280" s="170"/>
      <c r="M280" s="170"/>
      <c r="N280" s="170"/>
      <c r="O280" s="170"/>
      <c r="P280" s="170"/>
      <c r="Q280" s="172"/>
    </row>
    <row r="281" spans="1:17" ht="11.25">
      <c r="A281" s="35" t="s">
        <v>402</v>
      </c>
      <c r="B281" s="166" t="s">
        <v>412</v>
      </c>
      <c r="C281" s="166">
        <v>163338</v>
      </c>
      <c r="D281" s="167">
        <v>5</v>
      </c>
      <c r="E281" s="35">
        <v>15591226</v>
      </c>
      <c r="F281" s="168">
        <v>16116122</v>
      </c>
      <c r="G281" s="169"/>
      <c r="H281" s="173"/>
      <c r="I281" s="169"/>
      <c r="J281" s="171"/>
      <c r="K281" s="169"/>
      <c r="L281" s="170"/>
      <c r="M281" s="170"/>
      <c r="N281" s="170"/>
      <c r="O281" s="170"/>
      <c r="P281" s="170"/>
      <c r="Q281" s="172"/>
    </row>
    <row r="282" spans="1:17" ht="11.25">
      <c r="A282" s="35" t="s">
        <v>402</v>
      </c>
      <c r="B282" s="166" t="s">
        <v>413</v>
      </c>
      <c r="C282" s="166">
        <v>163912</v>
      </c>
      <c r="D282" s="167">
        <v>6</v>
      </c>
      <c r="E282" s="35">
        <v>11300811</v>
      </c>
      <c r="F282" s="168">
        <v>11768364</v>
      </c>
      <c r="G282" s="169"/>
      <c r="H282" s="173"/>
      <c r="I282" s="169"/>
      <c r="J282" s="171"/>
      <c r="K282" s="169"/>
      <c r="L282" s="170"/>
      <c r="M282" s="170"/>
      <c r="N282" s="170"/>
      <c r="O282" s="170"/>
      <c r="P282" s="170"/>
      <c r="Q282" s="172"/>
    </row>
    <row r="283" spans="1:17" ht="11.25">
      <c r="A283" s="35" t="s">
        <v>402</v>
      </c>
      <c r="B283" s="166" t="s">
        <v>414</v>
      </c>
      <c r="C283" s="166">
        <v>161688</v>
      </c>
      <c r="D283" s="167">
        <v>7</v>
      </c>
      <c r="E283" s="35">
        <v>3912579</v>
      </c>
      <c r="F283" s="168">
        <v>4130503</v>
      </c>
      <c r="G283" s="39">
        <v>3750000</v>
      </c>
      <c r="H283" s="174">
        <v>3900000</v>
      </c>
      <c r="I283" s="169"/>
      <c r="J283" s="171"/>
      <c r="K283" s="169"/>
      <c r="L283" s="170"/>
      <c r="M283" s="170"/>
      <c r="N283" s="170"/>
      <c r="O283" s="170"/>
      <c r="P283" s="170"/>
      <c r="Q283" s="172"/>
    </row>
    <row r="284" spans="1:17" ht="11.25">
      <c r="A284" s="35" t="s">
        <v>402</v>
      </c>
      <c r="B284" s="166" t="s">
        <v>415</v>
      </c>
      <c r="C284" s="166">
        <v>161767</v>
      </c>
      <c r="D284" s="167">
        <v>7</v>
      </c>
      <c r="E284" s="166">
        <v>11702203</v>
      </c>
      <c r="F284" s="175">
        <v>12137296</v>
      </c>
      <c r="G284" s="176">
        <v>11509000</v>
      </c>
      <c r="H284" s="174">
        <v>13834000</v>
      </c>
      <c r="I284" s="169"/>
      <c r="J284" s="171"/>
      <c r="K284" s="169"/>
      <c r="L284" s="170"/>
      <c r="M284" s="170"/>
      <c r="N284" s="170"/>
      <c r="O284" s="170"/>
      <c r="P284" s="170"/>
      <c r="Q284" s="172"/>
    </row>
    <row r="285" spans="1:17" ht="11.25">
      <c r="A285" s="35" t="s">
        <v>402</v>
      </c>
      <c r="B285" s="166" t="s">
        <v>416</v>
      </c>
      <c r="C285" s="166">
        <v>161864</v>
      </c>
      <c r="D285" s="167">
        <v>7</v>
      </c>
      <c r="E285" s="35">
        <v>16591279</v>
      </c>
      <c r="F285" s="168">
        <v>17162176</v>
      </c>
      <c r="G285" s="176">
        <v>0</v>
      </c>
      <c r="H285" s="177">
        <v>0</v>
      </c>
      <c r="I285" s="169"/>
      <c r="J285" s="171"/>
      <c r="K285" s="169"/>
      <c r="L285" s="170"/>
      <c r="M285" s="170"/>
      <c r="N285" s="170"/>
      <c r="O285" s="170"/>
      <c r="P285" s="170"/>
      <c r="Q285" s="172"/>
    </row>
    <row r="286" spans="1:17" ht="11.25">
      <c r="A286" s="35" t="s">
        <v>402</v>
      </c>
      <c r="B286" s="166" t="s">
        <v>417</v>
      </c>
      <c r="C286" s="166">
        <v>405872</v>
      </c>
      <c r="D286" s="167">
        <v>7</v>
      </c>
      <c r="E286" s="166">
        <v>3433561</v>
      </c>
      <c r="F286" s="167">
        <v>3414534</v>
      </c>
      <c r="G286" s="166">
        <v>3057745</v>
      </c>
      <c r="H286" s="177">
        <v>3045974</v>
      </c>
      <c r="I286" s="169"/>
      <c r="J286" s="171"/>
      <c r="K286" s="169"/>
      <c r="L286" s="170"/>
      <c r="M286" s="170"/>
      <c r="N286" s="170"/>
      <c r="O286" s="170"/>
      <c r="P286" s="170"/>
      <c r="Q286" s="172"/>
    </row>
    <row r="287" spans="1:17" ht="11.25">
      <c r="A287" s="35" t="s">
        <v>402</v>
      </c>
      <c r="B287" s="166" t="s">
        <v>418</v>
      </c>
      <c r="C287" s="166">
        <v>162098</v>
      </c>
      <c r="D287" s="167">
        <v>7</v>
      </c>
      <c r="E287" s="166">
        <v>11537272</v>
      </c>
      <c r="F287" s="167">
        <v>11787243</v>
      </c>
      <c r="G287" s="166">
        <v>11210529</v>
      </c>
      <c r="H287" s="166">
        <v>8917295</v>
      </c>
      <c r="I287" s="169"/>
      <c r="J287" s="171"/>
      <c r="K287" s="169"/>
      <c r="L287" s="170"/>
      <c r="M287" s="170"/>
      <c r="N287" s="170"/>
      <c r="O287" s="170"/>
      <c r="P287" s="170"/>
      <c r="Q287" s="172"/>
    </row>
    <row r="288" spans="1:17" ht="11.25">
      <c r="A288" s="35" t="s">
        <v>402</v>
      </c>
      <c r="B288" s="166" t="s">
        <v>419</v>
      </c>
      <c r="C288" s="166">
        <v>162104</v>
      </c>
      <c r="D288" s="167">
        <v>7</v>
      </c>
      <c r="E288" s="166">
        <v>2731821</v>
      </c>
      <c r="F288" s="167">
        <v>2730251</v>
      </c>
      <c r="G288" s="166">
        <v>4035357</v>
      </c>
      <c r="H288" s="166">
        <v>4137837</v>
      </c>
      <c r="I288" s="169"/>
      <c r="J288" s="171"/>
      <c r="K288" s="169"/>
      <c r="L288" s="170"/>
      <c r="M288" s="170"/>
      <c r="N288" s="170"/>
      <c r="O288" s="170"/>
      <c r="P288" s="170"/>
      <c r="Q288" s="172"/>
    </row>
    <row r="289" spans="1:17" ht="11.25">
      <c r="A289" s="35" t="s">
        <v>402</v>
      </c>
      <c r="B289" s="166" t="s">
        <v>420</v>
      </c>
      <c r="C289" s="166">
        <v>162122</v>
      </c>
      <c r="D289" s="167">
        <v>7</v>
      </c>
      <c r="E289" s="166">
        <v>4853320</v>
      </c>
      <c r="F289" s="167">
        <v>5243935</v>
      </c>
      <c r="G289" s="166">
        <v>6661306</v>
      </c>
      <c r="H289" s="166">
        <v>7144983</v>
      </c>
      <c r="I289" s="169"/>
      <c r="J289" s="171"/>
      <c r="K289" s="169"/>
      <c r="L289" s="170"/>
      <c r="M289" s="170"/>
      <c r="N289" s="170"/>
      <c r="O289" s="170"/>
      <c r="P289" s="170"/>
      <c r="Q289" s="172"/>
    </row>
    <row r="290" spans="1:17" ht="11.25">
      <c r="A290" s="35" t="s">
        <v>402</v>
      </c>
      <c r="B290" s="166" t="s">
        <v>421</v>
      </c>
      <c r="C290" s="166">
        <v>162168</v>
      </c>
      <c r="D290" s="167">
        <v>7</v>
      </c>
      <c r="E290" s="166">
        <v>2997232</v>
      </c>
      <c r="F290" s="167">
        <v>3129112</v>
      </c>
      <c r="G290" s="166">
        <v>2882400</v>
      </c>
      <c r="H290" s="166">
        <v>3176455</v>
      </c>
      <c r="I290" s="169"/>
      <c r="J290" s="171"/>
      <c r="K290" s="169"/>
      <c r="L290" s="170"/>
      <c r="M290" s="170"/>
      <c r="N290" s="170"/>
      <c r="O290" s="170"/>
      <c r="P290" s="170"/>
      <c r="Q290" s="172"/>
    </row>
    <row r="291" spans="1:17" ht="11.25">
      <c r="A291" s="35" t="s">
        <v>402</v>
      </c>
      <c r="B291" s="166" t="s">
        <v>422</v>
      </c>
      <c r="C291" s="166">
        <v>162399</v>
      </c>
      <c r="D291" s="167">
        <v>7</v>
      </c>
      <c r="E291" s="166">
        <v>4382143</v>
      </c>
      <c r="F291" s="167">
        <v>4132777</v>
      </c>
      <c r="G291" s="166">
        <v>7230478</v>
      </c>
      <c r="H291" s="166">
        <v>7551881</v>
      </c>
      <c r="I291" s="169"/>
      <c r="J291" s="171"/>
      <c r="K291" s="169"/>
      <c r="L291" s="170"/>
      <c r="M291" s="170"/>
      <c r="N291" s="170"/>
      <c r="O291" s="170"/>
      <c r="P291" s="170"/>
      <c r="Q291" s="172"/>
    </row>
    <row r="292" spans="1:17" ht="11.25">
      <c r="A292" s="35" t="s">
        <v>402</v>
      </c>
      <c r="B292" s="166" t="s">
        <v>423</v>
      </c>
      <c r="C292" s="166">
        <v>162478</v>
      </c>
      <c r="D292" s="167">
        <v>7</v>
      </c>
      <c r="E292" s="166">
        <v>10296820</v>
      </c>
      <c r="F292" s="167">
        <v>10332883</v>
      </c>
      <c r="G292" s="166">
        <v>10588758</v>
      </c>
      <c r="H292" s="166">
        <v>10259758</v>
      </c>
      <c r="I292" s="169"/>
      <c r="J292" s="171"/>
      <c r="K292" s="169"/>
      <c r="L292" s="170"/>
      <c r="M292" s="170"/>
      <c r="N292" s="170"/>
      <c r="O292" s="170"/>
      <c r="P292" s="170"/>
      <c r="Q292" s="172"/>
    </row>
    <row r="293" spans="1:17" ht="11.25">
      <c r="A293" s="35" t="s">
        <v>402</v>
      </c>
      <c r="B293" s="166" t="s">
        <v>424</v>
      </c>
      <c r="C293" s="178">
        <v>162557</v>
      </c>
      <c r="D293" s="167">
        <v>7</v>
      </c>
      <c r="E293" s="166">
        <v>3739405</v>
      </c>
      <c r="F293" s="167">
        <v>3936159</v>
      </c>
      <c r="G293" s="166">
        <v>5739035</v>
      </c>
      <c r="H293" s="166">
        <v>5634134</v>
      </c>
      <c r="I293" s="169"/>
      <c r="J293" s="171"/>
      <c r="K293" s="169"/>
      <c r="L293" s="170"/>
      <c r="M293" s="170"/>
      <c r="N293" s="170"/>
      <c r="O293" s="170"/>
      <c r="P293" s="170"/>
      <c r="Q293" s="172"/>
    </row>
    <row r="294" spans="1:17" ht="11.25">
      <c r="A294" s="35" t="s">
        <v>402</v>
      </c>
      <c r="B294" s="166" t="s">
        <v>425</v>
      </c>
      <c r="C294" s="178">
        <v>162609</v>
      </c>
      <c r="D294" s="167">
        <v>7</v>
      </c>
      <c r="E294" s="166">
        <v>2015771</v>
      </c>
      <c r="F294" s="167">
        <v>2073180</v>
      </c>
      <c r="G294" s="166">
        <v>1210000</v>
      </c>
      <c r="H294" s="166">
        <v>1337000</v>
      </c>
      <c r="I294" s="169"/>
      <c r="J294" s="171"/>
      <c r="K294" s="169"/>
      <c r="L294" s="170"/>
      <c r="M294" s="170"/>
      <c r="N294" s="170"/>
      <c r="O294" s="170"/>
      <c r="P294" s="170"/>
      <c r="Q294" s="172"/>
    </row>
    <row r="295" spans="1:17" ht="11.25">
      <c r="A295" s="35" t="s">
        <v>402</v>
      </c>
      <c r="B295" s="166" t="s">
        <v>426</v>
      </c>
      <c r="C295" s="178">
        <v>162690</v>
      </c>
      <c r="D295" s="167">
        <v>7</v>
      </c>
      <c r="E295" s="166">
        <v>3824237</v>
      </c>
      <c r="F295" s="167">
        <v>4212040</v>
      </c>
      <c r="G295" s="166">
        <v>3527760</v>
      </c>
      <c r="H295" s="166">
        <v>3727760</v>
      </c>
      <c r="I295" s="169"/>
      <c r="J295" s="171"/>
      <c r="K295" s="169"/>
      <c r="L295" s="170"/>
      <c r="M295" s="170"/>
      <c r="N295" s="170"/>
      <c r="O295" s="170"/>
      <c r="P295" s="170"/>
      <c r="Q295" s="172"/>
    </row>
    <row r="296" spans="1:17" ht="11.25">
      <c r="A296" s="35" t="s">
        <v>402</v>
      </c>
      <c r="B296" s="166" t="s">
        <v>427</v>
      </c>
      <c r="C296" s="178">
        <v>162706</v>
      </c>
      <c r="D296" s="167">
        <v>7</v>
      </c>
      <c r="E296" s="166">
        <v>5386102</v>
      </c>
      <c r="F296" s="167">
        <v>5576168</v>
      </c>
      <c r="G296" s="166">
        <v>7339703</v>
      </c>
      <c r="H296" s="166">
        <v>7445509</v>
      </c>
      <c r="I296" s="169"/>
      <c r="J296" s="171"/>
      <c r="K296" s="169"/>
      <c r="L296" s="170"/>
      <c r="M296" s="170"/>
      <c r="N296" s="170"/>
      <c r="O296" s="170"/>
      <c r="P296" s="170"/>
      <c r="Q296" s="172"/>
    </row>
    <row r="297" spans="1:17" ht="11.25">
      <c r="A297" s="35" t="s">
        <v>402</v>
      </c>
      <c r="B297" s="166" t="s">
        <v>428</v>
      </c>
      <c r="C297" s="178">
        <v>162799</v>
      </c>
      <c r="D297" s="167">
        <v>7</v>
      </c>
      <c r="E297" s="166">
        <v>5252483</v>
      </c>
      <c r="F297" s="167">
        <v>5573740</v>
      </c>
      <c r="G297" s="166">
        <v>9484250</v>
      </c>
      <c r="H297" s="166">
        <v>9709250</v>
      </c>
      <c r="I297" s="169"/>
      <c r="J297" s="171"/>
      <c r="K297" s="169"/>
      <c r="L297" s="170"/>
      <c r="M297" s="170"/>
      <c r="N297" s="170"/>
      <c r="O297" s="170"/>
      <c r="P297" s="170"/>
      <c r="Q297" s="172"/>
    </row>
    <row r="298" spans="1:17" ht="11.25">
      <c r="A298" s="35" t="s">
        <v>402</v>
      </c>
      <c r="B298" s="166" t="s">
        <v>429</v>
      </c>
      <c r="C298" s="178"/>
      <c r="D298" s="167">
        <v>7</v>
      </c>
      <c r="E298" s="166">
        <v>19949394</v>
      </c>
      <c r="F298" s="167">
        <v>20597704</v>
      </c>
      <c r="G298" s="166">
        <v>35281196</v>
      </c>
      <c r="H298" s="166">
        <v>35497712</v>
      </c>
      <c r="I298" s="169"/>
      <c r="J298" s="171"/>
      <c r="K298" s="169"/>
      <c r="L298" s="170"/>
      <c r="M298" s="170"/>
      <c r="N298" s="170"/>
      <c r="O298" s="170"/>
      <c r="P298" s="170"/>
      <c r="Q298" s="172"/>
    </row>
    <row r="299" spans="1:17" ht="11.25">
      <c r="A299" s="35" t="s">
        <v>402</v>
      </c>
      <c r="B299" s="166" t="s">
        <v>430</v>
      </c>
      <c r="C299" s="178">
        <v>163657</v>
      </c>
      <c r="D299" s="167">
        <v>7</v>
      </c>
      <c r="E299" s="166">
        <v>13996314</v>
      </c>
      <c r="F299" s="167">
        <v>14035991</v>
      </c>
      <c r="G299" s="166">
        <v>11382466</v>
      </c>
      <c r="H299" s="166">
        <v>10482754</v>
      </c>
      <c r="I299" s="169"/>
      <c r="J299" s="171"/>
      <c r="K299" s="169"/>
      <c r="L299" s="170"/>
      <c r="M299" s="170"/>
      <c r="N299" s="170"/>
      <c r="O299" s="170"/>
      <c r="P299" s="170"/>
      <c r="Q299" s="172"/>
    </row>
    <row r="300" spans="1:17" ht="11.25">
      <c r="A300" s="35" t="s">
        <v>402</v>
      </c>
      <c r="B300" s="166" t="s">
        <v>431</v>
      </c>
      <c r="C300" s="178">
        <v>164313</v>
      </c>
      <c r="D300" s="167">
        <v>7</v>
      </c>
      <c r="E300" s="166">
        <v>2708203</v>
      </c>
      <c r="F300" s="167">
        <v>2874264</v>
      </c>
      <c r="G300" s="166">
        <v>1771261</v>
      </c>
      <c r="H300" s="166">
        <v>2215740</v>
      </c>
      <c r="I300" s="169"/>
      <c r="J300" s="171"/>
      <c r="K300" s="169"/>
      <c r="L300" s="170"/>
      <c r="M300" s="170"/>
      <c r="N300" s="170"/>
      <c r="O300" s="170"/>
      <c r="P300" s="170"/>
      <c r="Q300" s="172"/>
    </row>
    <row r="301" spans="1:17" ht="11.25">
      <c r="A301" s="35" t="s">
        <v>402</v>
      </c>
      <c r="B301" s="166" t="s">
        <v>432</v>
      </c>
      <c r="C301" s="178">
        <v>163259</v>
      </c>
      <c r="D301" s="167">
        <v>9</v>
      </c>
      <c r="E301" s="35"/>
      <c r="F301" s="167"/>
      <c r="G301" s="170"/>
      <c r="H301" s="36"/>
      <c r="I301" s="170"/>
      <c r="J301" s="36">
        <v>106100928</v>
      </c>
      <c r="K301" s="170"/>
      <c r="L301" s="170"/>
      <c r="M301" s="170"/>
      <c r="N301" s="170"/>
      <c r="O301" s="170"/>
      <c r="P301" s="170"/>
      <c r="Q301" s="172"/>
    </row>
    <row r="302" spans="1:17" ht="11.25">
      <c r="A302" s="35" t="s">
        <v>402</v>
      </c>
      <c r="B302" s="166" t="s">
        <v>434</v>
      </c>
      <c r="C302" s="178">
        <v>163204</v>
      </c>
      <c r="D302" s="167">
        <v>9</v>
      </c>
      <c r="E302" s="35">
        <v>0</v>
      </c>
      <c r="F302" s="168">
        <v>3865000</v>
      </c>
      <c r="G302" s="169"/>
      <c r="H302" s="170"/>
      <c r="I302" s="169"/>
      <c r="J302" s="171"/>
      <c r="K302" s="169"/>
      <c r="L302" s="170"/>
      <c r="M302" s="170"/>
      <c r="N302" s="170"/>
      <c r="O302" s="170"/>
      <c r="P302" s="170"/>
      <c r="Q302" s="172"/>
    </row>
    <row r="303" spans="1:17" ht="11.25">
      <c r="A303" s="35" t="s">
        <v>435</v>
      </c>
      <c r="B303" s="35" t="s">
        <v>436</v>
      </c>
      <c r="C303" s="143">
        <v>176080</v>
      </c>
      <c r="D303" s="36">
        <v>1</v>
      </c>
      <c r="E303" s="145">
        <v>63826543</v>
      </c>
      <c r="F303" s="146">
        <v>63855771</v>
      </c>
      <c r="G303" s="147">
        <v>0</v>
      </c>
      <c r="H303" s="145">
        <v>0</v>
      </c>
      <c r="I303" s="147">
        <v>9229915</v>
      </c>
      <c r="J303" s="146">
        <v>0</v>
      </c>
      <c r="K303" s="147">
        <v>0</v>
      </c>
      <c r="L303" s="145">
        <v>0</v>
      </c>
      <c r="M303" s="145">
        <v>17907257</v>
      </c>
      <c r="N303" s="145">
        <v>18745965</v>
      </c>
      <c r="O303" s="145">
        <v>0</v>
      </c>
      <c r="P303" s="145">
        <v>6484022</v>
      </c>
      <c r="Q303" s="146">
        <v>0</v>
      </c>
    </row>
    <row r="304" spans="1:17" ht="11.25">
      <c r="A304" s="35" t="s">
        <v>435</v>
      </c>
      <c r="B304" s="35" t="s">
        <v>437</v>
      </c>
      <c r="C304" s="143">
        <v>176017</v>
      </c>
      <c r="D304" s="36">
        <v>2</v>
      </c>
      <c r="E304" s="145">
        <v>52427120</v>
      </c>
      <c r="F304" s="146">
        <v>52685841</v>
      </c>
      <c r="G304" s="147">
        <v>0</v>
      </c>
      <c r="H304" s="145">
        <v>0</v>
      </c>
      <c r="I304" s="147">
        <v>0</v>
      </c>
      <c r="J304" s="146">
        <v>0</v>
      </c>
      <c r="K304" s="147">
        <v>0</v>
      </c>
      <c r="L304" s="145">
        <v>0</v>
      </c>
      <c r="M304" s="145">
        <v>0</v>
      </c>
      <c r="N304" s="145">
        <v>0</v>
      </c>
      <c r="O304" s="145">
        <v>0</v>
      </c>
      <c r="P304" s="145">
        <v>6240565</v>
      </c>
      <c r="Q304" s="146">
        <v>0</v>
      </c>
    </row>
    <row r="305" spans="1:17" ht="11.25">
      <c r="A305" s="35" t="s">
        <v>435</v>
      </c>
      <c r="B305" s="35" t="s">
        <v>438</v>
      </c>
      <c r="C305" s="143">
        <v>176372</v>
      </c>
      <c r="D305" s="36">
        <v>2</v>
      </c>
      <c r="E305" s="145">
        <v>59373110</v>
      </c>
      <c r="F305" s="146">
        <v>59675712</v>
      </c>
      <c r="G305" s="147">
        <v>0</v>
      </c>
      <c r="H305" s="145">
        <v>0</v>
      </c>
      <c r="I305" s="147">
        <v>0</v>
      </c>
      <c r="J305" s="146">
        <v>0</v>
      </c>
      <c r="K305" s="147">
        <v>0</v>
      </c>
      <c r="L305" s="145">
        <v>0</v>
      </c>
      <c r="M305" s="145">
        <v>0</v>
      </c>
      <c r="N305" s="145">
        <v>0</v>
      </c>
      <c r="O305" s="145">
        <v>0</v>
      </c>
      <c r="P305" s="145">
        <v>4260139</v>
      </c>
      <c r="Q305" s="146">
        <v>0</v>
      </c>
    </row>
    <row r="306" spans="1:17" ht="11.25">
      <c r="A306" s="35" t="s">
        <v>435</v>
      </c>
      <c r="B306" s="35" t="s">
        <v>439</v>
      </c>
      <c r="C306" s="143">
        <v>175856</v>
      </c>
      <c r="D306" s="36">
        <v>3</v>
      </c>
      <c r="E306" s="145">
        <v>26319879</v>
      </c>
      <c r="F306" s="146">
        <v>28143941</v>
      </c>
      <c r="G306" s="147">
        <v>0</v>
      </c>
      <c r="H306" s="145">
        <v>0</v>
      </c>
      <c r="I306" s="147">
        <v>0</v>
      </c>
      <c r="J306" s="146">
        <v>0</v>
      </c>
      <c r="K306" s="147">
        <v>0</v>
      </c>
      <c r="L306" s="145">
        <v>0</v>
      </c>
      <c r="M306" s="145">
        <v>0</v>
      </c>
      <c r="N306" s="145">
        <v>0</v>
      </c>
      <c r="O306" s="145">
        <v>0</v>
      </c>
      <c r="P306" s="145">
        <v>356807</v>
      </c>
      <c r="Q306" s="146">
        <v>0</v>
      </c>
    </row>
    <row r="307" spans="1:17" ht="11.25">
      <c r="A307" s="35" t="s">
        <v>435</v>
      </c>
      <c r="B307" s="35" t="s">
        <v>440</v>
      </c>
      <c r="C307" s="143">
        <v>175342</v>
      </c>
      <c r="D307" s="36">
        <v>5</v>
      </c>
      <c r="E307" s="145">
        <v>14123710</v>
      </c>
      <c r="F307" s="146">
        <v>14466642</v>
      </c>
      <c r="G307" s="147">
        <v>0</v>
      </c>
      <c r="H307" s="145">
        <v>0</v>
      </c>
      <c r="I307" s="147">
        <v>0</v>
      </c>
      <c r="J307" s="146">
        <v>0</v>
      </c>
      <c r="K307" s="147">
        <v>0</v>
      </c>
      <c r="L307" s="145">
        <v>0</v>
      </c>
      <c r="M307" s="145">
        <v>0</v>
      </c>
      <c r="N307" s="145">
        <v>4000000</v>
      </c>
      <c r="O307" s="145">
        <v>0</v>
      </c>
      <c r="P307" s="145">
        <v>0</v>
      </c>
      <c r="Q307" s="146">
        <v>0</v>
      </c>
    </row>
    <row r="308" spans="1:17" ht="11.25">
      <c r="A308" s="35" t="s">
        <v>435</v>
      </c>
      <c r="B308" s="35" t="s">
        <v>441</v>
      </c>
      <c r="C308" s="143">
        <v>175616</v>
      </c>
      <c r="D308" s="36">
        <v>5</v>
      </c>
      <c r="E308" s="145">
        <v>16563024</v>
      </c>
      <c r="F308" s="146">
        <v>16748728</v>
      </c>
      <c r="G308" s="147">
        <v>0</v>
      </c>
      <c r="H308" s="145">
        <v>0</v>
      </c>
      <c r="I308" s="147">
        <v>0</v>
      </c>
      <c r="J308" s="146">
        <v>0</v>
      </c>
      <c r="K308" s="147">
        <v>0</v>
      </c>
      <c r="L308" s="145">
        <v>0</v>
      </c>
      <c r="M308" s="145">
        <v>0</v>
      </c>
      <c r="N308" s="145">
        <v>0</v>
      </c>
      <c r="O308" s="145">
        <v>0</v>
      </c>
      <c r="P308" s="145">
        <v>0</v>
      </c>
      <c r="Q308" s="146">
        <v>0</v>
      </c>
    </row>
    <row r="309" spans="1:17" ht="11.25">
      <c r="A309" s="35" t="s">
        <v>435</v>
      </c>
      <c r="B309" s="35" t="s">
        <v>442</v>
      </c>
      <c r="C309" s="143">
        <v>176035</v>
      </c>
      <c r="D309" s="36">
        <v>6</v>
      </c>
      <c r="E309" s="145">
        <v>12139668</v>
      </c>
      <c r="F309" s="146">
        <v>12030196</v>
      </c>
      <c r="G309" s="147">
        <v>0</v>
      </c>
      <c r="H309" s="145">
        <v>0</v>
      </c>
      <c r="I309" s="147">
        <v>0</v>
      </c>
      <c r="J309" s="146">
        <v>0</v>
      </c>
      <c r="K309" s="147">
        <v>0</v>
      </c>
      <c r="L309" s="145">
        <v>0</v>
      </c>
      <c r="M309" s="145">
        <v>0</v>
      </c>
      <c r="N309" s="145">
        <v>0</v>
      </c>
      <c r="O309" s="145">
        <v>0</v>
      </c>
      <c r="P309" s="145">
        <v>0</v>
      </c>
      <c r="Q309" s="146">
        <v>0</v>
      </c>
    </row>
    <row r="310" spans="1:17" ht="11.25">
      <c r="A310" s="35" t="s">
        <v>435</v>
      </c>
      <c r="B310" s="35" t="s">
        <v>443</v>
      </c>
      <c r="C310" s="143">
        <v>176044</v>
      </c>
      <c r="D310" s="36">
        <v>6</v>
      </c>
      <c r="E310" s="145">
        <v>10292169</v>
      </c>
      <c r="F310" s="146">
        <v>10147206</v>
      </c>
      <c r="G310" s="147">
        <v>0</v>
      </c>
      <c r="H310" s="145">
        <v>0</v>
      </c>
      <c r="I310" s="147">
        <v>0</v>
      </c>
      <c r="J310" s="146">
        <v>0</v>
      </c>
      <c r="K310" s="147">
        <v>0</v>
      </c>
      <c r="L310" s="145">
        <v>0</v>
      </c>
      <c r="M310" s="145">
        <v>0</v>
      </c>
      <c r="N310" s="145">
        <v>0</v>
      </c>
      <c r="O310" s="145">
        <v>0</v>
      </c>
      <c r="P310" s="145">
        <v>0</v>
      </c>
      <c r="Q310" s="146">
        <v>0</v>
      </c>
    </row>
    <row r="311" spans="1:17" ht="11.25">
      <c r="A311" s="35" t="s">
        <v>435</v>
      </c>
      <c r="B311" s="35" t="s">
        <v>444</v>
      </c>
      <c r="C311" s="143">
        <v>176026</v>
      </c>
      <c r="D311" s="36">
        <v>9</v>
      </c>
      <c r="E311" s="145">
        <v>104398932</v>
      </c>
      <c r="F311" s="35"/>
      <c r="G311" s="147">
        <v>0</v>
      </c>
      <c r="H311" s="145">
        <v>0</v>
      </c>
      <c r="I311" s="147">
        <v>0</v>
      </c>
      <c r="J311" s="146">
        <v>108247987</v>
      </c>
      <c r="K311" s="147">
        <v>0</v>
      </c>
      <c r="L311" s="145">
        <v>0</v>
      </c>
      <c r="M311" s="145">
        <v>0</v>
      </c>
      <c r="N311" s="145">
        <v>0</v>
      </c>
      <c r="O311" s="145">
        <v>0</v>
      </c>
      <c r="P311" s="145">
        <v>0</v>
      </c>
      <c r="Q311" s="146">
        <v>0</v>
      </c>
    </row>
    <row r="312" spans="1:17" ht="11.25">
      <c r="A312" s="35" t="s">
        <v>435</v>
      </c>
      <c r="B312" s="35" t="s">
        <v>446</v>
      </c>
      <c r="C312" s="35">
        <v>175519</v>
      </c>
      <c r="D312" s="36">
        <v>7</v>
      </c>
      <c r="E312" s="145">
        <f>1776054+969730</f>
        <v>2745784</v>
      </c>
      <c r="F312" s="146">
        <f>2152456+737336</f>
        <v>2889792</v>
      </c>
      <c r="G312" s="147">
        <v>945991</v>
      </c>
      <c r="H312" s="145">
        <v>717343</v>
      </c>
      <c r="I312" s="147"/>
      <c r="J312" s="146"/>
      <c r="K312" s="147"/>
      <c r="L312" s="145"/>
      <c r="M312" s="145"/>
      <c r="N312" s="145"/>
      <c r="O312" s="145"/>
      <c r="P312" s="145"/>
      <c r="Q312" s="146"/>
    </row>
    <row r="313" spans="1:17" ht="11.25">
      <c r="A313" s="35" t="s">
        <v>435</v>
      </c>
      <c r="B313" s="35" t="s">
        <v>447</v>
      </c>
      <c r="C313" s="35">
        <v>175573</v>
      </c>
      <c r="D313" s="36">
        <v>7</v>
      </c>
      <c r="E313" s="145">
        <f>4418464+1958620</f>
        <v>6377084</v>
      </c>
      <c r="F313" s="146">
        <f>5114642+1428778</f>
        <v>6543420</v>
      </c>
      <c r="G313" s="147">
        <v>1526000</v>
      </c>
      <c r="H313" s="145">
        <v>1625000</v>
      </c>
      <c r="I313" s="147"/>
      <c r="J313" s="146"/>
      <c r="K313" s="147"/>
      <c r="L313" s="145"/>
      <c r="M313" s="145"/>
      <c r="N313" s="145"/>
      <c r="O313" s="145"/>
      <c r="P313" s="145"/>
      <c r="Q313" s="146"/>
    </row>
    <row r="314" spans="1:17" ht="11.25">
      <c r="A314" s="35" t="s">
        <v>435</v>
      </c>
      <c r="B314" s="35" t="s">
        <v>448</v>
      </c>
      <c r="C314" s="35">
        <v>175643</v>
      </c>
      <c r="D314" s="179">
        <v>7</v>
      </c>
      <c r="E314" s="145">
        <f>2936822+1368353</f>
        <v>4305175</v>
      </c>
      <c r="F314" s="146">
        <f>3668269+1078708</f>
        <v>4746977</v>
      </c>
      <c r="G314" s="147">
        <v>714222</v>
      </c>
      <c r="H314" s="145">
        <v>578100</v>
      </c>
      <c r="I314" s="147"/>
      <c r="J314" s="146"/>
      <c r="K314" s="147"/>
      <c r="L314" s="145"/>
      <c r="M314" s="145"/>
      <c r="N314" s="145"/>
      <c r="O314" s="145"/>
      <c r="P314" s="145"/>
      <c r="Q314" s="146"/>
    </row>
    <row r="315" spans="1:17" ht="11.25">
      <c r="A315" s="35" t="s">
        <v>435</v>
      </c>
      <c r="B315" s="35" t="s">
        <v>449</v>
      </c>
      <c r="C315" s="35">
        <v>175652</v>
      </c>
      <c r="D315" s="179">
        <v>7</v>
      </c>
      <c r="E315" s="145">
        <f>2422101+1138939</f>
        <v>3561040</v>
      </c>
      <c r="F315" s="146">
        <f>2946905+921205</f>
        <v>3868110</v>
      </c>
      <c r="G315" s="147">
        <v>989917</v>
      </c>
      <c r="H315" s="145">
        <v>989858</v>
      </c>
      <c r="I315" s="147"/>
      <c r="J315" s="146"/>
      <c r="K315" s="147"/>
      <c r="L315" s="145"/>
      <c r="M315" s="145"/>
      <c r="N315" s="145"/>
      <c r="O315" s="145"/>
      <c r="P315" s="145"/>
      <c r="Q315" s="146"/>
    </row>
    <row r="316" spans="1:17" ht="11.25">
      <c r="A316" s="35" t="s">
        <v>435</v>
      </c>
      <c r="B316" s="35" t="s">
        <v>450</v>
      </c>
      <c r="C316" s="35">
        <v>175786</v>
      </c>
      <c r="D316" s="36">
        <v>7</v>
      </c>
      <c r="E316" s="145">
        <f>15787266+6356247</f>
        <v>22143513</v>
      </c>
      <c r="F316" s="146">
        <f>17507150+4400866</f>
        <v>21908016</v>
      </c>
      <c r="G316" s="147">
        <v>6522403</v>
      </c>
      <c r="H316" s="145">
        <v>6474417</v>
      </c>
      <c r="I316" s="147"/>
      <c r="J316" s="146"/>
      <c r="K316" s="147"/>
      <c r="L316" s="145"/>
      <c r="M316" s="145"/>
      <c r="N316" s="145"/>
      <c r="O316" s="145"/>
      <c r="P316" s="145"/>
      <c r="Q316" s="146"/>
    </row>
    <row r="317" spans="1:17" ht="11.25">
      <c r="A317" s="35" t="s">
        <v>435</v>
      </c>
      <c r="B317" s="35" t="s">
        <v>451</v>
      </c>
      <c r="C317" s="35">
        <v>175810</v>
      </c>
      <c r="D317" s="36">
        <v>7</v>
      </c>
      <c r="E317" s="145">
        <f>4120388+1774494</f>
        <v>5894882</v>
      </c>
      <c r="F317" s="146">
        <f>4890839+1369019</f>
        <v>6259858</v>
      </c>
      <c r="G317" s="147">
        <v>1210880</v>
      </c>
      <c r="H317" s="145">
        <v>1271425</v>
      </c>
      <c r="I317" s="147"/>
      <c r="J317" s="146"/>
      <c r="K317" s="147"/>
      <c r="L317" s="145"/>
      <c r="M317" s="145"/>
      <c r="N317" s="145"/>
      <c r="O317" s="145"/>
      <c r="P317" s="145"/>
      <c r="Q317" s="146"/>
    </row>
    <row r="318" spans="1:17" ht="11.25">
      <c r="A318" s="35" t="s">
        <v>435</v>
      </c>
      <c r="B318" s="35" t="s">
        <v>452</v>
      </c>
      <c r="C318" s="35">
        <v>175829</v>
      </c>
      <c r="D318" s="36">
        <v>7</v>
      </c>
      <c r="E318" s="145">
        <f>6013376+2487049</f>
        <v>8500425</v>
      </c>
      <c r="F318" s="146">
        <f>6500330+1803854</f>
        <v>8304184</v>
      </c>
      <c r="G318" s="147">
        <v>1945194</v>
      </c>
      <c r="H318" s="145">
        <v>1963530</v>
      </c>
      <c r="I318" s="147"/>
      <c r="J318" s="146"/>
      <c r="K318" s="147"/>
      <c r="L318" s="145"/>
      <c r="M318" s="145"/>
      <c r="N318" s="145"/>
      <c r="O318" s="145"/>
      <c r="P318" s="145"/>
      <c r="Q318" s="146"/>
    </row>
    <row r="319" spans="1:17" ht="11.25">
      <c r="A319" s="35" t="s">
        <v>435</v>
      </c>
      <c r="B319" s="35" t="s">
        <v>453</v>
      </c>
      <c r="C319" s="35">
        <v>175883</v>
      </c>
      <c r="D319" s="36">
        <v>7</v>
      </c>
      <c r="E319" s="145">
        <f>8585237+3351078</f>
        <v>11936315</v>
      </c>
      <c r="F319" s="146">
        <f>9635111+2487069</f>
        <v>12122180</v>
      </c>
      <c r="G319" s="147">
        <v>1349102</v>
      </c>
      <c r="H319" s="145">
        <v>1355000</v>
      </c>
      <c r="I319" s="147"/>
      <c r="J319" s="146"/>
      <c r="K319" s="147"/>
      <c r="L319" s="145"/>
      <c r="M319" s="145"/>
      <c r="N319" s="145"/>
      <c r="O319" s="145"/>
      <c r="P319" s="145"/>
      <c r="Q319" s="146"/>
    </row>
    <row r="320" spans="1:17" ht="11.25">
      <c r="A320" s="35" t="s">
        <v>435</v>
      </c>
      <c r="B320" s="35" t="s">
        <v>454</v>
      </c>
      <c r="C320" s="35">
        <v>175935</v>
      </c>
      <c r="D320" s="36">
        <v>7</v>
      </c>
      <c r="E320" s="145">
        <f>5104726+2148867</f>
        <v>7253593</v>
      </c>
      <c r="F320" s="146">
        <f>5645480+1558027</f>
        <v>7203507</v>
      </c>
      <c r="G320" s="147">
        <v>1036021</v>
      </c>
      <c r="H320" s="145">
        <v>1116793</v>
      </c>
      <c r="I320" s="147"/>
      <c r="J320" s="146"/>
      <c r="K320" s="147"/>
      <c r="L320" s="145"/>
      <c r="M320" s="145"/>
      <c r="N320" s="145"/>
      <c r="O320" s="145"/>
      <c r="P320" s="145"/>
      <c r="Q320" s="146"/>
    </row>
    <row r="321" spans="1:17" ht="11.25">
      <c r="A321" s="35" t="s">
        <v>435</v>
      </c>
      <c r="B321" s="35" t="s">
        <v>455</v>
      </c>
      <c r="C321" s="35">
        <v>176008</v>
      </c>
      <c r="D321" s="36">
        <v>7</v>
      </c>
      <c r="E321" s="145">
        <f>4988799+2053144</f>
        <v>7041943</v>
      </c>
      <c r="F321" s="146">
        <f>5460120+1510684</f>
        <v>6970804</v>
      </c>
      <c r="G321" s="147">
        <v>1441169</v>
      </c>
      <c r="H321" s="145">
        <v>1443000</v>
      </c>
      <c r="I321" s="147"/>
      <c r="J321" s="146"/>
      <c r="K321" s="147"/>
      <c r="L321" s="145"/>
      <c r="M321" s="145"/>
      <c r="N321" s="145"/>
      <c r="O321" s="145"/>
      <c r="P321" s="145"/>
      <c r="Q321" s="146"/>
    </row>
    <row r="322" spans="1:17" ht="11.25">
      <c r="A322" s="35" t="s">
        <v>435</v>
      </c>
      <c r="B322" s="35" t="s">
        <v>456</v>
      </c>
      <c r="C322" s="35">
        <v>176071</v>
      </c>
      <c r="D322" s="36">
        <v>7</v>
      </c>
      <c r="E322" s="145">
        <f>14242099+5586830</f>
        <v>19828929</v>
      </c>
      <c r="F322" s="146">
        <f>16357148+4143140</f>
        <v>20500288</v>
      </c>
      <c r="G322" s="147">
        <v>4959144</v>
      </c>
      <c r="H322" s="145">
        <v>5737626</v>
      </c>
      <c r="I322" s="147"/>
      <c r="J322" s="146"/>
      <c r="K322" s="147"/>
      <c r="L322" s="145"/>
      <c r="M322" s="145"/>
      <c r="N322" s="145"/>
      <c r="O322" s="145"/>
      <c r="P322" s="145"/>
      <c r="Q322" s="146"/>
    </row>
    <row r="323" spans="1:17" ht="11.25">
      <c r="A323" s="35" t="s">
        <v>435</v>
      </c>
      <c r="B323" s="35" t="s">
        <v>457</v>
      </c>
      <c r="C323" s="35">
        <v>176169</v>
      </c>
      <c r="D323" s="36">
        <v>7</v>
      </c>
      <c r="E323" s="145">
        <f>6750691+2625839</f>
        <v>9376530</v>
      </c>
      <c r="F323" s="146">
        <f>7242142+1921516</f>
        <v>9163658</v>
      </c>
      <c r="G323" s="147">
        <v>872185</v>
      </c>
      <c r="H323" s="145">
        <v>741500</v>
      </c>
      <c r="I323" s="147"/>
      <c r="J323" s="146"/>
      <c r="K323" s="147"/>
      <c r="L323" s="145"/>
      <c r="M323" s="145"/>
      <c r="N323" s="145"/>
      <c r="O323" s="145"/>
      <c r="P323" s="145"/>
      <c r="Q323" s="146"/>
    </row>
    <row r="324" spans="1:17" ht="11.25">
      <c r="A324" s="35" t="s">
        <v>435</v>
      </c>
      <c r="B324" s="35" t="s">
        <v>458</v>
      </c>
      <c r="C324" s="35">
        <v>176178</v>
      </c>
      <c r="D324" s="36">
        <v>7</v>
      </c>
      <c r="E324" s="145">
        <f>7140654+2954800</f>
        <v>10095454</v>
      </c>
      <c r="F324" s="146">
        <f>8384925+2213745</f>
        <v>10598670</v>
      </c>
      <c r="G324" s="147">
        <v>2280358</v>
      </c>
      <c r="H324" s="145">
        <v>2394375</v>
      </c>
      <c r="I324" s="147"/>
      <c r="J324" s="146"/>
      <c r="K324" s="147"/>
      <c r="L324" s="145"/>
      <c r="M324" s="145"/>
      <c r="N324" s="145"/>
      <c r="O324" s="145"/>
      <c r="P324" s="145"/>
      <c r="Q324" s="146"/>
    </row>
    <row r="325" spans="1:17" ht="11.25">
      <c r="A325" s="35" t="s">
        <v>435</v>
      </c>
      <c r="B325" s="35" t="s">
        <v>459</v>
      </c>
      <c r="C325" s="35">
        <v>176239</v>
      </c>
      <c r="D325" s="36">
        <v>7</v>
      </c>
      <c r="E325" s="145">
        <f>5239861+2251287</f>
        <v>7491148</v>
      </c>
      <c r="F325" s="146">
        <f>5947398+1610486</f>
        <v>7557884</v>
      </c>
      <c r="G325" s="147">
        <v>1405789</v>
      </c>
      <c r="H325" s="145">
        <v>1330000</v>
      </c>
      <c r="I325" s="147"/>
      <c r="J325" s="146"/>
      <c r="K325" s="147"/>
      <c r="L325" s="145"/>
      <c r="M325" s="145"/>
      <c r="N325" s="145"/>
      <c r="O325" s="145"/>
      <c r="P325" s="145"/>
      <c r="Q325" s="146"/>
    </row>
    <row r="326" spans="1:17" ht="11.25">
      <c r="A326" s="35" t="s">
        <v>435</v>
      </c>
      <c r="B326" s="35" t="s">
        <v>460</v>
      </c>
      <c r="C326" s="35">
        <v>176354</v>
      </c>
      <c r="D326" s="36">
        <v>7</v>
      </c>
      <c r="E326" s="145">
        <f>2898734+1325198</f>
        <v>4223932</v>
      </c>
      <c r="F326" s="146">
        <f>3684677+1077085</f>
        <v>4761762</v>
      </c>
      <c r="G326" s="147">
        <v>685877</v>
      </c>
      <c r="H326" s="145">
        <v>606000</v>
      </c>
      <c r="I326" s="147"/>
      <c r="J326" s="146"/>
      <c r="K326" s="147"/>
      <c r="L326" s="145"/>
      <c r="M326" s="145"/>
      <c r="N326" s="145"/>
      <c r="O326" s="145"/>
      <c r="P326" s="145"/>
      <c r="Q326" s="146"/>
    </row>
    <row r="327" spans="1:17" ht="11.25">
      <c r="A327" s="35" t="s">
        <v>461</v>
      </c>
      <c r="B327" s="35" t="s">
        <v>462</v>
      </c>
      <c r="C327" s="143" t="s">
        <v>463</v>
      </c>
      <c r="D327" s="144" t="s">
        <v>199</v>
      </c>
      <c r="E327" s="145">
        <v>167434865</v>
      </c>
      <c r="F327" s="146">
        <v>187848844</v>
      </c>
      <c r="G327" s="147"/>
      <c r="H327" s="145"/>
      <c r="I327" s="147">
        <v>20822882</v>
      </c>
      <c r="J327" s="146"/>
      <c r="K327" s="147"/>
      <c r="L327" s="145"/>
      <c r="M327" s="145"/>
      <c r="N327" s="145"/>
      <c r="O327" s="145"/>
      <c r="P327" s="145"/>
      <c r="Q327" s="146"/>
    </row>
    <row r="328" spans="1:17" ht="11.25">
      <c r="A328" s="35" t="s">
        <v>461</v>
      </c>
      <c r="B328" s="35" t="s">
        <v>464</v>
      </c>
      <c r="C328" s="143" t="s">
        <v>465</v>
      </c>
      <c r="D328" s="144" t="s">
        <v>199</v>
      </c>
      <c r="E328" s="145">
        <v>143514546</v>
      </c>
      <c r="F328" s="146">
        <v>158026576</v>
      </c>
      <c r="G328" s="147"/>
      <c r="H328" s="145"/>
      <c r="I328" s="147"/>
      <c r="J328" s="146">
        <v>133340566</v>
      </c>
      <c r="K328" s="147"/>
      <c r="L328" s="145"/>
      <c r="M328" s="145"/>
      <c r="N328" s="145"/>
      <c r="O328" s="145"/>
      <c r="P328" s="145"/>
      <c r="Q328" s="146"/>
    </row>
    <row r="329" spans="1:17" ht="11.25">
      <c r="A329" s="35" t="s">
        <v>461</v>
      </c>
      <c r="B329" s="35" t="s">
        <v>466</v>
      </c>
      <c r="C329" s="143" t="s">
        <v>467</v>
      </c>
      <c r="D329" s="144" t="s">
        <v>204</v>
      </c>
      <c r="E329" s="145">
        <v>58503395</v>
      </c>
      <c r="F329" s="146">
        <v>64841720</v>
      </c>
      <c r="G329" s="147"/>
      <c r="H329" s="145"/>
      <c r="I329" s="147"/>
      <c r="J329" s="146"/>
      <c r="K329" s="147"/>
      <c r="L329" s="145"/>
      <c r="M329" s="145"/>
      <c r="N329" s="145"/>
      <c r="O329" s="145"/>
      <c r="P329" s="145"/>
      <c r="Q329" s="146"/>
    </row>
    <row r="330" spans="1:17" ht="11.25">
      <c r="A330" s="35" t="s">
        <v>461</v>
      </c>
      <c r="B330" s="35" t="s">
        <v>468</v>
      </c>
      <c r="C330" s="143" t="s">
        <v>469</v>
      </c>
      <c r="D330" s="144" t="s">
        <v>207</v>
      </c>
      <c r="E330" s="145">
        <v>56832605</v>
      </c>
      <c r="F330" s="146">
        <v>59427808</v>
      </c>
      <c r="G330" s="147"/>
      <c r="H330" s="145"/>
      <c r="I330" s="147"/>
      <c r="J330" s="146"/>
      <c r="K330" s="147"/>
      <c r="L330" s="145"/>
      <c r="M330" s="145"/>
      <c r="N330" s="145"/>
      <c r="O330" s="145"/>
      <c r="P330" s="145"/>
      <c r="Q330" s="146"/>
    </row>
    <row r="331" spans="1:17" ht="11.25">
      <c r="A331" s="35" t="s">
        <v>461</v>
      </c>
      <c r="B331" s="35" t="s">
        <v>470</v>
      </c>
      <c r="C331" s="143" t="s">
        <v>471</v>
      </c>
      <c r="D331" s="144" t="s">
        <v>207</v>
      </c>
      <c r="E331" s="145">
        <v>81943671</v>
      </c>
      <c r="F331" s="146">
        <v>83640187</v>
      </c>
      <c r="G331" s="147"/>
      <c r="H331" s="145"/>
      <c r="I331" s="147"/>
      <c r="J331" s="146">
        <v>41521983</v>
      </c>
      <c r="K331" s="147"/>
      <c r="L331" s="145"/>
      <c r="M331" s="145"/>
      <c r="N331" s="145"/>
      <c r="O331" s="145"/>
      <c r="P331" s="145"/>
      <c r="Q331" s="146"/>
    </row>
    <row r="332" spans="1:17" ht="11.25">
      <c r="A332" s="35" t="s">
        <v>461</v>
      </c>
      <c r="B332" s="35" t="s">
        <v>472</v>
      </c>
      <c r="C332" s="143" t="s">
        <v>473</v>
      </c>
      <c r="D332" s="144" t="s">
        <v>207</v>
      </c>
      <c r="E332" s="145">
        <v>48228174</v>
      </c>
      <c r="F332" s="146">
        <v>49775861</v>
      </c>
      <c r="G332" s="147"/>
      <c r="H332" s="145"/>
      <c r="I332" s="147"/>
      <c r="J332" s="146"/>
      <c r="K332" s="147"/>
      <c r="L332" s="145"/>
      <c r="M332" s="145"/>
      <c r="N332" s="145"/>
      <c r="O332" s="145"/>
      <c r="P332" s="145"/>
      <c r="Q332" s="146"/>
    </row>
    <row r="333" spans="1:17" ht="11.25">
      <c r="A333" s="35" t="s">
        <v>461</v>
      </c>
      <c r="B333" s="35" t="s">
        <v>474</v>
      </c>
      <c r="C333" s="143" t="s">
        <v>475</v>
      </c>
      <c r="D333" s="144" t="s">
        <v>207</v>
      </c>
      <c r="E333" s="145">
        <v>34142347</v>
      </c>
      <c r="F333" s="146">
        <v>35439786</v>
      </c>
      <c r="G333" s="147"/>
      <c r="H333" s="145"/>
      <c r="I333" s="147"/>
      <c r="J333" s="146"/>
      <c r="K333" s="147"/>
      <c r="L333" s="145"/>
      <c r="M333" s="145"/>
      <c r="N333" s="145"/>
      <c r="O333" s="145"/>
      <c r="P333" s="145"/>
      <c r="Q333" s="146"/>
    </row>
    <row r="334" spans="1:17" ht="11.25">
      <c r="A334" s="35" t="s">
        <v>461</v>
      </c>
      <c r="B334" s="35" t="s">
        <v>476</v>
      </c>
      <c r="C334" s="143" t="s">
        <v>477</v>
      </c>
      <c r="D334" s="144" t="s">
        <v>207</v>
      </c>
      <c r="E334" s="145">
        <v>64186103</v>
      </c>
      <c r="F334" s="146">
        <v>68899552</v>
      </c>
      <c r="G334" s="147"/>
      <c r="H334" s="145"/>
      <c r="I334" s="147"/>
      <c r="J334" s="146"/>
      <c r="K334" s="147"/>
      <c r="L334" s="145"/>
      <c r="M334" s="145"/>
      <c r="N334" s="145"/>
      <c r="O334" s="145"/>
      <c r="P334" s="145"/>
      <c r="Q334" s="146"/>
    </row>
    <row r="335" spans="1:17" ht="11.25">
      <c r="A335" s="35" t="s">
        <v>461</v>
      </c>
      <c r="B335" s="35" t="s">
        <v>478</v>
      </c>
      <c r="C335" s="143" t="s">
        <v>479</v>
      </c>
      <c r="D335" s="144" t="s">
        <v>207</v>
      </c>
      <c r="E335" s="145">
        <v>40934009</v>
      </c>
      <c r="F335" s="146">
        <v>42834044</v>
      </c>
      <c r="G335" s="147"/>
      <c r="H335" s="145"/>
      <c r="I335" s="147"/>
      <c r="J335" s="146"/>
      <c r="K335" s="147"/>
      <c r="L335" s="145"/>
      <c r="M335" s="145"/>
      <c r="N335" s="145"/>
      <c r="O335" s="145"/>
      <c r="P335" s="145"/>
      <c r="Q335" s="146"/>
    </row>
    <row r="336" spans="1:17" ht="11.25">
      <c r="A336" s="35" t="s">
        <v>461</v>
      </c>
      <c r="B336" s="154" t="s">
        <v>480</v>
      </c>
      <c r="C336" s="158" t="s">
        <v>481</v>
      </c>
      <c r="D336" s="159" t="s">
        <v>210</v>
      </c>
      <c r="E336" s="145">
        <v>22407019</v>
      </c>
      <c r="F336" s="146">
        <v>23252246</v>
      </c>
      <c r="G336" s="147"/>
      <c r="H336" s="145"/>
      <c r="I336" s="147"/>
      <c r="J336" s="146"/>
      <c r="K336" s="147"/>
      <c r="L336" s="145"/>
      <c r="M336" s="145"/>
      <c r="N336" s="145"/>
      <c r="O336" s="145"/>
      <c r="P336" s="145"/>
      <c r="Q336" s="146"/>
    </row>
    <row r="337" spans="1:17" ht="11.25">
      <c r="A337" s="35" t="s">
        <v>461</v>
      </c>
      <c r="B337" s="35" t="s">
        <v>482</v>
      </c>
      <c r="C337" s="143" t="s">
        <v>483</v>
      </c>
      <c r="D337" s="144" t="s">
        <v>210</v>
      </c>
      <c r="E337" s="145">
        <v>36354127</v>
      </c>
      <c r="F337" s="146">
        <v>38893116</v>
      </c>
      <c r="G337" s="147"/>
      <c r="H337" s="145"/>
      <c r="I337" s="147"/>
      <c r="J337" s="146"/>
      <c r="K337" s="147"/>
      <c r="L337" s="145"/>
      <c r="M337" s="145"/>
      <c r="N337" s="145"/>
      <c r="O337" s="145"/>
      <c r="P337" s="145"/>
      <c r="Q337" s="146"/>
    </row>
    <row r="338" spans="1:17" ht="11.25">
      <c r="A338" s="35" t="s">
        <v>461</v>
      </c>
      <c r="B338" s="35" t="s">
        <v>484</v>
      </c>
      <c r="C338" s="143" t="s">
        <v>485</v>
      </c>
      <c r="D338" s="144" t="s">
        <v>219</v>
      </c>
      <c r="E338" s="145">
        <v>18031017</v>
      </c>
      <c r="F338" s="146">
        <v>18704445</v>
      </c>
      <c r="G338" s="147"/>
      <c r="H338" s="145"/>
      <c r="I338" s="147"/>
      <c r="J338" s="146"/>
      <c r="K338" s="147"/>
      <c r="L338" s="145"/>
      <c r="M338" s="145"/>
      <c r="N338" s="145"/>
      <c r="O338" s="145"/>
      <c r="P338" s="145"/>
      <c r="Q338" s="146"/>
    </row>
    <row r="339" spans="1:17" ht="11.25">
      <c r="A339" s="35" t="s">
        <v>461</v>
      </c>
      <c r="B339" s="35" t="s">
        <v>486</v>
      </c>
      <c r="C339" s="143" t="s">
        <v>487</v>
      </c>
      <c r="D339" s="144" t="s">
        <v>232</v>
      </c>
      <c r="E339" s="145">
        <v>17819015</v>
      </c>
      <c r="F339" s="146">
        <v>17734583</v>
      </c>
      <c r="G339" s="147"/>
      <c r="H339" s="145"/>
      <c r="I339" s="147"/>
      <c r="J339" s="146"/>
      <c r="K339" s="147"/>
      <c r="L339" s="145"/>
      <c r="M339" s="145"/>
      <c r="N339" s="145"/>
      <c r="O339" s="145"/>
      <c r="P339" s="145"/>
      <c r="Q339" s="146"/>
    </row>
    <row r="340" spans="1:17" ht="11.25">
      <c r="A340" s="35" t="s">
        <v>461</v>
      </c>
      <c r="B340" s="35" t="s">
        <v>488</v>
      </c>
      <c r="C340" s="143" t="s">
        <v>489</v>
      </c>
      <c r="D340" s="144" t="s">
        <v>232</v>
      </c>
      <c r="E340" s="145">
        <v>17697336</v>
      </c>
      <c r="F340" s="146">
        <v>18382087</v>
      </c>
      <c r="G340" s="147"/>
      <c r="H340" s="145"/>
      <c r="I340" s="147"/>
      <c r="J340" s="146"/>
      <c r="K340" s="147"/>
      <c r="L340" s="145"/>
      <c r="M340" s="145"/>
      <c r="N340" s="145"/>
      <c r="O340" s="145"/>
      <c r="P340" s="145"/>
      <c r="Q340" s="146"/>
    </row>
    <row r="341" spans="1:17" ht="11.25">
      <c r="A341" s="35" t="s">
        <v>461</v>
      </c>
      <c r="B341" s="35" t="s">
        <v>490</v>
      </c>
      <c r="C341" s="143" t="s">
        <v>491</v>
      </c>
      <c r="D341" s="144" t="s">
        <v>232</v>
      </c>
      <c r="E341" s="145">
        <v>19557256</v>
      </c>
      <c r="F341" s="146">
        <v>20145214</v>
      </c>
      <c r="G341" s="147"/>
      <c r="H341" s="145"/>
      <c r="I341" s="147"/>
      <c r="J341" s="146"/>
      <c r="K341" s="147"/>
      <c r="L341" s="145"/>
      <c r="M341" s="145"/>
      <c r="N341" s="145"/>
      <c r="O341" s="145"/>
      <c r="P341" s="145"/>
      <c r="Q341" s="146"/>
    </row>
    <row r="342" spans="1:17" ht="11.25">
      <c r="A342" s="35" t="s">
        <v>461</v>
      </c>
      <c r="B342" s="35" t="s">
        <v>492</v>
      </c>
      <c r="C342" s="143" t="s">
        <v>493</v>
      </c>
      <c r="D342" s="144" t="s">
        <v>269</v>
      </c>
      <c r="E342" s="145">
        <v>10132721</v>
      </c>
      <c r="F342" s="146">
        <v>11141159</v>
      </c>
      <c r="G342" s="147"/>
      <c r="H342" s="145"/>
      <c r="I342" s="147"/>
      <c r="J342" s="146"/>
      <c r="K342" s="147"/>
      <c r="L342" s="145"/>
      <c r="M342" s="145"/>
      <c r="N342" s="145"/>
      <c r="O342" s="145"/>
      <c r="P342" s="145"/>
      <c r="Q342" s="146"/>
    </row>
    <row r="343" spans="1:17" ht="11.25">
      <c r="A343" s="35" t="s">
        <v>461</v>
      </c>
      <c r="B343" s="35" t="s">
        <v>963</v>
      </c>
      <c r="C343" s="35"/>
      <c r="D343" s="36">
        <v>7</v>
      </c>
      <c r="E343" s="145">
        <v>378030016</v>
      </c>
      <c r="F343" s="146">
        <v>404250360</v>
      </c>
      <c r="G343" s="147">
        <v>84138462</v>
      </c>
      <c r="H343" s="145">
        <v>87736380</v>
      </c>
      <c r="I343" s="147"/>
      <c r="J343" s="146"/>
      <c r="K343" s="147"/>
      <c r="L343" s="145"/>
      <c r="M343" s="145"/>
      <c r="N343" s="145"/>
      <c r="O343" s="145"/>
      <c r="P343" s="145"/>
      <c r="Q343" s="146"/>
    </row>
    <row r="344" spans="1:17" ht="11.25">
      <c r="A344" s="35" t="s">
        <v>552</v>
      </c>
      <c r="B344" s="35" t="s">
        <v>553</v>
      </c>
      <c r="C344" s="143">
        <v>207388</v>
      </c>
      <c r="D344" s="36">
        <v>1</v>
      </c>
      <c r="E344" s="145">
        <v>86123503</v>
      </c>
      <c r="F344" s="146">
        <v>93486625</v>
      </c>
      <c r="G344" s="147"/>
      <c r="H344" s="145"/>
      <c r="I344" s="147"/>
      <c r="J344" s="145"/>
      <c r="K344" s="147"/>
      <c r="L344" s="145"/>
      <c r="M344" s="145"/>
      <c r="N344" s="145"/>
      <c r="O344" s="145"/>
      <c r="P344" s="145"/>
      <c r="Q344" s="145"/>
    </row>
    <row r="345" spans="1:17" ht="11.25">
      <c r="A345" s="35" t="s">
        <v>552</v>
      </c>
      <c r="B345" s="35" t="s">
        <v>554</v>
      </c>
      <c r="C345" s="143">
        <v>207500</v>
      </c>
      <c r="D345" s="36">
        <v>1</v>
      </c>
      <c r="E345" s="145">
        <v>84979189</v>
      </c>
      <c r="F345" s="146">
        <v>96158282</v>
      </c>
      <c r="G345" s="147"/>
      <c r="H345" s="145"/>
      <c r="I345" s="147"/>
      <c r="J345" s="145"/>
      <c r="K345" s="147"/>
      <c r="L345" s="145"/>
      <c r="M345" s="145"/>
      <c r="N345" s="145"/>
      <c r="O345" s="145"/>
      <c r="P345" s="145"/>
      <c r="Q345" s="145"/>
    </row>
    <row r="346" spans="1:17" ht="11.25">
      <c r="A346" s="35" t="s">
        <v>552</v>
      </c>
      <c r="B346" s="35" t="s">
        <v>555</v>
      </c>
      <c r="C346" s="143">
        <v>206941</v>
      </c>
      <c r="D346" s="36">
        <v>3</v>
      </c>
      <c r="E346" s="145">
        <v>28488062</v>
      </c>
      <c r="F346" s="146">
        <v>33995746</v>
      </c>
      <c r="G346" s="147"/>
      <c r="H346" s="145"/>
      <c r="I346" s="147"/>
      <c r="J346" s="145"/>
      <c r="K346" s="147"/>
      <c r="L346" s="145"/>
      <c r="M346" s="145"/>
      <c r="N346" s="145"/>
      <c r="O346" s="145"/>
      <c r="P346" s="145"/>
      <c r="Q346" s="145"/>
    </row>
    <row r="347" spans="1:17" ht="11.25">
      <c r="A347" s="35" t="s">
        <v>552</v>
      </c>
      <c r="B347" s="35" t="s">
        <v>556</v>
      </c>
      <c r="C347" s="143">
        <v>207263</v>
      </c>
      <c r="D347" s="36">
        <v>4</v>
      </c>
      <c r="E347" s="145">
        <v>19396827</v>
      </c>
      <c r="F347" s="146">
        <v>23384356</v>
      </c>
      <c r="G347" s="147"/>
      <c r="H347" s="145"/>
      <c r="I347" s="147"/>
      <c r="J347" s="145"/>
      <c r="K347" s="147"/>
      <c r="L347" s="145"/>
      <c r="M347" s="145"/>
      <c r="N347" s="145"/>
      <c r="O347" s="145"/>
      <c r="P347" s="145"/>
      <c r="Q347" s="145"/>
    </row>
    <row r="348" spans="1:17" ht="11.25">
      <c r="A348" s="35" t="s">
        <v>552</v>
      </c>
      <c r="B348" s="35" t="s">
        <v>557</v>
      </c>
      <c r="C348" s="143">
        <v>207865</v>
      </c>
      <c r="D348" s="36">
        <v>4</v>
      </c>
      <c r="E348" s="145">
        <v>15652791</v>
      </c>
      <c r="F348" s="146">
        <v>17111686</v>
      </c>
      <c r="G348" s="147"/>
      <c r="H348" s="145"/>
      <c r="I348" s="147"/>
      <c r="J348" s="145"/>
      <c r="K348" s="147"/>
      <c r="L348" s="145"/>
      <c r="M348" s="145"/>
      <c r="N348" s="145"/>
      <c r="O348" s="145"/>
      <c r="P348" s="145"/>
      <c r="Q348" s="145"/>
    </row>
    <row r="349" spans="1:17" ht="11.25">
      <c r="A349" s="35" t="s">
        <v>552</v>
      </c>
      <c r="B349" s="35" t="s">
        <v>558</v>
      </c>
      <c r="C349" s="143">
        <v>207041</v>
      </c>
      <c r="D349" s="36">
        <v>5</v>
      </c>
      <c r="E349" s="145">
        <v>11562012</v>
      </c>
      <c r="F349" s="146">
        <v>12933354</v>
      </c>
      <c r="G349" s="147"/>
      <c r="H349" s="145"/>
      <c r="I349" s="147"/>
      <c r="J349" s="145"/>
      <c r="K349" s="147"/>
      <c r="L349" s="145"/>
      <c r="M349" s="145"/>
      <c r="N349" s="145"/>
      <c r="O349" s="145"/>
      <c r="P349" s="145"/>
      <c r="Q349" s="145"/>
    </row>
    <row r="350" spans="1:17" ht="11.25">
      <c r="A350" s="35" t="s">
        <v>552</v>
      </c>
      <c r="B350" s="35" t="s">
        <v>559</v>
      </c>
      <c r="C350" s="143">
        <v>207306</v>
      </c>
      <c r="D350" s="36">
        <v>5</v>
      </c>
      <c r="E350" s="145">
        <v>5315979</v>
      </c>
      <c r="F350" s="146">
        <v>7687122</v>
      </c>
      <c r="G350" s="147"/>
      <c r="H350" s="145"/>
      <c r="I350" s="147"/>
      <c r="J350" s="145"/>
      <c r="K350" s="147"/>
      <c r="L350" s="145"/>
      <c r="M350" s="145"/>
      <c r="N350" s="145"/>
      <c r="O350" s="145"/>
      <c r="P350" s="145"/>
      <c r="Q350" s="145"/>
    </row>
    <row r="351" spans="1:17" ht="11.25">
      <c r="A351" s="35" t="s">
        <v>552</v>
      </c>
      <c r="B351" s="35" t="s">
        <v>560</v>
      </c>
      <c r="C351" s="143">
        <v>207847</v>
      </c>
      <c r="D351" s="36">
        <v>5</v>
      </c>
      <c r="E351" s="145">
        <v>11423608</v>
      </c>
      <c r="F351" s="146">
        <v>12512638</v>
      </c>
      <c r="G351" s="147"/>
      <c r="H351" s="145"/>
      <c r="I351" s="147"/>
      <c r="J351" s="145"/>
      <c r="K351" s="147"/>
      <c r="L351" s="145"/>
      <c r="M351" s="145"/>
      <c r="N351" s="145"/>
      <c r="O351" s="145"/>
      <c r="P351" s="145"/>
      <c r="Q351" s="145"/>
    </row>
    <row r="352" spans="1:17" ht="11.25">
      <c r="A352" s="35" t="s">
        <v>552</v>
      </c>
      <c r="B352" s="35" t="s">
        <v>561</v>
      </c>
      <c r="C352" s="143">
        <v>206914</v>
      </c>
      <c r="D352" s="36">
        <v>5</v>
      </c>
      <c r="E352" s="145">
        <v>12979583</v>
      </c>
      <c r="F352" s="146">
        <v>15451506</v>
      </c>
      <c r="G352" s="147"/>
      <c r="H352" s="145"/>
      <c r="I352" s="147"/>
      <c r="J352" s="145"/>
      <c r="K352" s="147"/>
      <c r="L352" s="145"/>
      <c r="M352" s="145"/>
      <c r="N352" s="145"/>
      <c r="O352" s="145"/>
      <c r="P352" s="145"/>
      <c r="Q352" s="145"/>
    </row>
    <row r="353" spans="1:17" ht="11.25">
      <c r="A353" s="35" t="s">
        <v>552</v>
      </c>
      <c r="B353" s="35" t="s">
        <v>562</v>
      </c>
      <c r="C353" s="143">
        <v>207209</v>
      </c>
      <c r="D353" s="36">
        <v>6</v>
      </c>
      <c r="E353" s="145">
        <v>6307272</v>
      </c>
      <c r="F353" s="146">
        <v>8659331</v>
      </c>
      <c r="G353" s="147"/>
      <c r="H353" s="145"/>
      <c r="I353" s="147"/>
      <c r="J353" s="145"/>
      <c r="K353" s="147"/>
      <c r="L353" s="145"/>
      <c r="M353" s="145"/>
      <c r="N353" s="145"/>
      <c r="O353" s="145"/>
      <c r="P353" s="145"/>
      <c r="Q353" s="145"/>
    </row>
    <row r="354" spans="1:17" ht="11.25">
      <c r="A354" s="35" t="s">
        <v>552</v>
      </c>
      <c r="B354" s="35" t="s">
        <v>563</v>
      </c>
      <c r="C354" s="143">
        <v>207351</v>
      </c>
      <c r="D354" s="36">
        <v>6</v>
      </c>
      <c r="E354" s="145">
        <v>4605764</v>
      </c>
      <c r="F354" s="146">
        <v>5062033</v>
      </c>
      <c r="G354" s="147"/>
      <c r="H354" s="145"/>
      <c r="I354" s="147"/>
      <c r="J354" s="145"/>
      <c r="K354" s="147"/>
      <c r="L354" s="145"/>
      <c r="M354" s="145"/>
      <c r="N354" s="145"/>
      <c r="O354" s="145"/>
      <c r="P354" s="145"/>
      <c r="Q354" s="145"/>
    </row>
    <row r="355" spans="1:17" ht="11.25">
      <c r="A355" s="35" t="s">
        <v>552</v>
      </c>
      <c r="B355" s="35" t="s">
        <v>564</v>
      </c>
      <c r="C355" s="143">
        <v>207722</v>
      </c>
      <c r="D355" s="36">
        <v>6</v>
      </c>
      <c r="E355" s="145">
        <v>4571806</v>
      </c>
      <c r="F355" s="146">
        <v>5163874</v>
      </c>
      <c r="G355" s="147"/>
      <c r="H355" s="145"/>
      <c r="I355" s="147"/>
      <c r="J355" s="145"/>
      <c r="K355" s="147"/>
      <c r="L355" s="145"/>
      <c r="M355" s="145"/>
      <c r="N355" s="145"/>
      <c r="O355" s="145"/>
      <c r="P355" s="145"/>
      <c r="Q355" s="145"/>
    </row>
    <row r="356" spans="1:17" ht="11.25">
      <c r="A356" s="35" t="s">
        <v>552</v>
      </c>
      <c r="B356" s="35" t="s">
        <v>565</v>
      </c>
      <c r="C356" s="143">
        <v>206923</v>
      </c>
      <c r="D356" s="36">
        <v>7</v>
      </c>
      <c r="E356" s="145">
        <v>3387737</v>
      </c>
      <c r="F356" s="146">
        <v>3823700</v>
      </c>
      <c r="G356" s="147"/>
      <c r="H356" s="145"/>
      <c r="I356" s="147"/>
      <c r="J356" s="145"/>
      <c r="K356" s="147"/>
      <c r="L356" s="145"/>
      <c r="M356" s="145"/>
      <c r="N356" s="145"/>
      <c r="O356" s="145"/>
      <c r="P356" s="145"/>
      <c r="Q356" s="145"/>
    </row>
    <row r="357" spans="1:17" ht="11.25">
      <c r="A357" s="35" t="s">
        <v>552</v>
      </c>
      <c r="B357" s="35" t="s">
        <v>566</v>
      </c>
      <c r="C357" s="143">
        <v>206996</v>
      </c>
      <c r="D357" s="36">
        <v>7</v>
      </c>
      <c r="E357" s="145">
        <v>4207786</v>
      </c>
      <c r="F357" s="146">
        <v>4800149</v>
      </c>
      <c r="G357" s="147"/>
      <c r="H357" s="145"/>
      <c r="I357" s="147"/>
      <c r="J357" s="145"/>
      <c r="K357" s="147"/>
      <c r="L357" s="145"/>
      <c r="M357" s="145"/>
      <c r="N357" s="145"/>
      <c r="O357" s="145"/>
      <c r="P357" s="145"/>
      <c r="Q357" s="145"/>
    </row>
    <row r="358" spans="1:17" ht="11.25">
      <c r="A358" s="35" t="s">
        <v>552</v>
      </c>
      <c r="B358" s="35" t="s">
        <v>567</v>
      </c>
      <c r="C358" s="143">
        <v>207050</v>
      </c>
      <c r="D358" s="36">
        <v>7</v>
      </c>
      <c r="E358" s="145">
        <v>4409127</v>
      </c>
      <c r="F358" s="146">
        <v>4833339</v>
      </c>
      <c r="G358" s="147"/>
      <c r="H358" s="145"/>
      <c r="I358" s="147"/>
      <c r="J358" s="145"/>
      <c r="K358" s="147"/>
      <c r="L358" s="145"/>
      <c r="M358" s="145"/>
      <c r="N358" s="145"/>
      <c r="O358" s="145"/>
      <c r="P358" s="145"/>
      <c r="Q358" s="145"/>
    </row>
    <row r="359" spans="1:17" ht="11.25">
      <c r="A359" s="35" t="s">
        <v>552</v>
      </c>
      <c r="B359" s="35" t="s">
        <v>568</v>
      </c>
      <c r="C359" s="143">
        <v>207236</v>
      </c>
      <c r="D359" s="36">
        <v>7</v>
      </c>
      <c r="E359" s="145">
        <v>3195482</v>
      </c>
      <c r="F359" s="145">
        <v>3478679</v>
      </c>
      <c r="G359" s="147"/>
      <c r="H359" s="145"/>
      <c r="I359" s="147"/>
      <c r="J359" s="145"/>
      <c r="K359" s="147"/>
      <c r="L359" s="145"/>
      <c r="M359" s="145"/>
      <c r="N359" s="145"/>
      <c r="O359" s="145"/>
      <c r="P359" s="145"/>
      <c r="Q359" s="145"/>
    </row>
    <row r="360" spans="1:17" ht="11.25">
      <c r="A360" s="35" t="s">
        <v>552</v>
      </c>
      <c r="B360" s="35" t="s">
        <v>569</v>
      </c>
      <c r="C360" s="143">
        <v>207290</v>
      </c>
      <c r="D360" s="36">
        <v>7</v>
      </c>
      <c r="E360" s="145">
        <v>6878096</v>
      </c>
      <c r="F360" s="145">
        <v>7350574</v>
      </c>
      <c r="G360" s="147"/>
      <c r="H360" s="145"/>
      <c r="I360" s="147"/>
      <c r="J360" s="145"/>
      <c r="K360" s="147"/>
      <c r="L360" s="145"/>
      <c r="M360" s="145"/>
      <c r="N360" s="145"/>
      <c r="O360" s="145"/>
      <c r="P360" s="145"/>
      <c r="Q360" s="145"/>
    </row>
    <row r="361" spans="1:17" ht="11.25">
      <c r="A361" s="35" t="s">
        <v>552</v>
      </c>
      <c r="B361" s="35" t="s">
        <v>570</v>
      </c>
      <c r="C361" s="143">
        <v>207281</v>
      </c>
      <c r="D361" s="36">
        <v>7</v>
      </c>
      <c r="E361" s="145">
        <v>3803832</v>
      </c>
      <c r="F361" s="145">
        <v>4235083</v>
      </c>
      <c r="G361" s="147"/>
      <c r="H361" s="145"/>
      <c r="I361" s="147"/>
      <c r="J361" s="145"/>
      <c r="K361" s="147"/>
      <c r="L361" s="145"/>
      <c r="M361" s="145"/>
      <c r="N361" s="145"/>
      <c r="O361" s="145"/>
      <c r="P361" s="145"/>
      <c r="Q361" s="145"/>
    </row>
    <row r="362" spans="1:17" ht="11.25">
      <c r="A362" s="35" t="s">
        <v>552</v>
      </c>
      <c r="B362" s="35" t="s">
        <v>571</v>
      </c>
      <c r="C362" s="143">
        <v>207449</v>
      </c>
      <c r="D362" s="36">
        <v>7</v>
      </c>
      <c r="E362" s="145">
        <v>11540263</v>
      </c>
      <c r="F362" s="145">
        <v>13450688</v>
      </c>
      <c r="G362" s="147">
        <v>1400000</v>
      </c>
      <c r="H362" s="145">
        <v>1750000</v>
      </c>
      <c r="I362" s="147"/>
      <c r="J362" s="145"/>
      <c r="K362" s="147"/>
      <c r="L362" s="145"/>
      <c r="M362" s="145"/>
      <c r="N362" s="145"/>
      <c r="O362" s="145"/>
      <c r="P362" s="145"/>
      <c r="Q362" s="145"/>
    </row>
    <row r="363" spans="1:17" ht="11.25">
      <c r="A363" s="35" t="s">
        <v>552</v>
      </c>
      <c r="B363" s="35" t="s">
        <v>572</v>
      </c>
      <c r="C363" s="143">
        <v>207397</v>
      </c>
      <c r="D363" s="36">
        <v>7</v>
      </c>
      <c r="E363" s="145">
        <v>5660967</v>
      </c>
      <c r="F363" s="145">
        <v>6696955</v>
      </c>
      <c r="G363" s="147"/>
      <c r="H363" s="145"/>
      <c r="I363" s="147"/>
      <c r="J363" s="145"/>
      <c r="K363" s="147"/>
      <c r="L363" s="145"/>
      <c r="M363" s="145"/>
      <c r="N363" s="145"/>
      <c r="O363" s="145"/>
      <c r="P363" s="145"/>
      <c r="Q363" s="145"/>
    </row>
    <row r="364" spans="1:17" ht="11.25">
      <c r="A364" s="35" t="s">
        <v>552</v>
      </c>
      <c r="B364" s="35" t="s">
        <v>573</v>
      </c>
      <c r="C364" s="143">
        <v>207564</v>
      </c>
      <c r="D364" s="36">
        <v>7</v>
      </c>
      <c r="E364" s="145">
        <v>11122408</v>
      </c>
      <c r="F364" s="145">
        <v>11936831</v>
      </c>
      <c r="G364" s="147"/>
      <c r="H364" s="145"/>
      <c r="I364" s="147"/>
      <c r="J364" s="145"/>
      <c r="K364" s="147"/>
      <c r="L364" s="145"/>
      <c r="M364" s="145"/>
      <c r="N364" s="145"/>
      <c r="O364" s="145"/>
      <c r="P364" s="145"/>
      <c r="Q364" s="145"/>
    </row>
    <row r="365" spans="1:17" ht="11.25">
      <c r="A365" s="35" t="s">
        <v>552</v>
      </c>
      <c r="B365" s="35" t="s">
        <v>574</v>
      </c>
      <c r="C365" s="143">
        <v>207069</v>
      </c>
      <c r="D365" s="36">
        <v>7</v>
      </c>
      <c r="E365" s="145">
        <v>2696973</v>
      </c>
      <c r="F365" s="145">
        <v>3190352</v>
      </c>
      <c r="G365" s="147"/>
      <c r="H365" s="145"/>
      <c r="I365" s="147"/>
      <c r="J365" s="145"/>
      <c r="K365" s="147"/>
      <c r="L365" s="145"/>
      <c r="M365" s="145"/>
      <c r="N365" s="145"/>
      <c r="O365" s="145"/>
      <c r="P365" s="145"/>
      <c r="Q365" s="145"/>
    </row>
    <row r="366" spans="1:17" ht="11.25">
      <c r="A366" s="35" t="s">
        <v>552</v>
      </c>
      <c r="B366" s="35" t="s">
        <v>964</v>
      </c>
      <c r="C366" s="143">
        <v>207661</v>
      </c>
      <c r="D366" s="36">
        <v>7</v>
      </c>
      <c r="E366" s="145">
        <v>6387751</v>
      </c>
      <c r="F366" s="180">
        <v>7060341</v>
      </c>
      <c r="G366" s="147"/>
      <c r="H366" s="145"/>
      <c r="I366" s="147"/>
      <c r="J366" s="145"/>
      <c r="K366" s="147"/>
      <c r="L366" s="145"/>
      <c r="M366" s="145"/>
      <c r="N366" s="145"/>
      <c r="O366" s="145"/>
      <c r="P366" s="145"/>
      <c r="Q366" s="145"/>
    </row>
    <row r="367" spans="1:17" ht="11.25">
      <c r="A367" s="35" t="s">
        <v>552</v>
      </c>
      <c r="B367" s="35" t="s">
        <v>576</v>
      </c>
      <c r="C367" s="143">
        <v>207670</v>
      </c>
      <c r="D367" s="36">
        <v>7</v>
      </c>
      <c r="E367" s="145">
        <v>15191947</v>
      </c>
      <c r="F367" s="145">
        <v>16378107</v>
      </c>
      <c r="G367" s="147">
        <v>1650000</v>
      </c>
      <c r="H367" s="145">
        <v>1602000</v>
      </c>
      <c r="I367" s="147"/>
      <c r="J367" s="145"/>
      <c r="K367" s="147"/>
      <c r="L367" s="145"/>
      <c r="M367" s="145"/>
      <c r="N367" s="145"/>
      <c r="O367" s="145"/>
      <c r="P367" s="145"/>
      <c r="Q367" s="145"/>
    </row>
    <row r="368" spans="1:17" ht="11.25">
      <c r="A368" s="35" t="s">
        <v>552</v>
      </c>
      <c r="B368" s="35" t="s">
        <v>965</v>
      </c>
      <c r="C368" s="143">
        <v>207740</v>
      </c>
      <c r="D368" s="36">
        <v>7</v>
      </c>
      <c r="E368" s="145">
        <v>3185041</v>
      </c>
      <c r="F368" s="145">
        <v>3462391</v>
      </c>
      <c r="G368" s="147"/>
      <c r="H368" s="145"/>
      <c r="I368" s="147"/>
      <c r="J368" s="145"/>
      <c r="K368" s="147"/>
      <c r="L368" s="145"/>
      <c r="M368" s="145"/>
      <c r="N368" s="145"/>
      <c r="O368" s="145"/>
      <c r="P368" s="145"/>
      <c r="Q368" s="145"/>
    </row>
    <row r="369" spans="1:17" ht="11.25">
      <c r="A369" s="35" t="s">
        <v>552</v>
      </c>
      <c r="B369" s="35" t="s">
        <v>966</v>
      </c>
      <c r="C369" s="143">
        <v>207935</v>
      </c>
      <c r="D369" s="36">
        <v>7</v>
      </c>
      <c r="E369" s="145">
        <v>22004958</v>
      </c>
      <c r="F369" s="145">
        <v>24720857</v>
      </c>
      <c r="G369" s="147">
        <v>14340527</v>
      </c>
      <c r="H369" s="145">
        <v>15306850</v>
      </c>
      <c r="I369" s="147"/>
      <c r="J369" s="145"/>
      <c r="K369" s="147"/>
      <c r="L369" s="145"/>
      <c r="M369" s="145"/>
      <c r="N369" s="145"/>
      <c r="O369" s="145"/>
      <c r="P369" s="145"/>
      <c r="Q369" s="145"/>
    </row>
    <row r="370" spans="1:17" ht="11.25">
      <c r="A370" s="35" t="s">
        <v>552</v>
      </c>
      <c r="B370" s="35" t="s">
        <v>579</v>
      </c>
      <c r="C370" s="143">
        <v>207035</v>
      </c>
      <c r="D370" s="36">
        <v>7</v>
      </c>
      <c r="E370" s="145">
        <v>3409388</v>
      </c>
      <c r="F370" s="145">
        <v>3733515</v>
      </c>
      <c r="G370" s="147"/>
      <c r="H370" s="145"/>
      <c r="I370" s="147"/>
      <c r="J370" s="145"/>
      <c r="K370" s="147"/>
      <c r="L370" s="145"/>
      <c r="M370" s="145"/>
      <c r="N370" s="145"/>
      <c r="O370" s="145"/>
      <c r="P370" s="145"/>
      <c r="Q370" s="145"/>
    </row>
    <row r="371" spans="1:17" ht="11.25">
      <c r="A371" s="35" t="s">
        <v>552</v>
      </c>
      <c r="B371" s="35" t="s">
        <v>580</v>
      </c>
      <c r="C371" s="143">
        <v>207315</v>
      </c>
      <c r="D371" s="36">
        <v>9</v>
      </c>
      <c r="E371" s="145">
        <v>8155405</v>
      </c>
      <c r="F371" s="145"/>
      <c r="G371" s="147"/>
      <c r="H371" s="145"/>
      <c r="I371" s="147"/>
      <c r="J371" s="145">
        <v>9737703</v>
      </c>
      <c r="K371" s="147"/>
      <c r="L371" s="145"/>
      <c r="M371" s="145"/>
      <c r="N371" s="145"/>
      <c r="O371" s="145"/>
      <c r="P371" s="145"/>
      <c r="Q371" s="145"/>
    </row>
    <row r="372" spans="1:17" ht="11.25">
      <c r="A372" s="35" t="s">
        <v>552</v>
      </c>
      <c r="B372" s="35" t="s">
        <v>581</v>
      </c>
      <c r="C372" s="143"/>
      <c r="D372" s="36">
        <v>9</v>
      </c>
      <c r="E372" s="145">
        <v>8290684</v>
      </c>
      <c r="F372" s="145"/>
      <c r="G372" s="147"/>
      <c r="H372" s="145"/>
      <c r="I372" s="147">
        <v>9075163</v>
      </c>
      <c r="J372" s="145"/>
      <c r="K372" s="147"/>
      <c r="L372" s="145"/>
      <c r="M372" s="145"/>
      <c r="N372" s="145"/>
      <c r="O372" s="145"/>
      <c r="P372" s="145"/>
      <c r="Q372" s="145"/>
    </row>
    <row r="373" spans="1:17" ht="11.25">
      <c r="A373" s="35" t="s">
        <v>552</v>
      </c>
      <c r="B373" s="35" t="s">
        <v>582</v>
      </c>
      <c r="C373" s="143">
        <v>207342</v>
      </c>
      <c r="D373" s="36">
        <v>9</v>
      </c>
      <c r="E373" s="145">
        <v>57716005</v>
      </c>
      <c r="F373" s="145"/>
      <c r="G373" s="147"/>
      <c r="H373" s="145"/>
      <c r="I373" s="147"/>
      <c r="J373" s="145">
        <v>62674713</v>
      </c>
      <c r="K373" s="147"/>
      <c r="L373" s="145"/>
      <c r="M373" s="145"/>
      <c r="N373" s="145"/>
      <c r="O373" s="145"/>
      <c r="P373" s="145"/>
      <c r="Q373" s="145"/>
    </row>
    <row r="374" spans="1:17" ht="11.25">
      <c r="A374" s="35" t="s">
        <v>552</v>
      </c>
      <c r="B374" s="35" t="s">
        <v>583</v>
      </c>
      <c r="C374" s="143"/>
      <c r="D374" s="36">
        <v>9</v>
      </c>
      <c r="E374" s="145">
        <v>3754399</v>
      </c>
      <c r="F374" s="145">
        <v>4138109</v>
      </c>
      <c r="G374" s="147"/>
      <c r="H374" s="145"/>
      <c r="I374" s="147"/>
      <c r="J374" s="145"/>
      <c r="K374" s="147"/>
      <c r="L374" s="145"/>
      <c r="M374" s="145"/>
      <c r="N374" s="145"/>
      <c r="O374" s="145"/>
      <c r="P374" s="145"/>
      <c r="Q374" s="145"/>
    </row>
    <row r="375" spans="1:17" ht="11.25">
      <c r="A375" s="35" t="s">
        <v>584</v>
      </c>
      <c r="B375" s="35" t="s">
        <v>585</v>
      </c>
      <c r="C375" s="143">
        <v>218663</v>
      </c>
      <c r="D375" s="36">
        <v>1</v>
      </c>
      <c r="E375" s="145">
        <v>112155435</v>
      </c>
      <c r="F375" s="146">
        <f>133018605-17292419</f>
        <v>115726186</v>
      </c>
      <c r="G375" s="147"/>
      <c r="H375" s="145"/>
      <c r="I375" s="147"/>
      <c r="J375" s="145">
        <v>17292419</v>
      </c>
      <c r="K375" s="147"/>
      <c r="L375" s="145"/>
      <c r="M375" s="145"/>
      <c r="N375" s="145"/>
      <c r="O375" s="145"/>
      <c r="P375" s="145"/>
      <c r="Q375" s="145">
        <v>21806706</v>
      </c>
    </row>
    <row r="376" spans="1:17" ht="11.25">
      <c r="A376" s="35" t="s">
        <v>584</v>
      </c>
      <c r="B376" s="35" t="s">
        <v>586</v>
      </c>
      <c r="C376" s="143">
        <v>217882</v>
      </c>
      <c r="D376" s="36">
        <v>2</v>
      </c>
      <c r="E376" s="145">
        <v>86790546</v>
      </c>
      <c r="F376" s="146">
        <v>89902149</v>
      </c>
      <c r="G376" s="147"/>
      <c r="H376" s="145"/>
      <c r="I376" s="147"/>
      <c r="J376" s="145"/>
      <c r="K376" s="147"/>
      <c r="L376" s="145"/>
      <c r="M376" s="145"/>
      <c r="N376" s="145"/>
      <c r="O376" s="145"/>
      <c r="P376" s="145"/>
      <c r="Q376" s="145"/>
    </row>
    <row r="377" spans="1:17" ht="11.25">
      <c r="A377" s="35" t="s">
        <v>584</v>
      </c>
      <c r="B377" s="35" t="s">
        <v>587</v>
      </c>
      <c r="C377" s="143">
        <v>218964</v>
      </c>
      <c r="D377" s="36">
        <v>3</v>
      </c>
      <c r="E377" s="145">
        <v>19142559</v>
      </c>
      <c r="F377" s="146">
        <v>19947689</v>
      </c>
      <c r="G377" s="147"/>
      <c r="H377" s="145"/>
      <c r="I377" s="147"/>
      <c r="J377" s="145"/>
      <c r="K377" s="147"/>
      <c r="L377" s="145"/>
      <c r="M377" s="145"/>
      <c r="N377" s="145"/>
      <c r="O377" s="145"/>
      <c r="P377" s="145"/>
      <c r="Q377" s="145"/>
    </row>
    <row r="378" spans="1:17" ht="11.25">
      <c r="A378" s="35" t="s">
        <v>584</v>
      </c>
      <c r="B378" s="35" t="s">
        <v>588</v>
      </c>
      <c r="C378" s="143">
        <v>217819</v>
      </c>
      <c r="D378" s="36">
        <v>4</v>
      </c>
      <c r="E378" s="145">
        <v>23731508</v>
      </c>
      <c r="F378" s="146">
        <v>25258825</v>
      </c>
      <c r="G378" s="147"/>
      <c r="H378" s="145"/>
      <c r="I378" s="147"/>
      <c r="J378" s="145"/>
      <c r="K378" s="147"/>
      <c r="L378" s="145"/>
      <c r="M378" s="145"/>
      <c r="N378" s="145"/>
      <c r="O378" s="145"/>
      <c r="P378" s="145"/>
      <c r="Q378" s="145"/>
    </row>
    <row r="379" spans="1:17" ht="11.25">
      <c r="A379" s="35" t="s">
        <v>584</v>
      </c>
      <c r="B379" s="148" t="s">
        <v>589</v>
      </c>
      <c r="C379" s="149">
        <v>217864</v>
      </c>
      <c r="D379" s="181">
        <v>4</v>
      </c>
      <c r="E379" s="145">
        <v>13561912</v>
      </c>
      <c r="F379" s="146">
        <v>14136564</v>
      </c>
      <c r="G379" s="147"/>
      <c r="H379" s="145"/>
      <c r="I379" s="147"/>
      <c r="J379" s="145"/>
      <c r="K379" s="147"/>
      <c r="L379" s="145"/>
      <c r="M379" s="145"/>
      <c r="N379" s="145"/>
      <c r="O379" s="145"/>
      <c r="P379" s="145"/>
      <c r="Q379" s="145"/>
    </row>
    <row r="380" spans="1:17" ht="11.25">
      <c r="A380" s="35" t="s">
        <v>584</v>
      </c>
      <c r="B380" s="35" t="s">
        <v>590</v>
      </c>
      <c r="C380" s="143">
        <v>218061</v>
      </c>
      <c r="D380" s="36">
        <v>5</v>
      </c>
      <c r="E380" s="145">
        <v>12856642</v>
      </c>
      <c r="F380" s="146">
        <v>13425391</v>
      </c>
      <c r="G380" s="147"/>
      <c r="H380" s="145"/>
      <c r="I380" s="147"/>
      <c r="J380" s="145"/>
      <c r="K380" s="147"/>
      <c r="L380" s="145"/>
      <c r="M380" s="145"/>
      <c r="N380" s="145"/>
      <c r="O380" s="145"/>
      <c r="P380" s="145"/>
      <c r="Q380" s="145"/>
    </row>
    <row r="381" spans="1:17" ht="11.25">
      <c r="A381" s="35" t="s">
        <v>584</v>
      </c>
      <c r="B381" s="35" t="s">
        <v>591</v>
      </c>
      <c r="C381" s="143">
        <v>218733</v>
      </c>
      <c r="D381" s="36">
        <v>5</v>
      </c>
      <c r="E381" s="145">
        <v>20610980</v>
      </c>
      <c r="F381" s="146">
        <v>21102005</v>
      </c>
      <c r="G381" s="147"/>
      <c r="H381" s="145"/>
      <c r="I381" s="147"/>
      <c r="J381" s="145"/>
      <c r="K381" s="147"/>
      <c r="L381" s="145"/>
      <c r="M381" s="145"/>
      <c r="N381" s="145"/>
      <c r="O381" s="145"/>
      <c r="P381" s="145"/>
      <c r="Q381" s="145"/>
    </row>
    <row r="382" spans="1:17" ht="11.25">
      <c r="A382" s="35" t="s">
        <v>584</v>
      </c>
      <c r="B382" s="35" t="s">
        <v>592</v>
      </c>
      <c r="C382" s="143">
        <v>218229</v>
      </c>
      <c r="D382" s="36">
        <v>6</v>
      </c>
      <c r="E382" s="145">
        <v>10821421</v>
      </c>
      <c r="F382" s="146">
        <v>11453262</v>
      </c>
      <c r="G382" s="147"/>
      <c r="H382" s="145"/>
      <c r="I382" s="147"/>
      <c r="J382" s="145"/>
      <c r="K382" s="147"/>
      <c r="L382" s="145"/>
      <c r="M382" s="145"/>
      <c r="N382" s="145"/>
      <c r="O382" s="145"/>
      <c r="P382" s="145"/>
      <c r="Q382" s="145"/>
    </row>
    <row r="383" spans="1:17" ht="11.25">
      <c r="A383" s="35" t="s">
        <v>584</v>
      </c>
      <c r="B383" s="148" t="s">
        <v>593</v>
      </c>
      <c r="C383" s="149">
        <v>218645</v>
      </c>
      <c r="D383" s="181">
        <v>6</v>
      </c>
      <c r="E383" s="145">
        <v>8445495</v>
      </c>
      <c r="F383" s="146">
        <v>8986625</v>
      </c>
      <c r="G383" s="147"/>
      <c r="H383" s="145"/>
      <c r="I383" s="147"/>
      <c r="J383" s="145"/>
      <c r="K383" s="147"/>
      <c r="L383" s="145"/>
      <c r="M383" s="145"/>
      <c r="N383" s="145"/>
      <c r="O383" s="145"/>
      <c r="P383" s="145"/>
      <c r="Q383" s="145"/>
    </row>
    <row r="384" spans="1:17" ht="11.25">
      <c r="A384" s="35" t="s">
        <v>584</v>
      </c>
      <c r="B384" s="35" t="s">
        <v>594</v>
      </c>
      <c r="C384" s="143">
        <v>218724</v>
      </c>
      <c r="D384" s="36">
        <v>6</v>
      </c>
      <c r="E384" s="145">
        <v>8398386</v>
      </c>
      <c r="F384" s="145">
        <v>9046116</v>
      </c>
      <c r="G384" s="147"/>
      <c r="H384" s="145"/>
      <c r="I384" s="147"/>
      <c r="J384" s="145"/>
      <c r="K384" s="147"/>
      <c r="L384" s="145"/>
      <c r="M384" s="145"/>
      <c r="N384" s="145"/>
      <c r="O384" s="145"/>
      <c r="P384" s="145"/>
      <c r="Q384" s="145"/>
    </row>
    <row r="385" spans="1:17" ht="11.25">
      <c r="A385" s="35" t="s">
        <v>584</v>
      </c>
      <c r="B385" s="35" t="s">
        <v>595</v>
      </c>
      <c r="C385" s="143">
        <v>218742</v>
      </c>
      <c r="D385" s="36">
        <v>6</v>
      </c>
      <c r="E385" s="145">
        <v>10303739</v>
      </c>
      <c r="F385" s="145">
        <v>10796953</v>
      </c>
      <c r="G385" s="147"/>
      <c r="H385" s="145"/>
      <c r="I385" s="147"/>
      <c r="J385" s="145"/>
      <c r="K385" s="147"/>
      <c r="L385" s="145"/>
      <c r="M385" s="145"/>
      <c r="N385" s="145"/>
      <c r="O385" s="145"/>
      <c r="P385" s="145"/>
      <c r="Q385" s="145"/>
    </row>
    <row r="386" spans="1:17" ht="11.25">
      <c r="A386" s="35" t="s">
        <v>584</v>
      </c>
      <c r="B386" s="35" t="s">
        <v>596</v>
      </c>
      <c r="C386" s="143">
        <v>217615</v>
      </c>
      <c r="D386" s="36">
        <v>7</v>
      </c>
      <c r="E386" s="145">
        <v>5130489</v>
      </c>
      <c r="F386" s="146">
        <v>5328041</v>
      </c>
      <c r="G386" s="147">
        <v>935612</v>
      </c>
      <c r="H386" s="145">
        <v>942575</v>
      </c>
      <c r="I386" s="147"/>
      <c r="J386" s="145"/>
      <c r="K386" s="147"/>
      <c r="L386" s="145"/>
      <c r="M386" s="145"/>
      <c r="N386" s="145"/>
      <c r="O386" s="145"/>
      <c r="P386" s="145"/>
      <c r="Q386" s="145"/>
    </row>
    <row r="387" spans="1:17" ht="11.25">
      <c r="A387" s="35" t="s">
        <v>584</v>
      </c>
      <c r="B387" s="35" t="s">
        <v>597</v>
      </c>
      <c r="C387" s="143">
        <v>218858</v>
      </c>
      <c r="D387" s="36">
        <v>7</v>
      </c>
      <c r="E387" s="145">
        <v>5979671</v>
      </c>
      <c r="F387" s="146">
        <v>5979718</v>
      </c>
      <c r="G387" s="147">
        <v>951465</v>
      </c>
      <c r="H387" s="145">
        <v>951465</v>
      </c>
      <c r="I387" s="147"/>
      <c r="J387" s="145"/>
      <c r="K387" s="147"/>
      <c r="L387" s="145"/>
      <c r="M387" s="145"/>
      <c r="N387" s="145"/>
      <c r="O387" s="145"/>
      <c r="P387" s="145"/>
      <c r="Q387" s="145"/>
    </row>
    <row r="388" spans="1:17" ht="11.25">
      <c r="A388" s="35" t="s">
        <v>584</v>
      </c>
      <c r="B388" s="35" t="s">
        <v>598</v>
      </c>
      <c r="C388" s="143">
        <v>217837</v>
      </c>
      <c r="D388" s="36">
        <v>7</v>
      </c>
      <c r="E388" s="145">
        <v>2387561</v>
      </c>
      <c r="F388" s="146">
        <v>2511945</v>
      </c>
      <c r="G388" s="147">
        <v>345983</v>
      </c>
      <c r="H388" s="145">
        <v>356250</v>
      </c>
      <c r="I388" s="147"/>
      <c r="J388" s="145"/>
      <c r="K388" s="147"/>
      <c r="L388" s="145"/>
      <c r="M388" s="145"/>
      <c r="N388" s="145"/>
      <c r="O388" s="145"/>
      <c r="P388" s="145"/>
      <c r="Q388" s="145"/>
    </row>
    <row r="389" spans="1:17" ht="11.25">
      <c r="A389" s="35" t="s">
        <v>584</v>
      </c>
      <c r="B389" s="35" t="s">
        <v>599</v>
      </c>
      <c r="C389" s="143">
        <v>217989</v>
      </c>
      <c r="D389" s="36">
        <v>7</v>
      </c>
      <c r="E389" s="145">
        <v>2981832</v>
      </c>
      <c r="F389" s="146">
        <v>3205136</v>
      </c>
      <c r="G389" s="147">
        <v>9000</v>
      </c>
      <c r="H389" s="145">
        <v>4000</v>
      </c>
      <c r="I389" s="147"/>
      <c r="J389" s="145"/>
      <c r="K389" s="147"/>
      <c r="L389" s="145"/>
      <c r="M389" s="145"/>
      <c r="N389" s="145"/>
      <c r="O389" s="145"/>
      <c r="P389" s="145"/>
      <c r="Q389" s="145"/>
    </row>
    <row r="390" spans="1:17" ht="11.25">
      <c r="A390" s="35" t="s">
        <v>584</v>
      </c>
      <c r="B390" s="35" t="s">
        <v>600</v>
      </c>
      <c r="C390" s="143">
        <v>218025</v>
      </c>
      <c r="D390" s="36">
        <v>7</v>
      </c>
      <c r="E390" s="145">
        <v>7060170</v>
      </c>
      <c r="F390" s="146">
        <v>7648317</v>
      </c>
      <c r="G390" s="147">
        <v>1910870</v>
      </c>
      <c r="H390" s="145">
        <v>1910870</v>
      </c>
      <c r="I390" s="147"/>
      <c r="J390" s="145"/>
      <c r="K390" s="147"/>
      <c r="L390" s="145"/>
      <c r="M390" s="145"/>
      <c r="N390" s="145"/>
      <c r="O390" s="145"/>
      <c r="P390" s="145"/>
      <c r="Q390" s="145"/>
    </row>
    <row r="391" spans="1:17" ht="11.25">
      <c r="A391" s="35" t="s">
        <v>584</v>
      </c>
      <c r="B391" s="35" t="s">
        <v>601</v>
      </c>
      <c r="C391" s="143">
        <v>218113</v>
      </c>
      <c r="D391" s="36">
        <v>7</v>
      </c>
      <c r="E391" s="145">
        <v>18106354</v>
      </c>
      <c r="F391" s="145">
        <v>18823723</v>
      </c>
      <c r="G391" s="147">
        <v>4351660</v>
      </c>
      <c r="H391" s="145">
        <v>4250000</v>
      </c>
      <c r="I391" s="147"/>
      <c r="J391" s="145"/>
      <c r="K391" s="147"/>
      <c r="L391" s="145"/>
      <c r="M391" s="145"/>
      <c r="N391" s="145"/>
      <c r="O391" s="145"/>
      <c r="P391" s="145"/>
      <c r="Q391" s="145"/>
    </row>
    <row r="392" spans="1:17" ht="11.25">
      <c r="A392" s="35" t="s">
        <v>584</v>
      </c>
      <c r="B392" s="35" t="s">
        <v>602</v>
      </c>
      <c r="C392" s="143">
        <v>218140</v>
      </c>
      <c r="D392" s="36">
        <v>7</v>
      </c>
      <c r="E392" s="145">
        <v>6419410</v>
      </c>
      <c r="F392" s="145">
        <v>7099733</v>
      </c>
      <c r="G392" s="147">
        <v>1347682</v>
      </c>
      <c r="H392" s="145">
        <v>1262692</v>
      </c>
      <c r="I392" s="147"/>
      <c r="J392" s="145"/>
      <c r="K392" s="147"/>
      <c r="L392" s="145"/>
      <c r="M392" s="145"/>
      <c r="N392" s="145"/>
      <c r="O392" s="145"/>
      <c r="P392" s="145"/>
      <c r="Q392" s="145"/>
    </row>
    <row r="393" spans="1:17" ht="11.25">
      <c r="A393" s="35" t="s">
        <v>584</v>
      </c>
      <c r="B393" s="35" t="s">
        <v>603</v>
      </c>
      <c r="C393" s="143">
        <v>218353</v>
      </c>
      <c r="D393" s="36">
        <v>7</v>
      </c>
      <c r="E393" s="145">
        <v>17664534</v>
      </c>
      <c r="F393" s="145">
        <v>19004245</v>
      </c>
      <c r="G393" s="147">
        <v>4411407</v>
      </c>
      <c r="H393" s="145">
        <v>4469686</v>
      </c>
      <c r="I393" s="147"/>
      <c r="J393" s="145"/>
      <c r="K393" s="147"/>
      <c r="L393" s="145"/>
      <c r="M393" s="145"/>
      <c r="N393" s="145"/>
      <c r="O393" s="145"/>
      <c r="P393" s="145"/>
      <c r="Q393" s="145"/>
    </row>
    <row r="394" spans="1:17" ht="11.25">
      <c r="A394" s="35" t="s">
        <v>584</v>
      </c>
      <c r="B394" s="35" t="s">
        <v>604</v>
      </c>
      <c r="C394" s="143">
        <v>218487</v>
      </c>
      <c r="D394" s="36">
        <v>7</v>
      </c>
      <c r="E394" s="145">
        <v>5579222</v>
      </c>
      <c r="F394" s="145">
        <v>5737257</v>
      </c>
      <c r="G394" s="147">
        <v>703700</v>
      </c>
      <c r="H394" s="145">
        <v>703700</v>
      </c>
      <c r="I394" s="147"/>
      <c r="J394" s="145"/>
      <c r="K394" s="147"/>
      <c r="L394" s="145"/>
      <c r="M394" s="145"/>
      <c r="N394" s="145"/>
      <c r="O394" s="145"/>
      <c r="P394" s="145"/>
      <c r="Q394" s="145"/>
    </row>
    <row r="395" spans="1:17" ht="11.25">
      <c r="A395" s="35" t="s">
        <v>584</v>
      </c>
      <c r="B395" s="35" t="s">
        <v>605</v>
      </c>
      <c r="C395" s="143">
        <v>218520</v>
      </c>
      <c r="D395" s="36">
        <v>7</v>
      </c>
      <c r="E395" s="145">
        <v>6926498</v>
      </c>
      <c r="F395" s="145">
        <v>7432009</v>
      </c>
      <c r="G395" s="147">
        <v>776306</v>
      </c>
      <c r="H395" s="145">
        <v>819500</v>
      </c>
      <c r="I395" s="147"/>
      <c r="J395" s="145"/>
      <c r="K395" s="147"/>
      <c r="L395" s="145"/>
      <c r="M395" s="145"/>
      <c r="N395" s="145"/>
      <c r="O395" s="145"/>
      <c r="P395" s="145"/>
      <c r="Q395" s="145"/>
    </row>
    <row r="396" spans="1:17" ht="11.25">
      <c r="A396" s="35" t="s">
        <v>584</v>
      </c>
      <c r="B396" s="35" t="s">
        <v>606</v>
      </c>
      <c r="C396" s="143">
        <v>218830</v>
      </c>
      <c r="D396" s="36">
        <v>7</v>
      </c>
      <c r="E396" s="145">
        <v>6627742</v>
      </c>
      <c r="F396" s="145">
        <v>6880965</v>
      </c>
      <c r="G396" s="147">
        <v>1157331</v>
      </c>
      <c r="H396" s="145">
        <v>1256673</v>
      </c>
      <c r="I396" s="147"/>
      <c r="J396" s="145"/>
      <c r="K396" s="147"/>
      <c r="L396" s="145"/>
      <c r="M396" s="145"/>
      <c r="N396" s="145"/>
      <c r="O396" s="145"/>
      <c r="P396" s="145"/>
      <c r="Q396" s="145"/>
    </row>
    <row r="397" spans="1:17" ht="11.25">
      <c r="A397" s="35" t="s">
        <v>584</v>
      </c>
      <c r="B397" s="35" t="s">
        <v>607</v>
      </c>
      <c r="C397" s="143">
        <v>217712</v>
      </c>
      <c r="D397" s="36">
        <v>7</v>
      </c>
      <c r="E397" s="145">
        <v>3770255</v>
      </c>
      <c r="F397" s="145">
        <v>3962584</v>
      </c>
      <c r="G397" s="147">
        <v>544062</v>
      </c>
      <c r="H397" s="145">
        <v>544062</v>
      </c>
      <c r="I397" s="147"/>
      <c r="J397" s="145"/>
      <c r="K397" s="147"/>
      <c r="L397" s="145"/>
      <c r="M397" s="145"/>
      <c r="N397" s="145"/>
      <c r="O397" s="145"/>
      <c r="P397" s="145"/>
      <c r="Q397" s="145"/>
    </row>
    <row r="398" spans="1:17" ht="11.25">
      <c r="A398" s="35" t="s">
        <v>584</v>
      </c>
      <c r="B398" s="35" t="s">
        <v>608</v>
      </c>
      <c r="C398" s="143">
        <v>218885</v>
      </c>
      <c r="D398" s="36">
        <v>7</v>
      </c>
      <c r="E398" s="145">
        <v>7992641</v>
      </c>
      <c r="F398" s="145">
        <v>8089918</v>
      </c>
      <c r="G398" s="147">
        <v>1442396</v>
      </c>
      <c r="H398" s="145">
        <v>1471324</v>
      </c>
      <c r="I398" s="147"/>
      <c r="J398" s="145"/>
      <c r="K398" s="147"/>
      <c r="L398" s="145"/>
      <c r="M398" s="145"/>
      <c r="N398" s="145"/>
      <c r="O398" s="145"/>
      <c r="P398" s="145"/>
      <c r="Q398" s="145"/>
    </row>
    <row r="399" spans="1:17" ht="11.25">
      <c r="A399" s="35" t="s">
        <v>584</v>
      </c>
      <c r="B399" s="35" t="s">
        <v>609</v>
      </c>
      <c r="C399" s="143">
        <v>218894</v>
      </c>
      <c r="D399" s="36">
        <v>7</v>
      </c>
      <c r="E399" s="145">
        <v>17690344</v>
      </c>
      <c r="F399" s="145">
        <v>18975961</v>
      </c>
      <c r="G399" s="147">
        <v>4190657</v>
      </c>
      <c r="H399" s="145">
        <v>4416000</v>
      </c>
      <c r="I399" s="147"/>
      <c r="J399" s="145"/>
      <c r="K399" s="147"/>
      <c r="L399" s="145"/>
      <c r="M399" s="145"/>
      <c r="N399" s="145"/>
      <c r="O399" s="145"/>
      <c r="P399" s="145"/>
      <c r="Q399" s="145"/>
    </row>
    <row r="400" spans="1:17" ht="11.25">
      <c r="A400" s="35" t="s">
        <v>584</v>
      </c>
      <c r="B400" s="35" t="s">
        <v>610</v>
      </c>
      <c r="C400" s="143">
        <v>218654</v>
      </c>
      <c r="D400" s="36">
        <v>7</v>
      </c>
      <c r="E400" s="145">
        <v>1822496</v>
      </c>
      <c r="F400" s="145">
        <v>1913145</v>
      </c>
      <c r="G400" s="147"/>
      <c r="H400" s="145"/>
      <c r="I400" s="147"/>
      <c r="J400" s="145"/>
      <c r="K400" s="147"/>
      <c r="L400" s="145"/>
      <c r="M400" s="145"/>
      <c r="N400" s="145"/>
      <c r="O400" s="145"/>
      <c r="P400" s="145"/>
      <c r="Q400" s="145"/>
    </row>
    <row r="401" spans="1:17" ht="11.25">
      <c r="A401" s="35" t="s">
        <v>584</v>
      </c>
      <c r="B401" s="35" t="s">
        <v>611</v>
      </c>
      <c r="C401" s="143">
        <v>218672</v>
      </c>
      <c r="D401" s="36">
        <v>7</v>
      </c>
      <c r="E401" s="145">
        <v>2523910</v>
      </c>
      <c r="F401" s="145">
        <v>2599215</v>
      </c>
      <c r="G401" s="147"/>
      <c r="H401" s="145"/>
      <c r="I401" s="147"/>
      <c r="J401" s="145"/>
      <c r="K401" s="147"/>
      <c r="L401" s="145"/>
      <c r="M401" s="145"/>
      <c r="N401" s="145"/>
      <c r="O401" s="145"/>
      <c r="P401" s="145"/>
      <c r="Q401" s="145"/>
    </row>
    <row r="402" spans="1:17" ht="11.25">
      <c r="A402" s="35" t="s">
        <v>584</v>
      </c>
      <c r="B402" s="35" t="s">
        <v>612</v>
      </c>
      <c r="C402" s="143">
        <v>218681</v>
      </c>
      <c r="D402" s="36">
        <v>7</v>
      </c>
      <c r="E402" s="145">
        <v>1956004</v>
      </c>
      <c r="F402" s="145">
        <v>2061485</v>
      </c>
      <c r="G402" s="147"/>
      <c r="H402" s="145"/>
      <c r="I402" s="147"/>
      <c r="J402" s="145"/>
      <c r="K402" s="147"/>
      <c r="L402" s="145"/>
      <c r="M402" s="145"/>
      <c r="N402" s="145"/>
      <c r="O402" s="145"/>
      <c r="P402" s="145"/>
      <c r="Q402" s="145"/>
    </row>
    <row r="403" spans="1:17" ht="11.25">
      <c r="A403" s="35" t="s">
        <v>584</v>
      </c>
      <c r="B403" s="35" t="s">
        <v>613</v>
      </c>
      <c r="C403" s="143">
        <v>218690</v>
      </c>
      <c r="D403" s="36">
        <v>7</v>
      </c>
      <c r="E403" s="145">
        <v>3651547</v>
      </c>
      <c r="F403" s="145">
        <v>3763641</v>
      </c>
      <c r="G403" s="147"/>
      <c r="H403" s="145"/>
      <c r="I403" s="147"/>
      <c r="J403" s="145"/>
      <c r="K403" s="147"/>
      <c r="L403" s="145"/>
      <c r="M403" s="145"/>
      <c r="N403" s="145"/>
      <c r="O403" s="145"/>
      <c r="P403" s="145"/>
      <c r="Q403" s="145"/>
    </row>
    <row r="404" spans="1:17" ht="11.25">
      <c r="A404" s="35" t="s">
        <v>584</v>
      </c>
      <c r="B404" s="35" t="s">
        <v>614</v>
      </c>
      <c r="C404" s="143">
        <v>218706</v>
      </c>
      <c r="D404" s="36">
        <v>7</v>
      </c>
      <c r="E404" s="145">
        <v>970842</v>
      </c>
      <c r="F404" s="145">
        <v>986587</v>
      </c>
      <c r="G404" s="147"/>
      <c r="H404" s="145"/>
      <c r="I404" s="147"/>
      <c r="J404" s="145"/>
      <c r="K404" s="147"/>
      <c r="L404" s="145"/>
      <c r="M404" s="145"/>
      <c r="N404" s="145"/>
      <c r="O404" s="145"/>
      <c r="P404" s="145"/>
      <c r="Q404" s="145"/>
    </row>
    <row r="405" spans="1:17" ht="11.25">
      <c r="A405" s="35" t="s">
        <v>584</v>
      </c>
      <c r="B405" s="35" t="s">
        <v>615</v>
      </c>
      <c r="C405" s="143">
        <v>218955</v>
      </c>
      <c r="D405" s="36">
        <v>7</v>
      </c>
      <c r="E405" s="145">
        <v>1488465</v>
      </c>
      <c r="F405" s="145">
        <v>1609064</v>
      </c>
      <c r="G405" s="147">
        <v>198941</v>
      </c>
      <c r="H405" s="145">
        <v>185000</v>
      </c>
      <c r="I405" s="147"/>
      <c r="J405" s="145"/>
      <c r="K405" s="147"/>
      <c r="L405" s="145"/>
      <c r="M405" s="145"/>
      <c r="N405" s="145"/>
      <c r="O405" s="145"/>
      <c r="P405" s="145"/>
      <c r="Q405" s="145"/>
    </row>
    <row r="406" spans="1:17" ht="11.25">
      <c r="A406" s="35" t="s">
        <v>584</v>
      </c>
      <c r="B406" s="35" t="s">
        <v>616</v>
      </c>
      <c r="C406" s="143">
        <v>218991</v>
      </c>
      <c r="D406" s="36">
        <v>7</v>
      </c>
      <c r="E406" s="145">
        <v>7325470</v>
      </c>
      <c r="F406" s="145">
        <v>7689359</v>
      </c>
      <c r="G406" s="147">
        <v>1648627</v>
      </c>
      <c r="H406" s="145">
        <v>1689800</v>
      </c>
      <c r="I406" s="147"/>
      <c r="J406" s="145"/>
      <c r="K406" s="147"/>
      <c r="L406" s="145"/>
      <c r="M406" s="145"/>
      <c r="N406" s="145"/>
      <c r="O406" s="145"/>
      <c r="P406" s="145"/>
      <c r="Q406" s="145"/>
    </row>
    <row r="407" spans="1:17" ht="11.25">
      <c r="A407" s="35" t="s">
        <v>584</v>
      </c>
      <c r="B407" s="35" t="s">
        <v>617</v>
      </c>
      <c r="C407" s="143">
        <v>218335</v>
      </c>
      <c r="D407" s="36">
        <v>9</v>
      </c>
      <c r="E407" s="145">
        <v>5810047</v>
      </c>
      <c r="F407" s="145">
        <v>6099938</v>
      </c>
      <c r="G407" s="147"/>
      <c r="H407" s="145"/>
      <c r="I407" s="182"/>
      <c r="J407" s="35">
        <v>81042034</v>
      </c>
      <c r="K407" s="147"/>
      <c r="L407" s="145"/>
      <c r="M407" s="145"/>
      <c r="N407" s="145"/>
      <c r="O407" s="145"/>
      <c r="P407" s="145"/>
      <c r="Q407" s="145">
        <v>20092928</v>
      </c>
    </row>
    <row r="408" spans="1:17" ht="11.25">
      <c r="A408" s="35" t="s">
        <v>618</v>
      </c>
      <c r="B408" s="183" t="s">
        <v>619</v>
      </c>
      <c r="C408" s="183">
        <v>221759</v>
      </c>
      <c r="D408" s="184">
        <v>1</v>
      </c>
      <c r="E408" s="145">
        <v>153606996.915</v>
      </c>
      <c r="F408" s="145">
        <v>157788750.525</v>
      </c>
      <c r="G408" s="185"/>
      <c r="H408" s="186"/>
      <c r="I408" s="147"/>
      <c r="J408" s="145"/>
      <c r="K408" s="187">
        <v>6527100</v>
      </c>
      <c r="L408" s="145"/>
      <c r="M408" s="145">
        <v>21721200</v>
      </c>
      <c r="N408" s="145">
        <v>18724100</v>
      </c>
      <c r="O408" s="145"/>
      <c r="P408" s="145"/>
      <c r="Q408" s="145"/>
    </row>
    <row r="409" spans="1:17" ht="11.25">
      <c r="A409" s="35" t="s">
        <v>618</v>
      </c>
      <c r="B409" s="183" t="s">
        <v>620</v>
      </c>
      <c r="C409" s="183">
        <v>220862</v>
      </c>
      <c r="D409" s="184">
        <v>2</v>
      </c>
      <c r="E409" s="145">
        <v>93555428.735</v>
      </c>
      <c r="F409" s="145">
        <v>97013304.335</v>
      </c>
      <c r="G409" s="185"/>
      <c r="H409" s="186"/>
      <c r="I409" s="147"/>
      <c r="J409" s="145"/>
      <c r="K409" s="185"/>
      <c r="L409" s="186"/>
      <c r="M409" s="186"/>
      <c r="N409" s="145"/>
      <c r="O409" s="145"/>
      <c r="P409" s="145"/>
      <c r="Q409" s="145"/>
    </row>
    <row r="410" spans="1:17" ht="11.25">
      <c r="A410" s="35" t="s">
        <v>618</v>
      </c>
      <c r="B410" s="183" t="s">
        <v>621</v>
      </c>
      <c r="C410" s="183">
        <v>220075</v>
      </c>
      <c r="D410" s="184">
        <v>3</v>
      </c>
      <c r="E410" s="145">
        <v>45904125.505</v>
      </c>
      <c r="F410" s="145">
        <v>47375553.175</v>
      </c>
      <c r="G410" s="185"/>
      <c r="H410" s="186"/>
      <c r="I410" s="147"/>
      <c r="J410" s="145">
        <v>22972700</v>
      </c>
      <c r="K410" s="185"/>
      <c r="L410" s="186"/>
      <c r="M410" s="186"/>
      <c r="N410" s="145"/>
      <c r="O410" s="145"/>
      <c r="P410" s="145"/>
      <c r="Q410" s="145"/>
    </row>
    <row r="411" spans="1:17" ht="11.25">
      <c r="A411" s="35" t="s">
        <v>618</v>
      </c>
      <c r="B411" s="183" t="s">
        <v>622</v>
      </c>
      <c r="C411" s="183">
        <v>220978</v>
      </c>
      <c r="D411" s="184">
        <v>3</v>
      </c>
      <c r="E411" s="145">
        <v>63233849.66</v>
      </c>
      <c r="F411" s="145">
        <v>65659723</v>
      </c>
      <c r="G411" s="185"/>
      <c r="H411" s="186"/>
      <c r="I411" s="147"/>
      <c r="J411" s="145"/>
      <c r="K411" s="185"/>
      <c r="L411" s="186"/>
      <c r="M411" s="186"/>
      <c r="N411" s="145"/>
      <c r="O411" s="145"/>
      <c r="P411" s="145"/>
      <c r="Q411" s="145"/>
    </row>
    <row r="412" spans="1:17" ht="11.25">
      <c r="A412" s="35" t="s">
        <v>618</v>
      </c>
      <c r="B412" s="183" t="s">
        <v>623</v>
      </c>
      <c r="C412" s="183">
        <v>221838</v>
      </c>
      <c r="D412" s="184">
        <v>3</v>
      </c>
      <c r="E412" s="145">
        <v>32237900</v>
      </c>
      <c r="F412" s="145">
        <v>33656000</v>
      </c>
      <c r="G412" s="185"/>
      <c r="H412" s="186"/>
      <c r="I412" s="147"/>
      <c r="J412" s="145"/>
      <c r="K412" s="185"/>
      <c r="L412" s="186"/>
      <c r="M412" s="186"/>
      <c r="N412" s="145"/>
      <c r="O412" s="145"/>
      <c r="P412" s="145"/>
      <c r="Q412" s="145"/>
    </row>
    <row r="413" spans="1:17" ht="11.25">
      <c r="A413" s="35" t="s">
        <v>618</v>
      </c>
      <c r="B413" s="183" t="s">
        <v>624</v>
      </c>
      <c r="C413" s="183">
        <v>219602</v>
      </c>
      <c r="D413" s="184">
        <v>4</v>
      </c>
      <c r="E413" s="145">
        <v>26089529.625</v>
      </c>
      <c r="F413" s="145">
        <v>27161294.165</v>
      </c>
      <c r="G413" s="185"/>
      <c r="H413" s="186"/>
      <c r="I413" s="147"/>
      <c r="J413" s="145"/>
      <c r="K413" s="185"/>
      <c r="L413" s="186"/>
      <c r="M413" s="186"/>
      <c r="N413" s="145"/>
      <c r="O413" s="145"/>
      <c r="P413" s="145"/>
      <c r="Q413" s="145"/>
    </row>
    <row r="414" spans="1:17" ht="11.25">
      <c r="A414" s="35" t="s">
        <v>618</v>
      </c>
      <c r="B414" s="183" t="s">
        <v>625</v>
      </c>
      <c r="C414" s="183">
        <v>221847</v>
      </c>
      <c r="D414" s="184">
        <v>4</v>
      </c>
      <c r="E414" s="145">
        <v>42063446.445</v>
      </c>
      <c r="F414" s="145">
        <v>42702259.7</v>
      </c>
      <c r="G414" s="185"/>
      <c r="H414" s="186"/>
      <c r="I414" s="185"/>
      <c r="J414" s="186"/>
      <c r="K414" s="185"/>
      <c r="L414" s="186"/>
      <c r="M414" s="186"/>
      <c r="N414" s="145"/>
      <c r="O414" s="145"/>
      <c r="P414" s="145"/>
      <c r="Q414" s="145"/>
    </row>
    <row r="415" spans="1:17" ht="11.25">
      <c r="A415" s="35" t="s">
        <v>618</v>
      </c>
      <c r="B415" s="183" t="s">
        <v>626</v>
      </c>
      <c r="C415" s="183">
        <v>221740</v>
      </c>
      <c r="D415" s="184">
        <v>4</v>
      </c>
      <c r="E415" s="145">
        <v>33462839.065</v>
      </c>
      <c r="F415" s="145">
        <v>34765044.085</v>
      </c>
      <c r="G415" s="185"/>
      <c r="H415" s="186"/>
      <c r="I415" s="185"/>
      <c r="J415" s="186"/>
      <c r="K415" s="185"/>
      <c r="L415" s="186"/>
      <c r="M415" s="186"/>
      <c r="N415" s="145"/>
      <c r="O415" s="145"/>
      <c r="P415" s="145"/>
      <c r="Q415" s="145"/>
    </row>
    <row r="416" spans="1:17" ht="11.25">
      <c r="A416" s="35" t="s">
        <v>618</v>
      </c>
      <c r="B416" s="183" t="s">
        <v>627</v>
      </c>
      <c r="C416" s="183">
        <v>221768</v>
      </c>
      <c r="D416" s="184">
        <v>5</v>
      </c>
      <c r="E416" s="145">
        <v>25324997.325000003</v>
      </c>
      <c r="F416" s="145">
        <v>26172047.975</v>
      </c>
      <c r="G416" s="185"/>
      <c r="H416" s="186"/>
      <c r="I416" s="185"/>
      <c r="J416" s="186"/>
      <c r="K416" s="185"/>
      <c r="L416" s="186"/>
      <c r="M416" s="186"/>
      <c r="N416" s="145"/>
      <c r="O416" s="145"/>
      <c r="P416" s="145"/>
      <c r="Q416" s="145"/>
    </row>
    <row r="417" spans="1:17" ht="11.25">
      <c r="A417" s="35" t="s">
        <v>618</v>
      </c>
      <c r="B417" s="183" t="s">
        <v>628</v>
      </c>
      <c r="C417" s="188">
        <v>219824</v>
      </c>
      <c r="D417" s="184">
        <v>7</v>
      </c>
      <c r="E417" s="147">
        <v>18361600</v>
      </c>
      <c r="F417" s="146">
        <v>19004200</v>
      </c>
      <c r="G417" s="185"/>
      <c r="H417" s="186"/>
      <c r="I417" s="185"/>
      <c r="J417" s="189"/>
      <c r="K417" s="185"/>
      <c r="L417" s="186"/>
      <c r="M417" s="186"/>
      <c r="N417" s="145"/>
      <c r="O417" s="145"/>
      <c r="P417" s="145"/>
      <c r="Q417" s="146"/>
    </row>
    <row r="418" spans="1:17" ht="11.25">
      <c r="A418" s="35" t="s">
        <v>618</v>
      </c>
      <c r="B418" s="183" t="s">
        <v>629</v>
      </c>
      <c r="C418" s="188">
        <v>219879</v>
      </c>
      <c r="D418" s="184">
        <v>7</v>
      </c>
      <c r="E418" s="147">
        <v>8219900</v>
      </c>
      <c r="F418" s="146">
        <v>8405000</v>
      </c>
      <c r="G418" s="185"/>
      <c r="H418" s="186"/>
      <c r="I418" s="185"/>
      <c r="J418" s="189"/>
      <c r="K418" s="185"/>
      <c r="L418" s="186"/>
      <c r="M418" s="186"/>
      <c r="N418" s="145"/>
      <c r="O418" s="145"/>
      <c r="P418" s="145"/>
      <c r="Q418" s="146"/>
    </row>
    <row r="419" spans="1:17" ht="11.25">
      <c r="A419" s="35" t="s">
        <v>618</v>
      </c>
      <c r="B419" s="183" t="s">
        <v>630</v>
      </c>
      <c r="C419" s="188">
        <v>219888</v>
      </c>
      <c r="D419" s="184">
        <v>7</v>
      </c>
      <c r="E419" s="147">
        <v>8450500</v>
      </c>
      <c r="F419" s="146">
        <v>8948100</v>
      </c>
      <c r="G419" s="185"/>
      <c r="H419" s="186"/>
      <c r="I419" s="185"/>
      <c r="J419" s="189"/>
      <c r="K419" s="185"/>
      <c r="L419" s="186"/>
      <c r="M419" s="186"/>
      <c r="N419" s="145"/>
      <c r="O419" s="145"/>
      <c r="P419" s="145"/>
      <c r="Q419" s="146"/>
    </row>
    <row r="420" spans="1:17" ht="11.25">
      <c r="A420" s="35" t="s">
        <v>618</v>
      </c>
      <c r="B420" s="183" t="s">
        <v>631</v>
      </c>
      <c r="C420" s="188">
        <v>220057</v>
      </c>
      <c r="D420" s="184">
        <v>7</v>
      </c>
      <c r="E420" s="147">
        <v>4935200</v>
      </c>
      <c r="F420" s="146">
        <v>5122093.85</v>
      </c>
      <c r="G420" s="185"/>
      <c r="H420" s="186"/>
      <c r="I420" s="185"/>
      <c r="J420" s="189"/>
      <c r="K420" s="185"/>
      <c r="L420" s="186"/>
      <c r="M420" s="186"/>
      <c r="N420" s="145"/>
      <c r="O420" s="145"/>
      <c r="P420" s="145"/>
      <c r="Q420" s="146"/>
    </row>
    <row r="421" spans="1:17" ht="11.25">
      <c r="A421" s="35" t="s">
        <v>618</v>
      </c>
      <c r="B421" s="183" t="s">
        <v>632</v>
      </c>
      <c r="C421" s="188">
        <v>220400</v>
      </c>
      <c r="D421" s="184">
        <v>7</v>
      </c>
      <c r="E421" s="147">
        <v>8257200</v>
      </c>
      <c r="F421" s="146">
        <v>8886700</v>
      </c>
      <c r="G421" s="185"/>
      <c r="H421" s="186"/>
      <c r="I421" s="185"/>
      <c r="J421" s="189"/>
      <c r="K421" s="185"/>
      <c r="L421" s="186"/>
      <c r="M421" s="186"/>
      <c r="N421" s="145"/>
      <c r="O421" s="145"/>
      <c r="P421" s="145"/>
      <c r="Q421" s="146"/>
    </row>
    <row r="422" spans="1:17" ht="11.25">
      <c r="A422" s="35" t="s">
        <v>618</v>
      </c>
      <c r="B422" s="183" t="s">
        <v>633</v>
      </c>
      <c r="C422" s="188">
        <v>221096</v>
      </c>
      <c r="D422" s="184">
        <v>7</v>
      </c>
      <c r="E422" s="147">
        <v>7314400</v>
      </c>
      <c r="F422" s="146">
        <v>7545500</v>
      </c>
      <c r="G422" s="185"/>
      <c r="H422" s="186"/>
      <c r="I422" s="185"/>
      <c r="J422" s="189"/>
      <c r="K422" s="185"/>
      <c r="L422" s="186"/>
      <c r="M422" s="186"/>
      <c r="N422" s="145"/>
      <c r="O422" s="145"/>
      <c r="P422" s="145"/>
      <c r="Q422" s="146"/>
    </row>
    <row r="423" spans="1:17" ht="11.25">
      <c r="A423" s="35" t="s">
        <v>618</v>
      </c>
      <c r="B423" s="183" t="s">
        <v>634</v>
      </c>
      <c r="C423" s="188">
        <v>221184</v>
      </c>
      <c r="D423" s="184">
        <v>7</v>
      </c>
      <c r="E423" s="147">
        <v>9808400</v>
      </c>
      <c r="F423" s="146">
        <v>9978500</v>
      </c>
      <c r="G423" s="185"/>
      <c r="H423" s="186"/>
      <c r="I423" s="185"/>
      <c r="J423" s="189"/>
      <c r="K423" s="185"/>
      <c r="L423" s="186"/>
      <c r="M423" s="186"/>
      <c r="N423" s="145"/>
      <c r="O423" s="145"/>
      <c r="P423" s="145"/>
      <c r="Q423" s="146"/>
    </row>
    <row r="424" spans="1:17" ht="11.25">
      <c r="A424" s="35" t="s">
        <v>618</v>
      </c>
      <c r="B424" s="183" t="s">
        <v>635</v>
      </c>
      <c r="C424" s="188">
        <v>221908</v>
      </c>
      <c r="D424" s="184">
        <v>7</v>
      </c>
      <c r="E424" s="147">
        <v>7475100</v>
      </c>
      <c r="F424" s="146">
        <v>7871900</v>
      </c>
      <c r="G424" s="185"/>
      <c r="H424" s="186"/>
      <c r="I424" s="185"/>
      <c r="J424" s="189"/>
      <c r="K424" s="185"/>
      <c r="L424" s="186"/>
      <c r="M424" s="186"/>
      <c r="N424" s="145"/>
      <c r="O424" s="145"/>
      <c r="P424" s="145"/>
      <c r="Q424" s="146"/>
    </row>
    <row r="425" spans="1:17" ht="11.25">
      <c r="A425" s="35" t="s">
        <v>618</v>
      </c>
      <c r="B425" s="183" t="s">
        <v>636</v>
      </c>
      <c r="C425" s="188">
        <v>221642</v>
      </c>
      <c r="D425" s="184">
        <v>7</v>
      </c>
      <c r="E425" s="147">
        <v>15192200</v>
      </c>
      <c r="F425" s="146">
        <v>15763200</v>
      </c>
      <c r="G425" s="185"/>
      <c r="H425" s="186"/>
      <c r="I425" s="185"/>
      <c r="J425" s="189"/>
      <c r="K425" s="185"/>
      <c r="L425" s="186"/>
      <c r="M425" s="186"/>
      <c r="N425" s="145"/>
      <c r="O425" s="145"/>
      <c r="P425" s="145"/>
      <c r="Q425" s="146"/>
    </row>
    <row r="426" spans="1:17" ht="11.25">
      <c r="A426" s="35" t="s">
        <v>618</v>
      </c>
      <c r="B426" s="183" t="s">
        <v>637</v>
      </c>
      <c r="C426" s="188">
        <v>221397</v>
      </c>
      <c r="D426" s="184">
        <v>7</v>
      </c>
      <c r="E426" s="147">
        <v>13598600</v>
      </c>
      <c r="F426" s="146">
        <v>14039000</v>
      </c>
      <c r="G426" s="185"/>
      <c r="H426" s="186"/>
      <c r="I426" s="185"/>
      <c r="J426" s="189"/>
      <c r="K426" s="185"/>
      <c r="L426" s="186"/>
      <c r="M426" s="186"/>
      <c r="N426" s="145"/>
      <c r="O426" s="145"/>
      <c r="P426" s="145"/>
      <c r="Q426" s="146"/>
    </row>
    <row r="427" spans="1:17" ht="11.25">
      <c r="A427" s="35" t="s">
        <v>618</v>
      </c>
      <c r="B427" s="183" t="s">
        <v>638</v>
      </c>
      <c r="C427" s="188">
        <v>221485</v>
      </c>
      <c r="D427" s="184">
        <v>7</v>
      </c>
      <c r="E427" s="147">
        <v>15972400</v>
      </c>
      <c r="F427" s="146">
        <v>16229500</v>
      </c>
      <c r="G427" s="185"/>
      <c r="H427" s="186"/>
      <c r="I427" s="185"/>
      <c r="J427" s="189"/>
      <c r="K427" s="185"/>
      <c r="L427" s="186"/>
      <c r="M427" s="186"/>
      <c r="N427" s="145"/>
      <c r="O427" s="145"/>
      <c r="P427" s="145"/>
      <c r="Q427" s="146"/>
    </row>
    <row r="428" spans="1:17" ht="11.25">
      <c r="A428" s="35" t="s">
        <v>618</v>
      </c>
      <c r="B428" s="183" t="s">
        <v>639</v>
      </c>
      <c r="C428" s="188">
        <v>221652</v>
      </c>
      <c r="D428" s="184">
        <v>7</v>
      </c>
      <c r="E428" s="147">
        <v>18080900</v>
      </c>
      <c r="F428" s="146">
        <v>18667800</v>
      </c>
      <c r="G428" s="185"/>
      <c r="H428" s="186"/>
      <c r="I428" s="185"/>
      <c r="J428" s="189"/>
      <c r="K428" s="185"/>
      <c r="L428" s="186"/>
      <c r="M428" s="186"/>
      <c r="N428" s="145"/>
      <c r="O428" s="145"/>
      <c r="P428" s="145"/>
      <c r="Q428" s="146"/>
    </row>
    <row r="429" spans="1:17" ht="11.25">
      <c r="A429" s="35" t="s">
        <v>618</v>
      </c>
      <c r="B429" s="183" t="s">
        <v>640</v>
      </c>
      <c r="C429" s="188">
        <v>222053</v>
      </c>
      <c r="D429" s="184">
        <v>7</v>
      </c>
      <c r="E429" s="147">
        <v>11503800</v>
      </c>
      <c r="F429" s="146">
        <v>12283200</v>
      </c>
      <c r="G429" s="185"/>
      <c r="H429" s="186"/>
      <c r="I429" s="185"/>
      <c r="J429" s="189"/>
      <c r="K429" s="185"/>
      <c r="L429" s="186"/>
      <c r="M429" s="186"/>
      <c r="N429" s="145"/>
      <c r="O429" s="145"/>
      <c r="P429" s="145"/>
      <c r="Q429" s="146"/>
    </row>
    <row r="430" spans="1:17" ht="11.25">
      <c r="A430" s="35" t="s">
        <v>618</v>
      </c>
      <c r="B430" s="183" t="s">
        <v>641</v>
      </c>
      <c r="C430" s="188">
        <v>222062</v>
      </c>
      <c r="D430" s="184">
        <v>7</v>
      </c>
      <c r="E430" s="147">
        <v>12407800</v>
      </c>
      <c r="F430" s="146">
        <v>13023600</v>
      </c>
      <c r="G430" s="185"/>
      <c r="H430" s="186"/>
      <c r="I430" s="185"/>
      <c r="J430" s="189"/>
      <c r="K430" s="185"/>
      <c r="L430" s="186"/>
      <c r="M430" s="186"/>
      <c r="N430" s="145"/>
      <c r="O430" s="145"/>
      <c r="P430" s="145"/>
      <c r="Q430" s="146"/>
    </row>
    <row r="431" spans="1:17" ht="11.25">
      <c r="A431" s="35" t="s">
        <v>618</v>
      </c>
      <c r="B431" s="183" t="s">
        <v>642</v>
      </c>
      <c r="C431" s="188">
        <v>219596</v>
      </c>
      <c r="D431" s="184">
        <v>8</v>
      </c>
      <c r="E431" s="147">
        <v>788400</v>
      </c>
      <c r="F431" s="146">
        <f>809000</f>
        <v>809000</v>
      </c>
      <c r="G431" s="185"/>
      <c r="H431" s="186"/>
      <c r="I431" s="185"/>
      <c r="J431" s="189"/>
      <c r="K431" s="185"/>
      <c r="L431" s="186"/>
      <c r="M431" s="186"/>
      <c r="N431" s="145"/>
      <c r="O431" s="145"/>
      <c r="P431" s="145"/>
      <c r="Q431" s="146"/>
    </row>
    <row r="432" spans="1:17" ht="11.25">
      <c r="A432" s="35" t="s">
        <v>618</v>
      </c>
      <c r="B432" s="183" t="s">
        <v>643</v>
      </c>
      <c r="C432" s="188"/>
      <c r="D432" s="184">
        <v>8</v>
      </c>
      <c r="E432" s="147">
        <v>1853300</v>
      </c>
      <c r="F432" s="146">
        <v>1900700</v>
      </c>
      <c r="G432" s="185"/>
      <c r="H432" s="186"/>
      <c r="I432" s="185"/>
      <c r="J432" s="189"/>
      <c r="K432" s="185"/>
      <c r="L432" s="186"/>
      <c r="M432" s="186"/>
      <c r="N432" s="145"/>
      <c r="O432" s="145"/>
      <c r="P432" s="145"/>
      <c r="Q432" s="146"/>
    </row>
    <row r="433" spans="1:17" ht="11.25">
      <c r="A433" s="35" t="s">
        <v>618</v>
      </c>
      <c r="B433" s="183" t="s">
        <v>644</v>
      </c>
      <c r="C433" s="188">
        <v>219921</v>
      </c>
      <c r="D433" s="184">
        <v>8</v>
      </c>
      <c r="E433" s="147">
        <v>651900</v>
      </c>
      <c r="F433" s="146">
        <v>669300</v>
      </c>
      <c r="G433" s="185"/>
      <c r="H433" s="186"/>
      <c r="I433" s="185"/>
      <c r="J433" s="189"/>
      <c r="K433" s="185"/>
      <c r="L433" s="186"/>
      <c r="M433" s="186"/>
      <c r="N433" s="145"/>
      <c r="O433" s="145"/>
      <c r="P433" s="145"/>
      <c r="Q433" s="146"/>
    </row>
    <row r="434" spans="1:17" ht="11.25">
      <c r="A434" s="35" t="s">
        <v>618</v>
      </c>
      <c r="B434" s="183" t="s">
        <v>645</v>
      </c>
      <c r="C434" s="188">
        <v>221591</v>
      </c>
      <c r="D434" s="184">
        <v>8</v>
      </c>
      <c r="E434" s="147">
        <v>1283900</v>
      </c>
      <c r="F434" s="146">
        <v>1317000</v>
      </c>
      <c r="G434" s="185"/>
      <c r="H434" s="186"/>
      <c r="I434" s="185"/>
      <c r="J434" s="189"/>
      <c r="K434" s="185"/>
      <c r="L434" s="186"/>
      <c r="M434" s="186"/>
      <c r="N434" s="145"/>
      <c r="O434" s="145"/>
      <c r="P434" s="145"/>
      <c r="Q434" s="146"/>
    </row>
    <row r="435" spans="1:17" ht="11.25">
      <c r="A435" s="35" t="s">
        <v>618</v>
      </c>
      <c r="B435" s="183" t="s">
        <v>646</v>
      </c>
      <c r="C435" s="188">
        <v>219994</v>
      </c>
      <c r="D435" s="184">
        <v>8</v>
      </c>
      <c r="E435" s="147">
        <v>1080300</v>
      </c>
      <c r="F435" s="146">
        <v>1357500</v>
      </c>
      <c r="G435" s="185"/>
      <c r="H435" s="186"/>
      <c r="I435" s="185"/>
      <c r="J435" s="189"/>
      <c r="K435" s="185"/>
      <c r="L435" s="186"/>
      <c r="M435" s="186"/>
      <c r="N435" s="145"/>
      <c r="O435" s="145"/>
      <c r="P435" s="145"/>
      <c r="Q435" s="146"/>
    </row>
    <row r="436" spans="1:17" ht="9.75">
      <c r="A436" s="35" t="s">
        <v>618</v>
      </c>
      <c r="B436" s="183" t="s">
        <v>647</v>
      </c>
      <c r="C436" s="188">
        <v>220127</v>
      </c>
      <c r="D436" s="184">
        <v>8</v>
      </c>
      <c r="E436" s="147">
        <v>719000</v>
      </c>
      <c r="F436" s="146">
        <v>737900</v>
      </c>
      <c r="G436" s="185"/>
      <c r="H436" s="186"/>
      <c r="I436" s="185"/>
      <c r="J436" s="189"/>
      <c r="K436" s="185"/>
      <c r="L436" s="186"/>
      <c r="M436" s="186"/>
      <c r="N436" s="145"/>
      <c r="O436" s="145"/>
      <c r="P436" s="145"/>
      <c r="Q436" s="146"/>
    </row>
    <row r="437" spans="1:17" ht="9.75">
      <c r="A437" s="35" t="s">
        <v>618</v>
      </c>
      <c r="B437" s="183" t="s">
        <v>648</v>
      </c>
      <c r="C437" s="188">
        <v>220251</v>
      </c>
      <c r="D437" s="184">
        <v>8</v>
      </c>
      <c r="E437" s="147">
        <v>810600</v>
      </c>
      <c r="F437" s="146">
        <v>832100</v>
      </c>
      <c r="G437" s="185"/>
      <c r="H437" s="186"/>
      <c r="I437" s="185"/>
      <c r="J437" s="189"/>
      <c r="K437" s="185"/>
      <c r="L437" s="186"/>
      <c r="M437" s="186"/>
      <c r="N437" s="145"/>
      <c r="O437" s="145"/>
      <c r="P437" s="145"/>
      <c r="Q437" s="146"/>
    </row>
    <row r="438" spans="1:17" ht="9.75">
      <c r="A438" s="35" t="s">
        <v>618</v>
      </c>
      <c r="B438" s="183" t="s">
        <v>649</v>
      </c>
      <c r="C438" s="188">
        <v>220279</v>
      </c>
      <c r="D438" s="184">
        <v>8</v>
      </c>
      <c r="E438" s="147">
        <v>605400</v>
      </c>
      <c r="F438" s="146">
        <v>621300</v>
      </c>
      <c r="G438" s="185"/>
      <c r="H438" s="186"/>
      <c r="I438" s="185"/>
      <c r="J438" s="189"/>
      <c r="K438" s="185"/>
      <c r="L438" s="186"/>
      <c r="M438" s="186"/>
      <c r="N438" s="145"/>
      <c r="O438" s="145"/>
      <c r="P438" s="145"/>
      <c r="Q438" s="146"/>
    </row>
    <row r="439" spans="1:17" ht="9.75">
      <c r="A439" s="35" t="s">
        <v>618</v>
      </c>
      <c r="B439" s="183" t="s">
        <v>650</v>
      </c>
      <c r="C439" s="188">
        <v>220321</v>
      </c>
      <c r="D439" s="184">
        <v>8</v>
      </c>
      <c r="E439" s="147">
        <v>797300</v>
      </c>
      <c r="F439" s="146">
        <v>818500</v>
      </c>
      <c r="G439" s="185"/>
      <c r="H439" s="186"/>
      <c r="I439" s="185"/>
      <c r="J439" s="189"/>
      <c r="K439" s="185"/>
      <c r="L439" s="186"/>
      <c r="M439" s="186"/>
      <c r="N439" s="145"/>
      <c r="O439" s="145"/>
      <c r="P439" s="145"/>
      <c r="Q439" s="146"/>
    </row>
    <row r="440" spans="1:17" ht="9.75">
      <c r="A440" s="35" t="s">
        <v>618</v>
      </c>
      <c r="B440" s="183" t="s">
        <v>651</v>
      </c>
      <c r="C440" s="188">
        <v>220394</v>
      </c>
      <c r="D440" s="184">
        <v>8</v>
      </c>
      <c r="E440" s="147">
        <v>812000</v>
      </c>
      <c r="F440" s="146">
        <v>833300</v>
      </c>
      <c r="G440" s="185"/>
      <c r="H440" s="186"/>
      <c r="I440" s="185"/>
      <c r="J440" s="189"/>
      <c r="K440" s="185"/>
      <c r="L440" s="186"/>
      <c r="M440" s="186"/>
      <c r="N440" s="145"/>
      <c r="O440" s="145"/>
      <c r="P440" s="145"/>
      <c r="Q440" s="146"/>
    </row>
    <row r="441" spans="1:17" ht="9.75">
      <c r="A441" s="35" t="s">
        <v>618</v>
      </c>
      <c r="B441" s="183" t="s">
        <v>652</v>
      </c>
      <c r="C441" s="188">
        <v>221616</v>
      </c>
      <c r="D441" s="184">
        <v>8</v>
      </c>
      <c r="E441" s="147">
        <v>1335800</v>
      </c>
      <c r="F441" s="146">
        <v>1681500</v>
      </c>
      <c r="G441" s="185"/>
      <c r="H441" s="186"/>
      <c r="I441" s="185"/>
      <c r="J441" s="189"/>
      <c r="K441" s="185"/>
      <c r="L441" s="186"/>
      <c r="M441" s="186"/>
      <c r="N441" s="145"/>
      <c r="O441" s="145"/>
      <c r="P441" s="145"/>
      <c r="Q441" s="146"/>
    </row>
    <row r="442" spans="1:17" ht="9.75">
      <c r="A442" s="35" t="s">
        <v>618</v>
      </c>
      <c r="B442" s="183" t="s">
        <v>653</v>
      </c>
      <c r="C442" s="188">
        <v>221625</v>
      </c>
      <c r="D442" s="184">
        <v>8</v>
      </c>
      <c r="E442" s="147">
        <v>2018700</v>
      </c>
      <c r="F442" s="146">
        <v>2070600</v>
      </c>
      <c r="G442" s="185"/>
      <c r="H442" s="186"/>
      <c r="I442" s="185"/>
      <c r="J442" s="189"/>
      <c r="K442" s="185"/>
      <c r="L442" s="186"/>
      <c r="M442" s="186"/>
      <c r="N442" s="145"/>
      <c r="O442" s="145"/>
      <c r="P442" s="145"/>
      <c r="Q442" s="146"/>
    </row>
    <row r="443" spans="1:17" ht="9.75">
      <c r="A443" s="35" t="s">
        <v>618</v>
      </c>
      <c r="B443" s="183" t="s">
        <v>654</v>
      </c>
      <c r="C443" s="188">
        <v>220640</v>
      </c>
      <c r="D443" s="184">
        <v>8</v>
      </c>
      <c r="E443" s="147">
        <v>1174400</v>
      </c>
      <c r="F443" s="146">
        <v>1205700</v>
      </c>
      <c r="G443" s="185"/>
      <c r="H443" s="186"/>
      <c r="I443" s="185"/>
      <c r="J443" s="189"/>
      <c r="K443" s="185"/>
      <c r="L443" s="186"/>
      <c r="M443" s="186"/>
      <c r="N443" s="145"/>
      <c r="O443" s="145"/>
      <c r="P443" s="145"/>
      <c r="Q443" s="146"/>
    </row>
    <row r="444" spans="1:17" ht="9.75">
      <c r="A444" s="35" t="s">
        <v>618</v>
      </c>
      <c r="B444" s="183" t="s">
        <v>655</v>
      </c>
      <c r="C444" s="188">
        <v>220756</v>
      </c>
      <c r="D444" s="184">
        <v>8</v>
      </c>
      <c r="E444" s="147">
        <v>705800</v>
      </c>
      <c r="F444" s="146">
        <v>724500</v>
      </c>
      <c r="G444" s="185"/>
      <c r="H444" s="186"/>
      <c r="I444" s="185"/>
      <c r="J444" s="189"/>
      <c r="K444" s="185"/>
      <c r="L444" s="186"/>
      <c r="M444" s="186"/>
      <c r="N444" s="145"/>
      <c r="O444" s="145"/>
      <c r="P444" s="145"/>
      <c r="Q444" s="146"/>
    </row>
    <row r="445" spans="1:17" ht="9.75">
      <c r="A445" s="35" t="s">
        <v>618</v>
      </c>
      <c r="B445" s="183" t="s">
        <v>656</v>
      </c>
      <c r="C445" s="188">
        <v>221607</v>
      </c>
      <c r="D445" s="184">
        <v>8</v>
      </c>
      <c r="E445" s="147">
        <v>852100</v>
      </c>
      <c r="F445" s="146">
        <v>874600</v>
      </c>
      <c r="G445" s="185"/>
      <c r="H445" s="186"/>
      <c r="I445" s="185"/>
      <c r="J445" s="189"/>
      <c r="K445" s="185"/>
      <c r="L445" s="186"/>
      <c r="M445" s="186"/>
      <c r="N445" s="145"/>
      <c r="O445" s="145"/>
      <c r="P445" s="145"/>
      <c r="Q445" s="146"/>
    </row>
    <row r="446" spans="1:17" ht="9.75">
      <c r="A446" s="35" t="s">
        <v>618</v>
      </c>
      <c r="B446" s="183" t="s">
        <v>657</v>
      </c>
      <c r="C446" s="188">
        <v>220853</v>
      </c>
      <c r="D446" s="184">
        <v>8</v>
      </c>
      <c r="E446" s="147">
        <v>2540700</v>
      </c>
      <c r="F446" s="146">
        <v>2668800</v>
      </c>
      <c r="G446" s="185"/>
      <c r="H446" s="186"/>
      <c r="I446" s="185"/>
      <c r="J446" s="189"/>
      <c r="K446" s="185"/>
      <c r="L446" s="186"/>
      <c r="M446" s="186"/>
      <c r="N446" s="145"/>
      <c r="O446" s="145"/>
      <c r="P446" s="145"/>
      <c r="Q446" s="146"/>
    </row>
    <row r="447" spans="1:17" ht="9.75">
      <c r="A447" s="35" t="s">
        <v>618</v>
      </c>
      <c r="B447" s="183" t="s">
        <v>658</v>
      </c>
      <c r="C447" s="188">
        <v>221050</v>
      </c>
      <c r="D447" s="184">
        <v>8</v>
      </c>
      <c r="E447" s="147">
        <v>2234000</v>
      </c>
      <c r="F447" s="146">
        <v>2354400</v>
      </c>
      <c r="G447" s="185"/>
      <c r="H447" s="186"/>
      <c r="I447" s="185"/>
      <c r="J447" s="189"/>
      <c r="K447" s="185"/>
      <c r="L447" s="186"/>
      <c r="M447" s="186"/>
      <c r="N447" s="145"/>
      <c r="O447" s="145"/>
      <c r="P447" s="145"/>
      <c r="Q447" s="146"/>
    </row>
    <row r="448" spans="1:17" ht="9.75">
      <c r="A448" s="35" t="s">
        <v>618</v>
      </c>
      <c r="B448" s="183" t="s">
        <v>659</v>
      </c>
      <c r="C448" s="188">
        <v>221102</v>
      </c>
      <c r="D448" s="184">
        <v>8</v>
      </c>
      <c r="E448" s="147">
        <v>720300</v>
      </c>
      <c r="F448" s="146">
        <v>1049600</v>
      </c>
      <c r="G448" s="185"/>
      <c r="H448" s="186"/>
      <c r="I448" s="185"/>
      <c r="J448" s="189"/>
      <c r="K448" s="185"/>
      <c r="L448" s="186"/>
      <c r="M448" s="186"/>
      <c r="N448" s="145"/>
      <c r="O448" s="145"/>
      <c r="P448" s="145"/>
      <c r="Q448" s="146"/>
    </row>
    <row r="449" spans="1:17" ht="9.75">
      <c r="A449" s="35" t="s">
        <v>618</v>
      </c>
      <c r="B449" s="183" t="s">
        <v>660</v>
      </c>
      <c r="C449" s="188">
        <v>248925</v>
      </c>
      <c r="D449" s="184">
        <v>8</v>
      </c>
      <c r="E449" s="147">
        <v>2036800</v>
      </c>
      <c r="F449" s="146">
        <v>2089400</v>
      </c>
      <c r="G449" s="185"/>
      <c r="H449" s="186"/>
      <c r="I449" s="185"/>
      <c r="J449" s="146"/>
      <c r="K449" s="185"/>
      <c r="L449" s="186"/>
      <c r="M449" s="186"/>
      <c r="N449" s="145"/>
      <c r="O449" s="145"/>
      <c r="P449" s="145"/>
      <c r="Q449" s="146"/>
    </row>
    <row r="450" spans="1:17" ht="9.75">
      <c r="A450" s="35" t="s">
        <v>618</v>
      </c>
      <c r="B450" s="183" t="s">
        <v>661</v>
      </c>
      <c r="C450" s="188">
        <v>221236</v>
      </c>
      <c r="D450" s="184">
        <v>8</v>
      </c>
      <c r="E450" s="147">
        <v>760800</v>
      </c>
      <c r="F450" s="146">
        <v>780900</v>
      </c>
      <c r="G450" s="185"/>
      <c r="H450" s="186"/>
      <c r="I450" s="185"/>
      <c r="J450" s="189"/>
      <c r="K450" s="185"/>
      <c r="L450" s="186"/>
      <c r="M450" s="186"/>
      <c r="N450" s="145"/>
      <c r="O450" s="145"/>
      <c r="P450" s="145"/>
      <c r="Q450" s="146"/>
    </row>
    <row r="451" spans="1:17" ht="9.75">
      <c r="A451" s="35" t="s">
        <v>618</v>
      </c>
      <c r="B451" s="183" t="s">
        <v>662</v>
      </c>
      <c r="C451" s="188">
        <v>221582</v>
      </c>
      <c r="D451" s="184">
        <v>8</v>
      </c>
      <c r="E451" s="147">
        <v>723400</v>
      </c>
      <c r="F451" s="146">
        <v>742800</v>
      </c>
      <c r="G451" s="185"/>
      <c r="H451" s="186"/>
      <c r="I451" s="185"/>
      <c r="J451" s="189"/>
      <c r="K451" s="185"/>
      <c r="L451" s="186"/>
      <c r="M451" s="186"/>
      <c r="N451" s="145"/>
      <c r="O451" s="145"/>
      <c r="P451" s="145"/>
      <c r="Q451" s="146"/>
    </row>
    <row r="452" spans="1:17" ht="9.75">
      <c r="A452" s="35" t="s">
        <v>618</v>
      </c>
      <c r="B452" s="183" t="s">
        <v>663</v>
      </c>
      <c r="C452" s="188">
        <v>221281</v>
      </c>
      <c r="D452" s="184">
        <v>8</v>
      </c>
      <c r="E452" s="147">
        <v>1015000</v>
      </c>
      <c r="F452" s="146">
        <v>1041900</v>
      </c>
      <c r="G452" s="185"/>
      <c r="H452" s="186"/>
      <c r="I452" s="185"/>
      <c r="J452" s="189"/>
      <c r="K452" s="185"/>
      <c r="L452" s="186"/>
      <c r="M452" s="186"/>
      <c r="N452" s="145"/>
      <c r="O452" s="145"/>
      <c r="P452" s="145"/>
      <c r="Q452" s="146"/>
    </row>
    <row r="453" spans="1:17" ht="9.75">
      <c r="A453" s="35" t="s">
        <v>618</v>
      </c>
      <c r="B453" s="183" t="s">
        <v>664</v>
      </c>
      <c r="C453" s="188">
        <v>221333</v>
      </c>
      <c r="D453" s="184">
        <v>8</v>
      </c>
      <c r="E453" s="147">
        <v>779300</v>
      </c>
      <c r="F453" s="146">
        <v>799600</v>
      </c>
      <c r="G453" s="185"/>
      <c r="H453" s="186"/>
      <c r="I453" s="185"/>
      <c r="J453" s="189"/>
      <c r="K453" s="185"/>
      <c r="L453" s="186"/>
      <c r="M453" s="186"/>
      <c r="N453" s="145"/>
      <c r="O453" s="145"/>
      <c r="P453" s="145"/>
      <c r="Q453" s="146"/>
    </row>
    <row r="454" spans="1:17" ht="9.75">
      <c r="A454" s="35" t="s">
        <v>618</v>
      </c>
      <c r="B454" s="183" t="s">
        <v>665</v>
      </c>
      <c r="C454" s="188">
        <v>221388</v>
      </c>
      <c r="D454" s="184">
        <v>8</v>
      </c>
      <c r="E454" s="147">
        <v>498900</v>
      </c>
      <c r="F454" s="146">
        <v>698363</v>
      </c>
      <c r="G454" s="185"/>
      <c r="H454" s="186"/>
      <c r="I454" s="185"/>
      <c r="J454" s="189"/>
      <c r="K454" s="185"/>
      <c r="L454" s="186"/>
      <c r="M454" s="186"/>
      <c r="N454" s="145"/>
      <c r="O454" s="145"/>
      <c r="P454" s="145"/>
      <c r="Q454" s="146"/>
    </row>
    <row r="455" spans="1:17" ht="9.75">
      <c r="A455" s="35" t="s">
        <v>618</v>
      </c>
      <c r="B455" s="183" t="s">
        <v>666</v>
      </c>
      <c r="C455" s="188" t="s">
        <v>667</v>
      </c>
      <c r="D455" s="184">
        <v>8</v>
      </c>
      <c r="E455" s="147">
        <v>864500</v>
      </c>
      <c r="F455" s="146">
        <v>887200</v>
      </c>
      <c r="G455" s="185"/>
      <c r="H455" s="186"/>
      <c r="I455" s="185"/>
      <c r="J455" s="189"/>
      <c r="K455" s="185"/>
      <c r="L455" s="186"/>
      <c r="M455" s="186"/>
      <c r="N455" s="145"/>
      <c r="O455" s="145"/>
      <c r="P455" s="145"/>
      <c r="Q455" s="146"/>
    </row>
    <row r="456" spans="1:17" ht="9.75">
      <c r="A456" s="35" t="s">
        <v>618</v>
      </c>
      <c r="B456" s="183" t="s">
        <v>668</v>
      </c>
      <c r="C456" s="188">
        <v>221494</v>
      </c>
      <c r="D456" s="184">
        <v>8</v>
      </c>
      <c r="E456" s="147">
        <v>1004400</v>
      </c>
      <c r="F456" s="146">
        <v>1155000</v>
      </c>
      <c r="G456" s="147"/>
      <c r="H456" s="145"/>
      <c r="I456" s="147"/>
      <c r="J456" s="146"/>
      <c r="K456" s="147"/>
      <c r="L456" s="145"/>
      <c r="M456" s="145"/>
      <c r="N456" s="145"/>
      <c r="O456" s="145"/>
      <c r="P456" s="145"/>
      <c r="Q456" s="146"/>
    </row>
    <row r="457" spans="1:17" ht="9.75">
      <c r="A457" s="35" t="s">
        <v>618</v>
      </c>
      <c r="B457" s="183" t="s">
        <v>669</v>
      </c>
      <c r="C457" s="188">
        <v>221634</v>
      </c>
      <c r="D457" s="184">
        <v>8</v>
      </c>
      <c r="E457" s="147">
        <v>734600</v>
      </c>
      <c r="F457" s="146">
        <v>754200</v>
      </c>
      <c r="G457" s="147"/>
      <c r="H457" s="186"/>
      <c r="I457" s="185"/>
      <c r="J457" s="189"/>
      <c r="K457" s="185"/>
      <c r="L457" s="186"/>
      <c r="M457" s="186"/>
      <c r="N457" s="145"/>
      <c r="O457" s="145"/>
      <c r="P457" s="145"/>
      <c r="Q457" s="146"/>
    </row>
    <row r="458" spans="1:17" ht="9.75">
      <c r="A458" s="35" t="s">
        <v>618</v>
      </c>
      <c r="B458" s="183" t="s">
        <v>670</v>
      </c>
      <c r="C458" s="188">
        <v>221704</v>
      </c>
      <c r="D458" s="184">
        <v>9</v>
      </c>
      <c r="E458" s="147"/>
      <c r="F458" s="146"/>
      <c r="G458" s="185"/>
      <c r="H458" s="186"/>
      <c r="I458" s="185"/>
      <c r="J458" s="146">
        <v>89991525.735</v>
      </c>
      <c r="K458" s="185"/>
      <c r="L458" s="186"/>
      <c r="M458" s="186"/>
      <c r="N458" s="145"/>
      <c r="O458" s="145"/>
      <c r="P458" s="145"/>
      <c r="Q458" s="146"/>
    </row>
    <row r="459" spans="1:17" ht="9.75">
      <c r="A459" s="35" t="s">
        <v>618</v>
      </c>
      <c r="B459" s="183" t="s">
        <v>671</v>
      </c>
      <c r="C459" s="188">
        <v>221704</v>
      </c>
      <c r="D459" s="184">
        <v>9</v>
      </c>
      <c r="E459" s="147">
        <v>7051338</v>
      </c>
      <c r="F459" s="146">
        <v>7510838</v>
      </c>
      <c r="G459" s="185"/>
      <c r="H459" s="186"/>
      <c r="I459" s="185"/>
      <c r="J459" s="189"/>
      <c r="K459" s="185"/>
      <c r="L459" s="186"/>
      <c r="M459" s="186"/>
      <c r="N459" s="145"/>
      <c r="O459" s="145"/>
      <c r="P459" s="145"/>
      <c r="Q459" s="146"/>
    </row>
    <row r="460" spans="1:17" ht="9.75">
      <c r="A460" s="35" t="s">
        <v>618</v>
      </c>
      <c r="B460" s="183" t="s">
        <v>672</v>
      </c>
      <c r="C460" s="188">
        <v>221704</v>
      </c>
      <c r="D460" s="184">
        <v>9</v>
      </c>
      <c r="E460" s="147"/>
      <c r="F460" s="146"/>
      <c r="G460" s="185"/>
      <c r="H460" s="186"/>
      <c r="I460" s="147">
        <v>12074400</v>
      </c>
      <c r="J460" s="189"/>
      <c r="K460" s="185"/>
      <c r="L460" s="186"/>
      <c r="M460" s="186"/>
      <c r="N460" s="145"/>
      <c r="O460" s="145"/>
      <c r="P460" s="145"/>
      <c r="Q460" s="146"/>
    </row>
    <row r="461" spans="1:17" ht="9.75">
      <c r="A461" s="35"/>
      <c r="B461" s="183"/>
      <c r="C461" s="188"/>
      <c r="D461" s="184"/>
      <c r="E461" s="147"/>
      <c r="F461" s="146"/>
      <c r="G461" s="185"/>
      <c r="H461" s="186"/>
      <c r="I461" s="147"/>
      <c r="J461" s="189"/>
      <c r="K461" s="185"/>
      <c r="L461" s="186"/>
      <c r="M461" s="186"/>
      <c r="N461" s="145"/>
      <c r="O461" s="145"/>
      <c r="P461" s="145"/>
      <c r="Q461" s="146"/>
    </row>
    <row r="462" spans="1:17" ht="9.75">
      <c r="A462" s="35"/>
      <c r="B462" s="183"/>
      <c r="C462" s="188"/>
      <c r="D462" s="184"/>
      <c r="E462" s="147"/>
      <c r="F462" s="146"/>
      <c r="G462" s="185"/>
      <c r="H462" s="186"/>
      <c r="I462" s="147"/>
      <c r="J462" s="189"/>
      <c r="K462" s="185"/>
      <c r="L462" s="186"/>
      <c r="M462" s="186"/>
      <c r="N462" s="145"/>
      <c r="O462" s="145"/>
      <c r="P462" s="145"/>
      <c r="Q462" s="146"/>
    </row>
    <row r="463" spans="1:17" ht="9.75">
      <c r="A463" s="35" t="s">
        <v>673</v>
      </c>
      <c r="B463" s="35" t="s">
        <v>674</v>
      </c>
      <c r="C463" s="143" t="s">
        <v>675</v>
      </c>
      <c r="D463" s="143" t="s">
        <v>199</v>
      </c>
      <c r="E463" s="145">
        <v>240856097</v>
      </c>
      <c r="F463" s="146">
        <v>239120348</v>
      </c>
      <c r="G463" s="147"/>
      <c r="H463" s="145"/>
      <c r="I463" s="147">
        <v>23749258</v>
      </c>
      <c r="J463" s="145">
        <v>16302477</v>
      </c>
      <c r="K463" s="147"/>
      <c r="L463" s="145"/>
      <c r="M463" s="145">
        <v>43843727</v>
      </c>
      <c r="N463" s="145">
        <v>51971274</v>
      </c>
      <c r="O463" s="145">
        <v>12493730</v>
      </c>
      <c r="P463" s="145"/>
      <c r="Q463" s="146"/>
    </row>
    <row r="464" spans="1:17" ht="9.75">
      <c r="A464" s="35" t="s">
        <v>673</v>
      </c>
      <c r="B464" s="35" t="s">
        <v>676</v>
      </c>
      <c r="C464" s="143" t="s">
        <v>677</v>
      </c>
      <c r="D464" s="143" t="s">
        <v>199</v>
      </c>
      <c r="E464" s="145">
        <v>111020172</v>
      </c>
      <c r="F464" s="146">
        <v>113118818</v>
      </c>
      <c r="G464" s="147"/>
      <c r="H464" s="145"/>
      <c r="I464" s="147"/>
      <c r="J464" s="146"/>
      <c r="K464" s="147"/>
      <c r="L464" s="145"/>
      <c r="M464" s="145"/>
      <c r="N464" s="145"/>
      <c r="O464" s="145"/>
      <c r="P464" s="145"/>
      <c r="Q464" s="146"/>
    </row>
    <row r="465" spans="1:17" ht="9.75">
      <c r="A465" s="35" t="s">
        <v>673</v>
      </c>
      <c r="B465" s="35" t="s">
        <v>678</v>
      </c>
      <c r="C465" s="143" t="s">
        <v>679</v>
      </c>
      <c r="D465" s="143" t="s">
        <v>199</v>
      </c>
      <c r="E465" s="145">
        <v>146289566</v>
      </c>
      <c r="F465" s="146">
        <v>145029811</v>
      </c>
      <c r="G465" s="147"/>
      <c r="H465" s="145"/>
      <c r="I465" s="147"/>
      <c r="J465" s="146"/>
      <c r="K465" s="147"/>
      <c r="L465" s="145"/>
      <c r="M465" s="145"/>
      <c r="N465" s="145"/>
      <c r="O465" s="145"/>
      <c r="P465" s="145"/>
      <c r="Q465" s="146"/>
    </row>
    <row r="466" spans="1:17" ht="9.75">
      <c r="A466" s="35" t="s">
        <v>673</v>
      </c>
      <c r="B466" s="35" t="s">
        <v>680</v>
      </c>
      <c r="C466" s="143" t="s">
        <v>681</v>
      </c>
      <c r="D466" s="143" t="s">
        <v>199</v>
      </c>
      <c r="E466" s="145">
        <v>93315454</v>
      </c>
      <c r="F466" s="146">
        <v>93945251</v>
      </c>
      <c r="G466" s="147"/>
      <c r="H466" s="145"/>
      <c r="I466" s="147"/>
      <c r="J466" s="146"/>
      <c r="K466" s="147"/>
      <c r="L466" s="145"/>
      <c r="M466" s="145"/>
      <c r="N466" s="145"/>
      <c r="O466" s="145"/>
      <c r="P466" s="145"/>
      <c r="Q466" s="146"/>
    </row>
    <row r="467" spans="1:17" ht="9.75">
      <c r="A467" s="35" t="s">
        <v>673</v>
      </c>
      <c r="B467" s="35" t="s">
        <v>682</v>
      </c>
      <c r="C467" s="143" t="s">
        <v>683</v>
      </c>
      <c r="D467" s="143" t="s">
        <v>199</v>
      </c>
      <c r="E467" s="145">
        <v>330613517</v>
      </c>
      <c r="F467" s="146">
        <v>336930544</v>
      </c>
      <c r="G467" s="147"/>
      <c r="H467" s="145"/>
      <c r="I467" s="147"/>
      <c r="J467" s="146"/>
      <c r="K467" s="147"/>
      <c r="L467" s="145"/>
      <c r="M467" s="145"/>
      <c r="N467" s="145"/>
      <c r="O467" s="145"/>
      <c r="P467" s="145"/>
      <c r="Q467" s="146"/>
    </row>
    <row r="468" spans="1:17" ht="9.75">
      <c r="A468" s="35" t="s">
        <v>673</v>
      </c>
      <c r="B468" s="154" t="s">
        <v>684</v>
      </c>
      <c r="C468" s="158" t="s">
        <v>685</v>
      </c>
      <c r="D468" s="158" t="s">
        <v>204</v>
      </c>
      <c r="E468" s="145">
        <v>49318190</v>
      </c>
      <c r="F468" s="146">
        <v>50074063</v>
      </c>
      <c r="G468" s="147"/>
      <c r="H468" s="145"/>
      <c r="I468" s="147"/>
      <c r="J468" s="146"/>
      <c r="K468" s="147"/>
      <c r="L468" s="145"/>
      <c r="M468" s="145"/>
      <c r="N468" s="145"/>
      <c r="O468" s="145"/>
      <c r="P468" s="145"/>
      <c r="Q468" s="146"/>
    </row>
    <row r="469" spans="1:17" ht="9.75">
      <c r="A469" s="35" t="s">
        <v>673</v>
      </c>
      <c r="B469" s="35" t="s">
        <v>686</v>
      </c>
      <c r="C469" s="143" t="s">
        <v>687</v>
      </c>
      <c r="D469" s="143" t="s">
        <v>204</v>
      </c>
      <c r="E469" s="145">
        <v>78637686</v>
      </c>
      <c r="F469" s="146">
        <v>79189275</v>
      </c>
      <c r="G469" s="147"/>
      <c r="H469" s="145"/>
      <c r="I469" s="147"/>
      <c r="J469" s="146"/>
      <c r="K469" s="147"/>
      <c r="L469" s="145"/>
      <c r="M469" s="145"/>
      <c r="N469" s="145"/>
      <c r="O469" s="145"/>
      <c r="P469" s="145"/>
      <c r="Q469" s="146"/>
    </row>
    <row r="470" spans="1:17" ht="9.75">
      <c r="A470" s="35" t="s">
        <v>673</v>
      </c>
      <c r="B470" s="35" t="s">
        <v>688</v>
      </c>
      <c r="C470" s="143" t="s">
        <v>689</v>
      </c>
      <c r="D470" s="143" t="s">
        <v>204</v>
      </c>
      <c r="E470" s="145">
        <v>41414848</v>
      </c>
      <c r="F470" s="146">
        <v>40622691</v>
      </c>
      <c r="G470" s="147"/>
      <c r="H470" s="145"/>
      <c r="I470" s="147"/>
      <c r="J470" s="146"/>
      <c r="K470" s="147"/>
      <c r="L470" s="145"/>
      <c r="M470" s="145"/>
      <c r="N470" s="145"/>
      <c r="O470" s="145"/>
      <c r="P470" s="145"/>
      <c r="Q470" s="146"/>
    </row>
    <row r="471" spans="1:17" ht="9.75">
      <c r="A471" s="35" t="s">
        <v>673</v>
      </c>
      <c r="B471" s="35" t="s">
        <v>690</v>
      </c>
      <c r="C471" s="143" t="s">
        <v>691</v>
      </c>
      <c r="D471" s="143" t="s">
        <v>207</v>
      </c>
      <c r="E471" s="145">
        <v>32138096</v>
      </c>
      <c r="F471" s="146">
        <v>32381447</v>
      </c>
      <c r="G471" s="147"/>
      <c r="H471" s="145"/>
      <c r="I471" s="147"/>
      <c r="J471" s="146"/>
      <c r="K471" s="147"/>
      <c r="L471" s="145"/>
      <c r="M471" s="145"/>
      <c r="N471" s="145"/>
      <c r="O471" s="145"/>
      <c r="P471" s="145"/>
      <c r="Q471" s="146"/>
    </row>
    <row r="472" spans="1:17" ht="9.75">
      <c r="A472" s="35" t="s">
        <v>673</v>
      </c>
      <c r="B472" s="35" t="s">
        <v>692</v>
      </c>
      <c r="C472" s="143" t="s">
        <v>693</v>
      </c>
      <c r="D472" s="143" t="s">
        <v>207</v>
      </c>
      <c r="E472" s="145">
        <v>24150941</v>
      </c>
      <c r="F472" s="146">
        <v>23962160</v>
      </c>
      <c r="G472" s="147"/>
      <c r="H472" s="145"/>
      <c r="I472" s="147"/>
      <c r="J472" s="146"/>
      <c r="K472" s="147"/>
      <c r="L472" s="145"/>
      <c r="M472" s="145"/>
      <c r="N472" s="145"/>
      <c r="O472" s="145"/>
      <c r="P472" s="145"/>
      <c r="Q472" s="146"/>
    </row>
    <row r="473" spans="1:17" ht="9.75">
      <c r="A473" s="35" t="s">
        <v>673</v>
      </c>
      <c r="B473" s="35" t="s">
        <v>694</v>
      </c>
      <c r="C473" s="143" t="s">
        <v>695</v>
      </c>
      <c r="D473" s="143" t="s">
        <v>207</v>
      </c>
      <c r="E473" s="145">
        <v>36555652</v>
      </c>
      <c r="F473" s="146">
        <v>37119090</v>
      </c>
      <c r="G473" s="147"/>
      <c r="H473" s="145"/>
      <c r="I473" s="147"/>
      <c r="J473" s="146"/>
      <c r="K473" s="147"/>
      <c r="L473" s="145"/>
      <c r="M473" s="145"/>
      <c r="N473" s="145"/>
      <c r="O473" s="145"/>
      <c r="P473" s="145"/>
      <c r="Q473" s="146"/>
    </row>
    <row r="474" spans="1:17" ht="9.75">
      <c r="A474" s="35" t="s">
        <v>673</v>
      </c>
      <c r="B474" s="35" t="s">
        <v>696</v>
      </c>
      <c r="C474" s="143" t="s">
        <v>697</v>
      </c>
      <c r="D474" s="143" t="s">
        <v>207</v>
      </c>
      <c r="E474" s="145">
        <v>65482493</v>
      </c>
      <c r="F474" s="146">
        <v>65089682</v>
      </c>
      <c r="G474" s="147"/>
      <c r="H474" s="145"/>
      <c r="I474" s="147"/>
      <c r="J474" s="146"/>
      <c r="K474" s="147"/>
      <c r="L474" s="145"/>
      <c r="M474" s="145"/>
      <c r="N474" s="145"/>
      <c r="O474" s="145"/>
      <c r="P474" s="145"/>
      <c r="Q474" s="146"/>
    </row>
    <row r="475" spans="1:17" ht="9.75">
      <c r="A475" s="35" t="s">
        <v>673</v>
      </c>
      <c r="B475" s="35" t="s">
        <v>698</v>
      </c>
      <c r="C475" s="143" t="s">
        <v>699</v>
      </c>
      <c r="D475" s="143" t="s">
        <v>207</v>
      </c>
      <c r="E475" s="145">
        <v>41661689</v>
      </c>
      <c r="F475" s="146">
        <v>40891957</v>
      </c>
      <c r="G475" s="147"/>
      <c r="H475" s="145"/>
      <c r="I475" s="147"/>
      <c r="J475" s="146"/>
      <c r="K475" s="147"/>
      <c r="L475" s="145"/>
      <c r="M475" s="145"/>
      <c r="N475" s="145"/>
      <c r="O475" s="145"/>
      <c r="P475" s="145"/>
      <c r="Q475" s="146"/>
    </row>
    <row r="476" spans="1:17" ht="9.75">
      <c r="A476" s="35" t="s">
        <v>673</v>
      </c>
      <c r="B476" s="35" t="s">
        <v>700</v>
      </c>
      <c r="C476" s="143" t="s">
        <v>701</v>
      </c>
      <c r="D476" s="143" t="s">
        <v>207</v>
      </c>
      <c r="E476" s="145">
        <v>12012587</v>
      </c>
      <c r="F476" s="146">
        <v>15184305</v>
      </c>
      <c r="G476" s="147"/>
      <c r="H476" s="145"/>
      <c r="I476" s="147"/>
      <c r="J476" s="146"/>
      <c r="K476" s="147"/>
      <c r="L476" s="145"/>
      <c r="M476" s="145"/>
      <c r="N476" s="145"/>
      <c r="O476" s="145"/>
      <c r="P476" s="145"/>
      <c r="Q476" s="146"/>
    </row>
    <row r="477" spans="1:17" ht="9.75">
      <c r="A477" s="35" t="s">
        <v>673</v>
      </c>
      <c r="B477" s="35" t="s">
        <v>702</v>
      </c>
      <c r="C477" s="143" t="s">
        <v>703</v>
      </c>
      <c r="D477" s="143" t="s">
        <v>207</v>
      </c>
      <c r="E477" s="145">
        <v>27439049</v>
      </c>
      <c r="F477" s="146">
        <v>28156603</v>
      </c>
      <c r="G477" s="147"/>
      <c r="H477" s="145"/>
      <c r="I477" s="147"/>
      <c r="J477" s="146"/>
      <c r="K477" s="147"/>
      <c r="L477" s="145"/>
      <c r="M477" s="145"/>
      <c r="N477" s="145"/>
      <c r="O477" s="145"/>
      <c r="P477" s="145"/>
      <c r="Q477" s="146"/>
    </row>
    <row r="478" spans="1:17" ht="9.75">
      <c r="A478" s="35" t="s">
        <v>673</v>
      </c>
      <c r="B478" s="35" t="s">
        <v>704</v>
      </c>
      <c r="C478" s="143" t="s">
        <v>705</v>
      </c>
      <c r="D478" s="143" t="s">
        <v>207</v>
      </c>
      <c r="E478" s="145">
        <v>28214126</v>
      </c>
      <c r="F478" s="146">
        <v>28255229</v>
      </c>
      <c r="G478" s="147"/>
      <c r="H478" s="145"/>
      <c r="I478" s="147"/>
      <c r="J478" s="146"/>
      <c r="K478" s="147"/>
      <c r="L478" s="145"/>
      <c r="M478" s="145"/>
      <c r="N478" s="145"/>
      <c r="O478" s="145"/>
      <c r="P478" s="145"/>
      <c r="Q478" s="146"/>
    </row>
    <row r="479" spans="1:17" ht="9.75">
      <c r="A479" s="35" t="s">
        <v>673</v>
      </c>
      <c r="B479" s="35" t="s">
        <v>706</v>
      </c>
      <c r="C479" s="143" t="s">
        <v>707</v>
      </c>
      <c r="D479" s="143" t="s">
        <v>207</v>
      </c>
      <c r="E479" s="145">
        <v>36450090</v>
      </c>
      <c r="F479" s="145">
        <v>36271928</v>
      </c>
      <c r="G479" s="147"/>
      <c r="H479" s="145"/>
      <c r="I479" s="147"/>
      <c r="J479" s="146"/>
      <c r="K479" s="147"/>
      <c r="L479" s="145"/>
      <c r="M479" s="145"/>
      <c r="N479" s="145"/>
      <c r="O479" s="145"/>
      <c r="P479" s="145"/>
      <c r="Q479" s="146"/>
    </row>
    <row r="480" spans="1:17" ht="9.75">
      <c r="A480" s="35" t="s">
        <v>673</v>
      </c>
      <c r="B480" s="35" t="s">
        <v>708</v>
      </c>
      <c r="C480" s="143" t="s">
        <v>709</v>
      </c>
      <c r="D480" s="143" t="s">
        <v>207</v>
      </c>
      <c r="E480" s="145">
        <v>24551513</v>
      </c>
      <c r="F480" s="145">
        <v>23637047</v>
      </c>
      <c r="G480" s="147"/>
      <c r="H480" s="145"/>
      <c r="I480" s="147"/>
      <c r="J480" s="146"/>
      <c r="K480" s="147"/>
      <c r="L480" s="145"/>
      <c r="M480" s="145"/>
      <c r="N480" s="145"/>
      <c r="O480" s="145"/>
      <c r="P480" s="145"/>
      <c r="Q480" s="146"/>
    </row>
    <row r="481" spans="1:17" ht="9.75">
      <c r="A481" s="35" t="s">
        <v>673</v>
      </c>
      <c r="B481" s="35" t="s">
        <v>710</v>
      </c>
      <c r="C481" s="143" t="s">
        <v>711</v>
      </c>
      <c r="D481" s="143" t="s">
        <v>207</v>
      </c>
      <c r="E481" s="145">
        <v>54013149</v>
      </c>
      <c r="F481" s="145">
        <v>55145846</v>
      </c>
      <c r="G481" s="147"/>
      <c r="H481" s="145"/>
      <c r="I481" s="147"/>
      <c r="J481" s="146"/>
      <c r="K481" s="147"/>
      <c r="L481" s="145"/>
      <c r="M481" s="145"/>
      <c r="N481" s="145"/>
      <c r="O481" s="145"/>
      <c r="P481" s="145"/>
      <c r="Q481" s="146"/>
    </row>
    <row r="482" spans="1:17" ht="9.75">
      <c r="A482" s="35" t="s">
        <v>673</v>
      </c>
      <c r="B482" s="35" t="s">
        <v>712</v>
      </c>
      <c r="C482" s="143" t="s">
        <v>713</v>
      </c>
      <c r="D482" s="143" t="s">
        <v>207</v>
      </c>
      <c r="E482" s="145">
        <v>48943652</v>
      </c>
      <c r="F482" s="145">
        <v>49531187</v>
      </c>
      <c r="G482" s="147"/>
      <c r="H482" s="145"/>
      <c r="I482" s="147"/>
      <c r="J482" s="146"/>
      <c r="K482" s="147"/>
      <c r="L482" s="145"/>
      <c r="M482" s="145"/>
      <c r="N482" s="145"/>
      <c r="O482" s="145"/>
      <c r="P482" s="145"/>
      <c r="Q482" s="146"/>
    </row>
    <row r="483" spans="1:17" ht="9.75">
      <c r="A483" s="35" t="s">
        <v>673</v>
      </c>
      <c r="B483" s="35" t="s">
        <v>714</v>
      </c>
      <c r="C483" s="143" t="s">
        <v>715</v>
      </c>
      <c r="D483" s="143" t="s">
        <v>207</v>
      </c>
      <c r="E483" s="145">
        <v>15615532</v>
      </c>
      <c r="F483" s="145">
        <v>14290165</v>
      </c>
      <c r="G483" s="147"/>
      <c r="H483" s="145"/>
      <c r="I483" s="147"/>
      <c r="J483" s="146"/>
      <c r="K483" s="147"/>
      <c r="L483" s="145"/>
      <c r="M483" s="145"/>
      <c r="N483" s="145"/>
      <c r="O483" s="145"/>
      <c r="P483" s="145"/>
      <c r="Q483" s="146"/>
    </row>
    <row r="484" spans="1:17" ht="9.75">
      <c r="A484" s="35" t="s">
        <v>673</v>
      </c>
      <c r="B484" s="35" t="s">
        <v>716</v>
      </c>
      <c r="C484" s="143" t="s">
        <v>717</v>
      </c>
      <c r="D484" s="143" t="s">
        <v>207</v>
      </c>
      <c r="E484" s="145">
        <v>23141991</v>
      </c>
      <c r="F484" s="145">
        <v>23353774</v>
      </c>
      <c r="G484" s="147"/>
      <c r="H484" s="145"/>
      <c r="I484" s="147"/>
      <c r="J484" s="146"/>
      <c r="K484" s="147"/>
      <c r="L484" s="145"/>
      <c r="M484" s="145"/>
      <c r="N484" s="145"/>
      <c r="O484" s="145"/>
      <c r="P484" s="145"/>
      <c r="Q484" s="146"/>
    </row>
    <row r="485" spans="1:17" ht="9.75">
      <c r="A485" s="35" t="s">
        <v>673</v>
      </c>
      <c r="B485" s="35" t="s">
        <v>718</v>
      </c>
      <c r="C485" s="143" t="s">
        <v>719</v>
      </c>
      <c r="D485" s="143" t="s">
        <v>207</v>
      </c>
      <c r="E485" s="145">
        <v>26254495</v>
      </c>
      <c r="F485" s="145">
        <v>26242179</v>
      </c>
      <c r="G485" s="147"/>
      <c r="H485" s="145"/>
      <c r="I485" s="147"/>
      <c r="J485" s="146"/>
      <c r="K485" s="147"/>
      <c r="L485" s="145"/>
      <c r="M485" s="145"/>
      <c r="N485" s="145"/>
      <c r="O485" s="145"/>
      <c r="P485" s="145"/>
      <c r="Q485" s="146"/>
    </row>
    <row r="486" spans="1:17" ht="9.75">
      <c r="A486" s="35" t="s">
        <v>673</v>
      </c>
      <c r="B486" s="190" t="s">
        <v>720</v>
      </c>
      <c r="C486" s="191" t="s">
        <v>721</v>
      </c>
      <c r="D486" s="191" t="s">
        <v>210</v>
      </c>
      <c r="E486" s="145">
        <v>19310410</v>
      </c>
      <c r="F486" s="145">
        <v>22385460</v>
      </c>
      <c r="G486" s="147"/>
      <c r="H486" s="145"/>
      <c r="I486" s="147"/>
      <c r="J486" s="146"/>
      <c r="K486" s="147"/>
      <c r="L486" s="145"/>
      <c r="M486" s="145"/>
      <c r="N486" s="145"/>
      <c r="O486" s="145"/>
      <c r="P486" s="145"/>
      <c r="Q486" s="146"/>
    </row>
    <row r="487" spans="1:17" ht="9.75">
      <c r="A487" s="35" t="s">
        <v>673</v>
      </c>
      <c r="B487" s="35" t="s">
        <v>722</v>
      </c>
      <c r="C487" s="143" t="s">
        <v>723</v>
      </c>
      <c r="D487" s="143" t="s">
        <v>210</v>
      </c>
      <c r="E487" s="145">
        <v>20341155</v>
      </c>
      <c r="F487" s="145">
        <v>17239612</v>
      </c>
      <c r="G487" s="147"/>
      <c r="H487" s="145"/>
      <c r="I487" s="147"/>
      <c r="J487" s="146"/>
      <c r="K487" s="147"/>
      <c r="L487" s="145"/>
      <c r="M487" s="145"/>
      <c r="N487" s="145"/>
      <c r="O487" s="145"/>
      <c r="P487" s="145"/>
      <c r="Q487" s="146"/>
    </row>
    <row r="488" spans="1:17" ht="9.75">
      <c r="A488" s="35" t="s">
        <v>673</v>
      </c>
      <c r="B488" s="35" t="s">
        <v>724</v>
      </c>
      <c r="C488" s="143" t="s">
        <v>725</v>
      </c>
      <c r="D488" s="143" t="s">
        <v>210</v>
      </c>
      <c r="E488" s="145">
        <v>20684955</v>
      </c>
      <c r="F488" s="145">
        <v>19136490</v>
      </c>
      <c r="G488" s="147"/>
      <c r="H488" s="145"/>
      <c r="I488" s="147"/>
      <c r="J488" s="146"/>
      <c r="K488" s="147"/>
      <c r="L488" s="145"/>
      <c r="M488" s="145"/>
      <c r="N488" s="145"/>
      <c r="O488" s="145"/>
      <c r="P488" s="145"/>
      <c r="Q488" s="146"/>
    </row>
    <row r="489" spans="1:17" ht="9.75">
      <c r="A489" s="35" t="s">
        <v>673</v>
      </c>
      <c r="B489" s="35" t="s">
        <v>726</v>
      </c>
      <c r="C489" s="143" t="s">
        <v>727</v>
      </c>
      <c r="D489" s="143" t="s">
        <v>210</v>
      </c>
      <c r="E489" s="145">
        <v>14857800</v>
      </c>
      <c r="F489" s="145">
        <v>14961233</v>
      </c>
      <c r="G489" s="147"/>
      <c r="H489" s="145"/>
      <c r="I489" s="147"/>
      <c r="J489" s="146"/>
      <c r="K489" s="147"/>
      <c r="L489" s="145"/>
      <c r="M489" s="145"/>
      <c r="N489" s="145"/>
      <c r="O489" s="145"/>
      <c r="P489" s="145"/>
      <c r="Q489" s="146"/>
    </row>
    <row r="490" spans="1:17" ht="9.75">
      <c r="A490" s="35" t="s">
        <v>673</v>
      </c>
      <c r="B490" s="35" t="s">
        <v>728</v>
      </c>
      <c r="C490" s="143" t="s">
        <v>729</v>
      </c>
      <c r="D490" s="143" t="s">
        <v>210</v>
      </c>
      <c r="E490" s="145">
        <v>10484086</v>
      </c>
      <c r="F490" s="145">
        <v>10401702</v>
      </c>
      <c r="G490" s="147"/>
      <c r="H490" s="145"/>
      <c r="I490" s="147"/>
      <c r="J490" s="146"/>
      <c r="K490" s="147"/>
      <c r="L490" s="145"/>
      <c r="M490" s="145"/>
      <c r="N490" s="145"/>
      <c r="O490" s="145"/>
      <c r="P490" s="145"/>
      <c r="Q490" s="146"/>
    </row>
    <row r="491" spans="1:17" ht="9.75">
      <c r="A491" s="35" t="s">
        <v>673</v>
      </c>
      <c r="B491" s="35" t="s">
        <v>730</v>
      </c>
      <c r="C491" s="143" t="s">
        <v>731</v>
      </c>
      <c r="D491" s="143" t="s">
        <v>210</v>
      </c>
      <c r="E491" s="145">
        <v>42259278</v>
      </c>
      <c r="F491" s="145">
        <v>43117556</v>
      </c>
      <c r="G491" s="147"/>
      <c r="H491" s="145"/>
      <c r="I491" s="147"/>
      <c r="J491" s="146"/>
      <c r="K491" s="147"/>
      <c r="L491" s="145"/>
      <c r="M491" s="145"/>
      <c r="N491" s="145"/>
      <c r="O491" s="145"/>
      <c r="P491" s="145"/>
      <c r="Q491" s="146"/>
    </row>
    <row r="492" spans="1:17" ht="9.75">
      <c r="A492" s="35" t="s">
        <v>673</v>
      </c>
      <c r="B492" s="35" t="s">
        <v>732</v>
      </c>
      <c r="C492" s="151" t="s">
        <v>733</v>
      </c>
      <c r="D492" s="143" t="s">
        <v>219</v>
      </c>
      <c r="E492" s="145">
        <v>3368834</v>
      </c>
      <c r="F492" s="145">
        <v>3366033</v>
      </c>
      <c r="G492" s="147"/>
      <c r="H492" s="145"/>
      <c r="I492" s="147"/>
      <c r="J492" s="146"/>
      <c r="K492" s="147"/>
      <c r="L492" s="145"/>
      <c r="M492" s="145"/>
      <c r="N492" s="145"/>
      <c r="O492" s="145"/>
      <c r="P492" s="145"/>
      <c r="Q492" s="146"/>
    </row>
    <row r="493" spans="1:17" ht="9.75">
      <c r="A493" s="35" t="s">
        <v>673</v>
      </c>
      <c r="B493" s="35" t="s">
        <v>734</v>
      </c>
      <c r="C493" s="143" t="s">
        <v>735</v>
      </c>
      <c r="D493" s="143" t="s">
        <v>219</v>
      </c>
      <c r="E493" s="145">
        <v>4664699</v>
      </c>
      <c r="F493" s="145">
        <v>4768692</v>
      </c>
      <c r="G493" s="147"/>
      <c r="H493" s="145"/>
      <c r="I493" s="147"/>
      <c r="J493" s="146"/>
      <c r="K493" s="147"/>
      <c r="L493" s="145"/>
      <c r="M493" s="145"/>
      <c r="N493" s="145"/>
      <c r="O493" s="145"/>
      <c r="P493" s="145"/>
      <c r="Q493" s="146"/>
    </row>
    <row r="494" spans="1:17" ht="9.75">
      <c r="A494" s="35" t="s">
        <v>673</v>
      </c>
      <c r="B494" s="35" t="s">
        <v>736</v>
      </c>
      <c r="C494" s="143" t="s">
        <v>737</v>
      </c>
      <c r="D494" s="143" t="s">
        <v>219</v>
      </c>
      <c r="E494" s="145">
        <v>5943831</v>
      </c>
      <c r="F494" s="145">
        <v>5964082</v>
      </c>
      <c r="G494" s="147"/>
      <c r="H494" s="145"/>
      <c r="I494" s="147"/>
      <c r="J494" s="146"/>
      <c r="K494" s="147"/>
      <c r="L494" s="145"/>
      <c r="M494" s="145"/>
      <c r="N494" s="145"/>
      <c r="O494" s="145"/>
      <c r="P494" s="145"/>
      <c r="Q494" s="146"/>
    </row>
    <row r="495" spans="1:17" ht="9.75">
      <c r="A495" s="35" t="s">
        <v>673</v>
      </c>
      <c r="B495" s="35" t="s">
        <v>738</v>
      </c>
      <c r="C495" s="143" t="s">
        <v>739</v>
      </c>
      <c r="D495" s="143" t="s">
        <v>219</v>
      </c>
      <c r="E495" s="145">
        <v>13448908</v>
      </c>
      <c r="F495" s="145">
        <v>14002850</v>
      </c>
      <c r="G495" s="147"/>
      <c r="H495" s="145"/>
      <c r="I495" s="147"/>
      <c r="J495" s="146"/>
      <c r="K495" s="147"/>
      <c r="L495" s="145"/>
      <c r="M495" s="145"/>
      <c r="N495" s="145"/>
      <c r="O495" s="145"/>
      <c r="P495" s="145"/>
      <c r="Q495" s="146"/>
    </row>
    <row r="496" spans="1:17" ht="9.75">
      <c r="A496" s="35" t="s">
        <v>673</v>
      </c>
      <c r="B496" s="35" t="s">
        <v>740</v>
      </c>
      <c r="C496" s="143" t="s">
        <v>741</v>
      </c>
      <c r="D496" s="143" t="s">
        <v>232</v>
      </c>
      <c r="E496" s="145">
        <v>8609421</v>
      </c>
      <c r="F496" s="145">
        <v>8653867</v>
      </c>
      <c r="G496" s="147"/>
      <c r="H496" s="145"/>
      <c r="I496" s="147"/>
      <c r="J496" s="146"/>
      <c r="K496" s="147"/>
      <c r="L496" s="145"/>
      <c r="M496" s="145"/>
      <c r="N496" s="145"/>
      <c r="O496" s="145"/>
      <c r="P496" s="145"/>
      <c r="Q496" s="146"/>
    </row>
    <row r="497" spans="1:17" ht="9.75">
      <c r="A497" s="35" t="s">
        <v>673</v>
      </c>
      <c r="B497" s="35" t="s">
        <v>742</v>
      </c>
      <c r="C497" s="143" t="s">
        <v>743</v>
      </c>
      <c r="D497" s="143" t="s">
        <v>232</v>
      </c>
      <c r="E497" s="145">
        <v>16575986</v>
      </c>
      <c r="F497" s="145">
        <v>16660561</v>
      </c>
      <c r="G497" s="147"/>
      <c r="H497" s="145"/>
      <c r="I497" s="147"/>
      <c r="J497" s="146"/>
      <c r="K497" s="147"/>
      <c r="L497" s="145"/>
      <c r="M497" s="145"/>
      <c r="N497" s="145"/>
      <c r="O497" s="145"/>
      <c r="P497" s="145"/>
      <c r="Q497" s="146"/>
    </row>
    <row r="498" spans="1:17" ht="9.75">
      <c r="A498" s="35" t="s">
        <v>673</v>
      </c>
      <c r="B498" s="35" t="s">
        <v>744</v>
      </c>
      <c r="C498" s="143" t="s">
        <v>745</v>
      </c>
      <c r="D498" s="143" t="s">
        <v>167</v>
      </c>
      <c r="E498" s="145">
        <v>9024776</v>
      </c>
      <c r="F498" s="145">
        <v>8955731</v>
      </c>
      <c r="G498" s="147">
        <v>3497293</v>
      </c>
      <c r="H498" s="145">
        <v>3757774</v>
      </c>
      <c r="I498" s="147"/>
      <c r="J498" s="146"/>
      <c r="K498" s="147"/>
      <c r="L498" s="145"/>
      <c r="M498" s="145"/>
      <c r="N498" s="145"/>
      <c r="O498" s="145"/>
      <c r="P498" s="145"/>
      <c r="Q498" s="146"/>
    </row>
    <row r="499" spans="1:17" ht="9.75">
      <c r="A499" s="35" t="s">
        <v>673</v>
      </c>
      <c r="B499" s="35" t="s">
        <v>746</v>
      </c>
      <c r="C499" s="143" t="s">
        <v>747</v>
      </c>
      <c r="D499" s="143" t="s">
        <v>167</v>
      </c>
      <c r="E499" s="145">
        <v>18304137</v>
      </c>
      <c r="F499" s="145">
        <v>17950839</v>
      </c>
      <c r="G499" s="147">
        <v>5611862</v>
      </c>
      <c r="H499" s="145">
        <v>5635585</v>
      </c>
      <c r="I499" s="147"/>
      <c r="J499" s="146"/>
      <c r="K499" s="147"/>
      <c r="L499" s="145"/>
      <c r="M499" s="145"/>
      <c r="N499" s="145"/>
      <c r="O499" s="145"/>
      <c r="P499" s="145"/>
      <c r="Q499" s="146"/>
    </row>
    <row r="500" spans="1:17" ht="9.75">
      <c r="A500" s="35" t="s">
        <v>673</v>
      </c>
      <c r="B500" s="35" t="s">
        <v>748</v>
      </c>
      <c r="C500" s="143" t="s">
        <v>749</v>
      </c>
      <c r="D500" s="143" t="s">
        <v>167</v>
      </c>
      <c r="E500" s="145">
        <v>7260633</v>
      </c>
      <c r="F500" s="145">
        <v>7078202</v>
      </c>
      <c r="G500" s="147">
        <v>1420807</v>
      </c>
      <c r="H500" s="145">
        <v>1457535</v>
      </c>
      <c r="I500" s="147"/>
      <c r="J500" s="146"/>
      <c r="K500" s="147"/>
      <c r="L500" s="145"/>
      <c r="M500" s="145"/>
      <c r="N500" s="145"/>
      <c r="O500" s="145"/>
      <c r="P500" s="145"/>
      <c r="Q500" s="146"/>
    </row>
    <row r="501" spans="1:17" ht="9.75">
      <c r="A501" s="35" t="s">
        <v>673</v>
      </c>
      <c r="B501" s="35" t="s">
        <v>750</v>
      </c>
      <c r="C501" s="143" t="s">
        <v>751</v>
      </c>
      <c r="D501" s="143" t="s">
        <v>167</v>
      </c>
      <c r="E501" s="145">
        <v>33873078</v>
      </c>
      <c r="F501" s="145">
        <v>33940443</v>
      </c>
      <c r="G501" s="147">
        <v>9824000</v>
      </c>
      <c r="H501" s="145">
        <v>11225519</v>
      </c>
      <c r="I501" s="147"/>
      <c r="J501" s="146"/>
      <c r="K501" s="147"/>
      <c r="L501" s="145"/>
      <c r="M501" s="145"/>
      <c r="N501" s="145"/>
      <c r="O501" s="145"/>
      <c r="P501" s="145"/>
      <c r="Q501" s="146"/>
    </row>
    <row r="502" spans="1:17" ht="9.75">
      <c r="A502" s="35" t="s">
        <v>673</v>
      </c>
      <c r="B502" s="35" t="s">
        <v>752</v>
      </c>
      <c r="C502" s="143" t="s">
        <v>753</v>
      </c>
      <c r="D502" s="143" t="s">
        <v>167</v>
      </c>
      <c r="E502" s="145">
        <v>6647727</v>
      </c>
      <c r="F502" s="145">
        <v>6661407</v>
      </c>
      <c r="G502" s="147">
        <v>745616</v>
      </c>
      <c r="H502" s="145">
        <v>767610</v>
      </c>
      <c r="I502" s="147"/>
      <c r="J502" s="146"/>
      <c r="K502" s="147"/>
      <c r="L502" s="145"/>
      <c r="M502" s="145"/>
      <c r="N502" s="145"/>
      <c r="O502" s="145"/>
      <c r="P502" s="145"/>
      <c r="Q502" s="146"/>
    </row>
    <row r="503" spans="1:17" ht="9.75">
      <c r="A503" s="35" t="s">
        <v>673</v>
      </c>
      <c r="B503" s="35" t="s">
        <v>754</v>
      </c>
      <c r="C503" s="143" t="s">
        <v>755</v>
      </c>
      <c r="D503" s="143" t="s">
        <v>167</v>
      </c>
      <c r="E503" s="145">
        <v>14234857</v>
      </c>
      <c r="F503" s="145">
        <v>14256451</v>
      </c>
      <c r="G503" s="147">
        <v>407403</v>
      </c>
      <c r="H503" s="145">
        <v>424358</v>
      </c>
      <c r="I503" s="147"/>
      <c r="J503" s="146"/>
      <c r="K503" s="147"/>
      <c r="L503" s="145"/>
      <c r="M503" s="145"/>
      <c r="N503" s="145"/>
      <c r="O503" s="145"/>
      <c r="P503" s="145"/>
      <c r="Q503" s="146"/>
    </row>
    <row r="504" spans="1:17" ht="9.75">
      <c r="A504" s="35" t="s">
        <v>673</v>
      </c>
      <c r="B504" s="35" t="s">
        <v>756</v>
      </c>
      <c r="C504" s="143" t="s">
        <v>757</v>
      </c>
      <c r="D504" s="143" t="s">
        <v>167</v>
      </c>
      <c r="E504" s="145">
        <v>5148453</v>
      </c>
      <c r="F504" s="145">
        <v>5150239</v>
      </c>
      <c r="G504" s="147">
        <v>2811440</v>
      </c>
      <c r="H504" s="145">
        <v>3030133</v>
      </c>
      <c r="I504" s="147"/>
      <c r="J504" s="146"/>
      <c r="K504" s="147"/>
      <c r="L504" s="145"/>
      <c r="M504" s="145"/>
      <c r="N504" s="145"/>
      <c r="O504" s="145"/>
      <c r="P504" s="145"/>
      <c r="Q504" s="146"/>
    </row>
    <row r="505" spans="1:17" ht="9.75">
      <c r="A505" s="35" t="s">
        <v>673</v>
      </c>
      <c r="B505" s="35" t="s">
        <v>758</v>
      </c>
      <c r="C505" s="143" t="s">
        <v>759</v>
      </c>
      <c r="D505" s="143" t="s">
        <v>167</v>
      </c>
      <c r="E505" s="145"/>
      <c r="F505" s="146"/>
      <c r="G505" s="147"/>
      <c r="H505" s="145"/>
      <c r="I505" s="147"/>
      <c r="J505" s="146"/>
      <c r="K505" s="147"/>
      <c r="L505" s="145"/>
      <c r="M505" s="145"/>
      <c r="N505" s="145"/>
      <c r="O505" s="145"/>
      <c r="P505" s="145"/>
      <c r="Q505" s="146"/>
    </row>
    <row r="506" spans="1:17" ht="9.75">
      <c r="A506" s="35" t="s">
        <v>673</v>
      </c>
      <c r="B506" s="35" t="s">
        <v>760</v>
      </c>
      <c r="C506" s="143" t="s">
        <v>761</v>
      </c>
      <c r="D506" s="143" t="s">
        <v>167</v>
      </c>
      <c r="E506" s="145"/>
      <c r="F506" s="146"/>
      <c r="G506" s="147"/>
      <c r="H506" s="145"/>
      <c r="I506" s="147"/>
      <c r="J506" s="146"/>
      <c r="K506" s="147"/>
      <c r="L506" s="145"/>
      <c r="M506" s="145"/>
      <c r="N506" s="145"/>
      <c r="O506" s="145"/>
      <c r="P506" s="145"/>
      <c r="Q506" s="146"/>
    </row>
    <row r="507" spans="1:17" ht="9.75">
      <c r="A507" s="35" t="s">
        <v>673</v>
      </c>
      <c r="B507" s="35" t="s">
        <v>762</v>
      </c>
      <c r="C507" s="143" t="s">
        <v>763</v>
      </c>
      <c r="D507" s="143" t="s">
        <v>167</v>
      </c>
      <c r="E507" s="145">
        <v>16367449</v>
      </c>
      <c r="F507" s="145">
        <v>16362616</v>
      </c>
      <c r="G507" s="147">
        <v>3786983</v>
      </c>
      <c r="H507" s="145">
        <v>4049525</v>
      </c>
      <c r="I507" s="147"/>
      <c r="J507" s="146"/>
      <c r="K507" s="147"/>
      <c r="L507" s="145"/>
      <c r="M507" s="145"/>
      <c r="N507" s="145"/>
      <c r="O507" s="145"/>
      <c r="P507" s="145"/>
      <c r="Q507" s="146"/>
    </row>
    <row r="508" spans="1:17" ht="9.75">
      <c r="A508" s="35" t="s">
        <v>673</v>
      </c>
      <c r="B508" s="35" t="s">
        <v>764</v>
      </c>
      <c r="C508" s="143" t="s">
        <v>765</v>
      </c>
      <c r="D508" s="143" t="s">
        <v>167</v>
      </c>
      <c r="E508" s="145">
        <v>4283253</v>
      </c>
      <c r="F508" s="145">
        <v>4288961</v>
      </c>
      <c r="G508" s="147">
        <v>215536</v>
      </c>
      <c r="H508" s="145">
        <v>205834</v>
      </c>
      <c r="I508" s="147"/>
      <c r="J508" s="146"/>
      <c r="K508" s="147"/>
      <c r="L508" s="145"/>
      <c r="M508" s="145"/>
      <c r="N508" s="145"/>
      <c r="O508" s="145"/>
      <c r="P508" s="145"/>
      <c r="Q508" s="146"/>
    </row>
    <row r="509" spans="1:17" ht="9.75">
      <c r="A509" s="35" t="s">
        <v>673</v>
      </c>
      <c r="B509" s="35" t="s">
        <v>766</v>
      </c>
      <c r="C509" s="143" t="s">
        <v>767</v>
      </c>
      <c r="D509" s="143" t="s">
        <v>167</v>
      </c>
      <c r="E509" s="145">
        <v>2288284</v>
      </c>
      <c r="F509" s="145">
        <v>2283915</v>
      </c>
      <c r="G509" s="147">
        <v>212944</v>
      </c>
      <c r="H509" s="145">
        <v>219541</v>
      </c>
      <c r="I509" s="147"/>
      <c r="J509" s="146"/>
      <c r="K509" s="147"/>
      <c r="L509" s="145"/>
      <c r="M509" s="145"/>
      <c r="N509" s="145"/>
      <c r="O509" s="145"/>
      <c r="P509" s="145"/>
      <c r="Q509" s="146"/>
    </row>
    <row r="510" spans="1:17" ht="9.75">
      <c r="A510" s="35" t="s">
        <v>673</v>
      </c>
      <c r="B510" s="35" t="s">
        <v>768</v>
      </c>
      <c r="C510" s="143" t="s">
        <v>769</v>
      </c>
      <c r="D510" s="143" t="s">
        <v>167</v>
      </c>
      <c r="E510" s="145">
        <v>7658342</v>
      </c>
      <c r="F510" s="145">
        <v>7631476</v>
      </c>
      <c r="G510" s="147">
        <v>9474948</v>
      </c>
      <c r="H510" s="145">
        <v>10313776</v>
      </c>
      <c r="I510" s="147"/>
      <c r="J510" s="146"/>
      <c r="K510" s="147"/>
      <c r="L510" s="145"/>
      <c r="M510" s="145"/>
      <c r="N510" s="145"/>
      <c r="O510" s="145"/>
      <c r="P510" s="145"/>
      <c r="Q510" s="146"/>
    </row>
    <row r="511" spans="1:17" ht="9.75">
      <c r="A511" s="35" t="s">
        <v>673</v>
      </c>
      <c r="B511" s="35" t="s">
        <v>770</v>
      </c>
      <c r="C511" s="143" t="s">
        <v>771</v>
      </c>
      <c r="D511" s="143" t="s">
        <v>167</v>
      </c>
      <c r="E511" s="145">
        <v>14889975</v>
      </c>
      <c r="F511" s="145">
        <v>14978367</v>
      </c>
      <c r="G511" s="147">
        <v>11020414</v>
      </c>
      <c r="H511" s="145">
        <v>13100916</v>
      </c>
      <c r="I511" s="147"/>
      <c r="J511" s="146"/>
      <c r="K511" s="147"/>
      <c r="L511" s="145"/>
      <c r="M511" s="145"/>
      <c r="N511" s="145"/>
      <c r="O511" s="145"/>
      <c r="P511" s="145"/>
      <c r="Q511" s="146"/>
    </row>
    <row r="512" spans="1:17" ht="9.75">
      <c r="A512" s="35" t="s">
        <v>673</v>
      </c>
      <c r="B512" s="35" t="s">
        <v>772</v>
      </c>
      <c r="C512" s="143" t="s">
        <v>773</v>
      </c>
      <c r="D512" s="143" t="s">
        <v>167</v>
      </c>
      <c r="E512" s="145">
        <v>20337637</v>
      </c>
      <c r="F512" s="145">
        <v>20333900</v>
      </c>
      <c r="G512" s="147">
        <v>13432953</v>
      </c>
      <c r="H512" s="145">
        <v>14654723</v>
      </c>
      <c r="I512" s="147"/>
      <c r="J512" s="146"/>
      <c r="K512" s="147"/>
      <c r="L512" s="145"/>
      <c r="M512" s="145"/>
      <c r="N512" s="145"/>
      <c r="O512" s="145"/>
      <c r="P512" s="145"/>
      <c r="Q512" s="146"/>
    </row>
    <row r="513" spans="1:17" ht="9.75">
      <c r="A513" s="35" t="s">
        <v>673</v>
      </c>
      <c r="B513" s="35" t="s">
        <v>774</v>
      </c>
      <c r="C513" s="143" t="s">
        <v>775</v>
      </c>
      <c r="D513" s="143" t="s">
        <v>167</v>
      </c>
      <c r="E513" s="145"/>
      <c r="F513" s="146"/>
      <c r="G513" s="147"/>
      <c r="H513" s="145"/>
      <c r="I513" s="147"/>
      <c r="J513" s="146"/>
      <c r="K513" s="147"/>
      <c r="L513" s="145"/>
      <c r="M513" s="145"/>
      <c r="N513" s="145"/>
      <c r="O513" s="145"/>
      <c r="P513" s="145"/>
      <c r="Q513" s="146"/>
    </row>
    <row r="514" spans="1:17" ht="9.75">
      <c r="A514" s="35" t="s">
        <v>673</v>
      </c>
      <c r="B514" s="35" t="s">
        <v>776</v>
      </c>
      <c r="C514" s="143" t="s">
        <v>777</v>
      </c>
      <c r="D514" s="143" t="s">
        <v>167</v>
      </c>
      <c r="E514" s="145"/>
      <c r="F514" s="146"/>
      <c r="G514" s="147"/>
      <c r="H514" s="145"/>
      <c r="I514" s="147"/>
      <c r="J514" s="146"/>
      <c r="K514" s="147"/>
      <c r="L514" s="145"/>
      <c r="M514" s="145"/>
      <c r="N514" s="145"/>
      <c r="O514" s="145"/>
      <c r="P514" s="145"/>
      <c r="Q514" s="146"/>
    </row>
    <row r="515" spans="1:17" ht="9.75">
      <c r="A515" s="35" t="s">
        <v>673</v>
      </c>
      <c r="B515" s="35" t="s">
        <v>778</v>
      </c>
      <c r="C515" s="143" t="s">
        <v>779</v>
      </c>
      <c r="D515" s="143" t="s">
        <v>167</v>
      </c>
      <c r="E515" s="145">
        <v>33313142</v>
      </c>
      <c r="F515" s="145">
        <v>33086310</v>
      </c>
      <c r="G515" s="147">
        <v>13783944</v>
      </c>
      <c r="H515" s="145">
        <v>15995177</v>
      </c>
      <c r="I515" s="147"/>
      <c r="J515" s="146"/>
      <c r="K515" s="147"/>
      <c r="L515" s="145"/>
      <c r="M515" s="145"/>
      <c r="N515" s="145"/>
      <c r="O515" s="145"/>
      <c r="P515" s="145"/>
      <c r="Q515" s="146"/>
    </row>
    <row r="516" spans="1:17" ht="9.75">
      <c r="A516" s="35" t="s">
        <v>673</v>
      </c>
      <c r="B516" s="35" t="s">
        <v>780</v>
      </c>
      <c r="C516" s="143" t="s">
        <v>781</v>
      </c>
      <c r="D516" s="143" t="s">
        <v>167</v>
      </c>
      <c r="E516" s="145">
        <v>2503474</v>
      </c>
      <c r="F516" s="145">
        <v>2508250</v>
      </c>
      <c r="G516" s="147">
        <v>882780</v>
      </c>
      <c r="H516" s="145">
        <v>897297</v>
      </c>
      <c r="I516" s="147"/>
      <c r="J516" s="146"/>
      <c r="K516" s="147"/>
      <c r="L516" s="145"/>
      <c r="M516" s="145"/>
      <c r="N516" s="145"/>
      <c r="O516" s="145"/>
      <c r="P516" s="145"/>
      <c r="Q516" s="146"/>
    </row>
    <row r="517" spans="1:17" ht="9.75">
      <c r="A517" s="35" t="s">
        <v>673</v>
      </c>
      <c r="B517" s="35" t="s">
        <v>782</v>
      </c>
      <c r="C517" s="143" t="s">
        <v>783</v>
      </c>
      <c r="D517" s="143" t="s">
        <v>167</v>
      </c>
      <c r="E517" s="145">
        <v>4463811</v>
      </c>
      <c r="F517" s="145">
        <v>4466890</v>
      </c>
      <c r="G517" s="147">
        <v>3632248</v>
      </c>
      <c r="H517" s="145">
        <v>3819921</v>
      </c>
      <c r="I517" s="147"/>
      <c r="J517" s="146"/>
      <c r="K517" s="147"/>
      <c r="L517" s="145"/>
      <c r="M517" s="145"/>
      <c r="N517" s="145"/>
      <c r="O517" s="145"/>
      <c r="P517" s="145"/>
      <c r="Q517" s="146"/>
    </row>
    <row r="518" spans="1:17" ht="9.75">
      <c r="A518" s="35" t="s">
        <v>673</v>
      </c>
      <c r="B518" s="35" t="s">
        <v>784</v>
      </c>
      <c r="C518" s="143" t="s">
        <v>785</v>
      </c>
      <c r="D518" s="143" t="s">
        <v>167</v>
      </c>
      <c r="E518" s="145">
        <v>6426313</v>
      </c>
      <c r="F518" s="145">
        <v>6406294</v>
      </c>
      <c r="G518" s="147">
        <v>2768490</v>
      </c>
      <c r="H518" s="145">
        <v>2868823</v>
      </c>
      <c r="I518" s="147"/>
      <c r="J518" s="146"/>
      <c r="K518" s="147"/>
      <c r="L518" s="145"/>
      <c r="M518" s="145"/>
      <c r="N518" s="145"/>
      <c r="O518" s="145"/>
      <c r="P518" s="145"/>
      <c r="Q518" s="146"/>
    </row>
    <row r="519" spans="1:17" ht="9.75">
      <c r="A519" s="35" t="s">
        <v>673</v>
      </c>
      <c r="B519" s="35" t="s">
        <v>786</v>
      </c>
      <c r="C519" s="143" t="s">
        <v>787</v>
      </c>
      <c r="D519" s="143" t="s">
        <v>167</v>
      </c>
      <c r="E519" s="145">
        <v>5264242</v>
      </c>
      <c r="F519" s="145">
        <v>5246237</v>
      </c>
      <c r="G519" s="147">
        <v>458709</v>
      </c>
      <c r="H519" s="145">
        <v>491621</v>
      </c>
      <c r="I519" s="147"/>
      <c r="J519" s="146"/>
      <c r="K519" s="147"/>
      <c r="L519" s="145"/>
      <c r="M519" s="145"/>
      <c r="N519" s="145"/>
      <c r="O519" s="145"/>
      <c r="P519" s="145"/>
      <c r="Q519" s="146"/>
    </row>
    <row r="520" spans="1:17" ht="9.75">
      <c r="A520" s="35" t="s">
        <v>673</v>
      </c>
      <c r="B520" s="35" t="s">
        <v>788</v>
      </c>
      <c r="C520" s="143" t="s">
        <v>789</v>
      </c>
      <c r="D520" s="143" t="s">
        <v>167</v>
      </c>
      <c r="E520" s="145">
        <v>61795248</v>
      </c>
      <c r="F520" s="145">
        <v>61583124</v>
      </c>
      <c r="G520" s="147">
        <v>27674925</v>
      </c>
      <c r="H520" s="145">
        <v>28543711</v>
      </c>
      <c r="I520" s="147"/>
      <c r="J520" s="146"/>
      <c r="K520" s="147"/>
      <c r="L520" s="145"/>
      <c r="M520" s="145"/>
      <c r="N520" s="145"/>
      <c r="O520" s="145"/>
      <c r="P520" s="145"/>
      <c r="Q520" s="146"/>
    </row>
    <row r="521" spans="1:17" ht="9.75">
      <c r="A521" s="35" t="s">
        <v>673</v>
      </c>
      <c r="B521" s="35" t="s">
        <v>790</v>
      </c>
      <c r="C521" s="143" t="s">
        <v>791</v>
      </c>
      <c r="D521" s="143" t="s">
        <v>167</v>
      </c>
      <c r="E521" s="145">
        <v>9525137</v>
      </c>
      <c r="F521" s="145">
        <v>8019797</v>
      </c>
      <c r="G521" s="147">
        <v>2178512</v>
      </c>
      <c r="H521" s="145">
        <v>2111675</v>
      </c>
      <c r="I521" s="147"/>
      <c r="J521" s="146"/>
      <c r="K521" s="147"/>
      <c r="L521" s="145"/>
      <c r="M521" s="145"/>
      <c r="N521" s="145"/>
      <c r="O521" s="145"/>
      <c r="P521" s="145"/>
      <c r="Q521" s="146"/>
    </row>
    <row r="522" spans="1:17" ht="9.75">
      <c r="A522" s="35" t="s">
        <v>673</v>
      </c>
      <c r="B522" s="35" t="s">
        <v>792</v>
      </c>
      <c r="C522" s="143" t="s">
        <v>793</v>
      </c>
      <c r="D522" s="143" t="s">
        <v>167</v>
      </c>
      <c r="E522" s="145">
        <v>10730393</v>
      </c>
      <c r="F522" s="145">
        <v>10673283</v>
      </c>
      <c r="G522" s="147">
        <v>2764624</v>
      </c>
      <c r="H522" s="145">
        <v>2665224</v>
      </c>
      <c r="I522" s="147"/>
      <c r="J522" s="146"/>
      <c r="K522" s="147"/>
      <c r="L522" s="145"/>
      <c r="M522" s="145"/>
      <c r="N522" s="145"/>
      <c r="O522" s="145"/>
      <c r="P522" s="145"/>
      <c r="Q522" s="146"/>
    </row>
    <row r="523" spans="1:17" ht="9.75">
      <c r="A523" s="35" t="s">
        <v>673</v>
      </c>
      <c r="B523" s="35" t="s">
        <v>794</v>
      </c>
      <c r="C523" s="143" t="s">
        <v>795</v>
      </c>
      <c r="D523" s="143" t="s">
        <v>167</v>
      </c>
      <c r="E523" s="145">
        <v>3900162</v>
      </c>
      <c r="F523" s="145">
        <v>4307537</v>
      </c>
      <c r="G523" s="147"/>
      <c r="H523" s="145"/>
      <c r="I523" s="147"/>
      <c r="J523" s="146"/>
      <c r="K523" s="147"/>
      <c r="L523" s="145"/>
      <c r="M523" s="145"/>
      <c r="N523" s="145"/>
      <c r="O523" s="145"/>
      <c r="P523" s="145"/>
      <c r="Q523" s="146"/>
    </row>
    <row r="524" spans="1:17" ht="9.75">
      <c r="A524" s="35" t="s">
        <v>673</v>
      </c>
      <c r="B524" s="35" t="s">
        <v>796</v>
      </c>
      <c r="C524" s="143" t="s">
        <v>797</v>
      </c>
      <c r="D524" s="143" t="s">
        <v>167</v>
      </c>
      <c r="E524" s="145">
        <v>4146994</v>
      </c>
      <c r="F524" s="145">
        <v>4228378</v>
      </c>
      <c r="G524" s="147"/>
      <c r="H524" s="145"/>
      <c r="I524" s="147"/>
      <c r="J524" s="146"/>
      <c r="K524" s="147"/>
      <c r="L524" s="145"/>
      <c r="M524" s="145"/>
      <c r="N524" s="145"/>
      <c r="O524" s="145"/>
      <c r="P524" s="145"/>
      <c r="Q524" s="146"/>
    </row>
    <row r="525" spans="1:17" ht="9.75">
      <c r="A525" s="35" t="s">
        <v>673</v>
      </c>
      <c r="B525" s="35" t="s">
        <v>798</v>
      </c>
      <c r="C525" s="143" t="s">
        <v>799</v>
      </c>
      <c r="D525" s="143" t="s">
        <v>167</v>
      </c>
      <c r="E525" s="145">
        <v>6546494</v>
      </c>
      <c r="F525" s="145">
        <v>6689545</v>
      </c>
      <c r="G525" s="147"/>
      <c r="H525" s="145"/>
      <c r="I525" s="147"/>
      <c r="J525" s="146"/>
      <c r="K525" s="147"/>
      <c r="L525" s="145"/>
      <c r="M525" s="145"/>
      <c r="N525" s="145"/>
      <c r="O525" s="145"/>
      <c r="P525" s="145"/>
      <c r="Q525" s="146"/>
    </row>
    <row r="526" spans="1:17" ht="9.75">
      <c r="A526" s="35" t="s">
        <v>673</v>
      </c>
      <c r="B526" s="35" t="s">
        <v>800</v>
      </c>
      <c r="C526" s="143" t="s">
        <v>801</v>
      </c>
      <c r="D526" s="143" t="s">
        <v>167</v>
      </c>
      <c r="E526" s="145">
        <v>13130451</v>
      </c>
      <c r="F526" s="145">
        <v>13061370</v>
      </c>
      <c r="G526" s="147">
        <v>5394552</v>
      </c>
      <c r="H526" s="145">
        <v>5594873</v>
      </c>
      <c r="I526" s="147"/>
      <c r="J526" s="146"/>
      <c r="K526" s="147"/>
      <c r="L526" s="145"/>
      <c r="M526" s="145"/>
      <c r="N526" s="145"/>
      <c r="O526" s="145"/>
      <c r="P526" s="145"/>
      <c r="Q526" s="146"/>
    </row>
    <row r="527" spans="1:17" ht="9.75">
      <c r="A527" s="35" t="s">
        <v>673</v>
      </c>
      <c r="B527" s="35" t="s">
        <v>802</v>
      </c>
      <c r="C527" s="143" t="s">
        <v>803</v>
      </c>
      <c r="D527" s="143" t="s">
        <v>167</v>
      </c>
      <c r="E527" s="145">
        <v>11168988</v>
      </c>
      <c r="F527" s="145">
        <v>11176232</v>
      </c>
      <c r="G527" s="147">
        <v>7591970</v>
      </c>
      <c r="H527" s="145">
        <v>8092858</v>
      </c>
      <c r="I527" s="147"/>
      <c r="J527" s="146"/>
      <c r="K527" s="147"/>
      <c r="L527" s="145"/>
      <c r="M527" s="145"/>
      <c r="N527" s="145"/>
      <c r="O527" s="145"/>
      <c r="P527" s="145"/>
      <c r="Q527" s="146"/>
    </row>
    <row r="528" spans="1:17" ht="9.75">
      <c r="A528" s="35" t="s">
        <v>673</v>
      </c>
      <c r="B528" s="35" t="s">
        <v>804</v>
      </c>
      <c r="C528" s="143" t="s">
        <v>805</v>
      </c>
      <c r="D528" s="143" t="s">
        <v>167</v>
      </c>
      <c r="E528" s="145">
        <v>11890184</v>
      </c>
      <c r="F528" s="145">
        <v>11764373</v>
      </c>
      <c r="G528" s="147">
        <v>3040628</v>
      </c>
      <c r="H528" s="145">
        <v>3315165</v>
      </c>
      <c r="I528" s="147"/>
      <c r="J528" s="146"/>
      <c r="K528" s="147"/>
      <c r="L528" s="145"/>
      <c r="M528" s="145"/>
      <c r="N528" s="145"/>
      <c r="O528" s="145"/>
      <c r="P528" s="145"/>
      <c r="Q528" s="146"/>
    </row>
    <row r="529" spans="1:17" ht="9.75">
      <c r="A529" s="35" t="s">
        <v>673</v>
      </c>
      <c r="B529" s="35" t="s">
        <v>806</v>
      </c>
      <c r="C529" s="143" t="s">
        <v>807</v>
      </c>
      <c r="D529" s="143" t="s">
        <v>167</v>
      </c>
      <c r="E529" s="145">
        <v>7025550</v>
      </c>
      <c r="F529" s="145">
        <v>6998817</v>
      </c>
      <c r="G529" s="147">
        <v>3913206</v>
      </c>
      <c r="H529" s="145">
        <v>4266984</v>
      </c>
      <c r="I529" s="147"/>
      <c r="J529" s="146"/>
      <c r="K529" s="147"/>
      <c r="L529" s="145"/>
      <c r="M529" s="145"/>
      <c r="N529" s="145"/>
      <c r="O529" s="145"/>
      <c r="P529" s="145"/>
      <c r="Q529" s="146"/>
    </row>
    <row r="530" spans="1:17" ht="9.75">
      <c r="A530" s="35" t="s">
        <v>673</v>
      </c>
      <c r="B530" s="35" t="s">
        <v>808</v>
      </c>
      <c r="C530" s="143" t="s">
        <v>809</v>
      </c>
      <c r="D530" s="143" t="s">
        <v>167</v>
      </c>
      <c r="E530" s="145"/>
      <c r="F530" s="146"/>
      <c r="G530" s="147"/>
      <c r="H530" s="145"/>
      <c r="I530" s="147"/>
      <c r="J530" s="146"/>
      <c r="K530" s="147"/>
      <c r="L530" s="145"/>
      <c r="M530" s="145"/>
      <c r="N530" s="145"/>
      <c r="O530" s="145"/>
      <c r="P530" s="145"/>
      <c r="Q530" s="146"/>
    </row>
    <row r="531" spans="1:17" ht="9.75">
      <c r="A531" s="35" t="s">
        <v>673</v>
      </c>
      <c r="B531" s="35" t="s">
        <v>810</v>
      </c>
      <c r="C531" s="143" t="s">
        <v>811</v>
      </c>
      <c r="D531" s="143" t="s">
        <v>167</v>
      </c>
      <c r="E531" s="145">
        <v>6663830</v>
      </c>
      <c r="F531" s="145">
        <v>6615676</v>
      </c>
      <c r="G531" s="147">
        <v>1291047</v>
      </c>
      <c r="H531" s="145">
        <v>1288933</v>
      </c>
      <c r="I531" s="147"/>
      <c r="J531" s="146"/>
      <c r="K531" s="147"/>
      <c r="L531" s="145"/>
      <c r="M531" s="145"/>
      <c r="N531" s="145"/>
      <c r="O531" s="145"/>
      <c r="P531" s="145"/>
      <c r="Q531" s="146"/>
    </row>
    <row r="532" spans="1:17" ht="9.75">
      <c r="A532" s="35" t="s">
        <v>673</v>
      </c>
      <c r="B532" s="35" t="s">
        <v>812</v>
      </c>
      <c r="C532" s="143" t="s">
        <v>813</v>
      </c>
      <c r="D532" s="143" t="s">
        <v>167</v>
      </c>
      <c r="E532" s="145">
        <v>5759811</v>
      </c>
      <c r="F532" s="145">
        <v>5760163</v>
      </c>
      <c r="G532" s="147">
        <v>956477</v>
      </c>
      <c r="H532" s="145">
        <v>1006615</v>
      </c>
      <c r="I532" s="147"/>
      <c r="J532" s="146"/>
      <c r="K532" s="147"/>
      <c r="L532" s="145"/>
      <c r="M532" s="145"/>
      <c r="N532" s="145"/>
      <c r="O532" s="145"/>
      <c r="P532" s="145"/>
      <c r="Q532" s="146"/>
    </row>
    <row r="533" spans="1:17" ht="9.75">
      <c r="A533" s="35" t="s">
        <v>673</v>
      </c>
      <c r="B533" s="35" t="s">
        <v>814</v>
      </c>
      <c r="C533" s="143" t="s">
        <v>815</v>
      </c>
      <c r="D533" s="143" t="s">
        <v>167</v>
      </c>
      <c r="E533" s="145">
        <v>27757155</v>
      </c>
      <c r="F533" s="145">
        <v>27914145</v>
      </c>
      <c r="G533" s="147">
        <v>12820177</v>
      </c>
      <c r="H533" s="145">
        <v>13644323</v>
      </c>
      <c r="I533" s="147"/>
      <c r="J533" s="146"/>
      <c r="K533" s="147"/>
      <c r="L533" s="145"/>
      <c r="M533" s="145"/>
      <c r="N533" s="145"/>
      <c r="O533" s="145"/>
      <c r="P533" s="145"/>
      <c r="Q533" s="146"/>
    </row>
    <row r="534" spans="1:17" ht="9.75">
      <c r="A534" s="35" t="s">
        <v>673</v>
      </c>
      <c r="B534" s="35" t="s">
        <v>816</v>
      </c>
      <c r="C534" s="143" t="s">
        <v>817</v>
      </c>
      <c r="D534" s="143" t="s">
        <v>167</v>
      </c>
      <c r="E534" s="145"/>
      <c r="F534" s="146"/>
      <c r="G534" s="147"/>
      <c r="H534" s="145"/>
      <c r="I534" s="147"/>
      <c r="J534" s="146"/>
      <c r="K534" s="147"/>
      <c r="L534" s="145"/>
      <c r="M534" s="145"/>
      <c r="N534" s="145"/>
      <c r="O534" s="145"/>
      <c r="P534" s="145"/>
      <c r="Q534" s="146"/>
    </row>
    <row r="535" spans="1:17" ht="9.75">
      <c r="A535" s="35" t="s">
        <v>673</v>
      </c>
      <c r="B535" s="35" t="s">
        <v>818</v>
      </c>
      <c r="C535" s="143" t="s">
        <v>819</v>
      </c>
      <c r="D535" s="143" t="s">
        <v>167</v>
      </c>
      <c r="E535" s="145">
        <v>4013250</v>
      </c>
      <c r="F535" s="145">
        <v>4061942</v>
      </c>
      <c r="G535" s="147">
        <v>1333265</v>
      </c>
      <c r="H535" s="145">
        <v>1157350</v>
      </c>
      <c r="I535" s="147"/>
      <c r="J535" s="146"/>
      <c r="K535" s="147"/>
      <c r="L535" s="145"/>
      <c r="M535" s="145"/>
      <c r="N535" s="145"/>
      <c r="O535" s="145"/>
      <c r="P535" s="145"/>
      <c r="Q535" s="146"/>
    </row>
    <row r="536" spans="1:17" ht="9.75">
      <c r="A536" s="35" t="s">
        <v>673</v>
      </c>
      <c r="B536" s="35" t="s">
        <v>820</v>
      </c>
      <c r="C536" s="143" t="s">
        <v>821</v>
      </c>
      <c r="D536" s="143" t="s">
        <v>167</v>
      </c>
      <c r="E536" s="145">
        <v>8993249</v>
      </c>
      <c r="F536" s="145">
        <v>8889495</v>
      </c>
      <c r="G536" s="147">
        <v>7694878</v>
      </c>
      <c r="H536" s="145">
        <v>7251493</v>
      </c>
      <c r="I536" s="147"/>
      <c r="J536" s="146"/>
      <c r="K536" s="147"/>
      <c r="L536" s="145"/>
      <c r="M536" s="145"/>
      <c r="N536" s="145"/>
      <c r="O536" s="145"/>
      <c r="P536" s="145"/>
      <c r="Q536" s="146"/>
    </row>
    <row r="537" spans="1:17" ht="9.75">
      <c r="A537" s="35" t="s">
        <v>673</v>
      </c>
      <c r="B537" s="35" t="s">
        <v>822</v>
      </c>
      <c r="C537" s="143" t="s">
        <v>823</v>
      </c>
      <c r="D537" s="143" t="s">
        <v>167</v>
      </c>
      <c r="E537" s="145"/>
      <c r="F537" s="146"/>
      <c r="G537" s="147"/>
      <c r="H537" s="145"/>
      <c r="I537" s="147"/>
      <c r="J537" s="146"/>
      <c r="K537" s="147"/>
      <c r="L537" s="145"/>
      <c r="M537" s="145"/>
      <c r="N537" s="145"/>
      <c r="O537" s="145"/>
      <c r="P537" s="145"/>
      <c r="Q537" s="146"/>
    </row>
    <row r="538" spans="1:17" ht="9.75">
      <c r="A538" s="35" t="s">
        <v>673</v>
      </c>
      <c r="B538" s="35" t="s">
        <v>824</v>
      </c>
      <c r="C538" s="143" t="s">
        <v>825</v>
      </c>
      <c r="D538" s="143" t="s">
        <v>167</v>
      </c>
      <c r="E538" s="145">
        <v>3591853</v>
      </c>
      <c r="F538" s="145">
        <v>3580398</v>
      </c>
      <c r="G538" s="147">
        <v>2491307</v>
      </c>
      <c r="H538" s="145">
        <v>2587938</v>
      </c>
      <c r="I538" s="147"/>
      <c r="J538" s="146"/>
      <c r="K538" s="147"/>
      <c r="L538" s="145"/>
      <c r="M538" s="145"/>
      <c r="N538" s="145"/>
      <c r="O538" s="145"/>
      <c r="P538" s="145"/>
      <c r="Q538" s="146"/>
    </row>
    <row r="539" spans="1:17" ht="9.75">
      <c r="A539" s="35" t="s">
        <v>673</v>
      </c>
      <c r="B539" s="35" t="s">
        <v>826</v>
      </c>
      <c r="C539" s="143" t="s">
        <v>827</v>
      </c>
      <c r="D539" s="143" t="s">
        <v>167</v>
      </c>
      <c r="E539" s="145">
        <v>6016669</v>
      </c>
      <c r="F539" s="145">
        <v>6028476</v>
      </c>
      <c r="G539" s="147">
        <v>1079915</v>
      </c>
      <c r="H539" s="145">
        <v>1184363</v>
      </c>
      <c r="I539" s="147"/>
      <c r="J539" s="146"/>
      <c r="K539" s="147"/>
      <c r="L539" s="145"/>
      <c r="M539" s="145"/>
      <c r="N539" s="145"/>
      <c r="O539" s="145"/>
      <c r="P539" s="145"/>
      <c r="Q539" s="146"/>
    </row>
    <row r="540" spans="1:17" ht="9.75">
      <c r="A540" s="35" t="s">
        <v>673</v>
      </c>
      <c r="B540" s="35" t="s">
        <v>828</v>
      </c>
      <c r="C540" s="143" t="s">
        <v>829</v>
      </c>
      <c r="D540" s="143" t="s">
        <v>167</v>
      </c>
      <c r="E540" s="145">
        <v>2322644</v>
      </c>
      <c r="F540" s="145">
        <v>2322643</v>
      </c>
      <c r="G540" s="147">
        <v>126667</v>
      </c>
      <c r="H540" s="145">
        <v>131757</v>
      </c>
      <c r="I540" s="147"/>
      <c r="J540" s="146"/>
      <c r="K540" s="147"/>
      <c r="L540" s="145"/>
      <c r="M540" s="145"/>
      <c r="N540" s="145"/>
      <c r="O540" s="145"/>
      <c r="P540" s="145"/>
      <c r="Q540" s="146"/>
    </row>
    <row r="541" spans="1:17" ht="9.75">
      <c r="A541" s="35" t="s">
        <v>673</v>
      </c>
      <c r="B541" s="35" t="s">
        <v>830</v>
      </c>
      <c r="C541" s="143" t="s">
        <v>831</v>
      </c>
      <c r="D541" s="143" t="s">
        <v>167</v>
      </c>
      <c r="E541" s="145"/>
      <c r="F541" s="146"/>
      <c r="G541" s="147"/>
      <c r="H541" s="145"/>
      <c r="I541" s="147"/>
      <c r="J541" s="146"/>
      <c r="K541" s="147"/>
      <c r="L541" s="145"/>
      <c r="M541" s="145"/>
      <c r="N541" s="145"/>
      <c r="O541" s="145"/>
      <c r="P541" s="145"/>
      <c r="Q541" s="146"/>
    </row>
    <row r="542" spans="1:17" ht="9.75">
      <c r="A542" s="35" t="s">
        <v>673</v>
      </c>
      <c r="B542" s="152" t="s">
        <v>832</v>
      </c>
      <c r="C542" s="151" t="s">
        <v>733</v>
      </c>
      <c r="D542" s="151" t="s">
        <v>167</v>
      </c>
      <c r="E542" s="145"/>
      <c r="F542" s="146"/>
      <c r="G542" s="147"/>
      <c r="H542" s="145"/>
      <c r="I542" s="147"/>
      <c r="J542" s="146"/>
      <c r="K542" s="147"/>
      <c r="L542" s="145"/>
      <c r="M542" s="145"/>
      <c r="N542" s="145"/>
      <c r="O542" s="145"/>
      <c r="P542" s="145"/>
      <c r="Q542" s="146"/>
    </row>
    <row r="543" spans="1:17" ht="9.75">
      <c r="A543" s="35" t="s">
        <v>673</v>
      </c>
      <c r="B543" s="35" t="s">
        <v>833</v>
      </c>
      <c r="C543" s="143" t="s">
        <v>834</v>
      </c>
      <c r="D543" s="143" t="s">
        <v>167</v>
      </c>
      <c r="E543" s="145">
        <v>30455897</v>
      </c>
      <c r="F543" s="145">
        <v>30430105</v>
      </c>
      <c r="G543" s="147">
        <v>16012563</v>
      </c>
      <c r="H543" s="145">
        <v>18821193</v>
      </c>
      <c r="I543" s="147"/>
      <c r="J543" s="146"/>
      <c r="K543" s="147"/>
      <c r="L543" s="145"/>
      <c r="M543" s="145"/>
      <c r="N543" s="145"/>
      <c r="O543" s="145"/>
      <c r="P543" s="145"/>
      <c r="Q543" s="146"/>
    </row>
    <row r="544" spans="1:17" ht="9.75">
      <c r="A544" s="35" t="s">
        <v>673</v>
      </c>
      <c r="B544" s="35" t="s">
        <v>835</v>
      </c>
      <c r="C544" s="143" t="s">
        <v>836</v>
      </c>
      <c r="D544" s="143" t="s">
        <v>167</v>
      </c>
      <c r="E544" s="145">
        <v>12555591</v>
      </c>
      <c r="F544" s="145">
        <v>12476857</v>
      </c>
      <c r="G544" s="147">
        <v>4752694</v>
      </c>
      <c r="H544" s="145">
        <v>4301335</v>
      </c>
      <c r="I544" s="147"/>
      <c r="J544" s="146"/>
      <c r="K544" s="147"/>
      <c r="L544" s="145"/>
      <c r="M544" s="145"/>
      <c r="N544" s="145"/>
      <c r="O544" s="145"/>
      <c r="P544" s="145"/>
      <c r="Q544" s="146"/>
    </row>
    <row r="545" spans="1:17" ht="9.75">
      <c r="A545" s="35" t="s">
        <v>673</v>
      </c>
      <c r="B545" s="152" t="s">
        <v>837</v>
      </c>
      <c r="C545" s="151" t="s">
        <v>838</v>
      </c>
      <c r="D545" s="151" t="s">
        <v>167</v>
      </c>
      <c r="E545" s="145">
        <v>6134113</v>
      </c>
      <c r="F545" s="145">
        <v>6525556</v>
      </c>
      <c r="G545" s="147"/>
      <c r="H545" s="145"/>
      <c r="I545" s="147"/>
      <c r="J545" s="146"/>
      <c r="K545" s="147"/>
      <c r="L545" s="145"/>
      <c r="M545" s="145"/>
      <c r="N545" s="145"/>
      <c r="O545" s="145"/>
      <c r="P545" s="145"/>
      <c r="Q545" s="146"/>
    </row>
    <row r="546" spans="1:17" ht="9.75">
      <c r="A546" s="35" t="s">
        <v>673</v>
      </c>
      <c r="B546" s="35" t="s">
        <v>839</v>
      </c>
      <c r="C546" s="143" t="s">
        <v>840</v>
      </c>
      <c r="D546" s="143" t="s">
        <v>167</v>
      </c>
      <c r="E546" s="145">
        <v>5674633</v>
      </c>
      <c r="F546" s="145">
        <v>5650037</v>
      </c>
      <c r="G546" s="147">
        <v>366196</v>
      </c>
      <c r="H546" s="145">
        <v>365935</v>
      </c>
      <c r="I546" s="147"/>
      <c r="J546" s="146"/>
      <c r="K546" s="147"/>
      <c r="L546" s="145"/>
      <c r="M546" s="145"/>
      <c r="N546" s="145"/>
      <c r="O546" s="145"/>
      <c r="P546" s="145"/>
      <c r="Q546" s="146"/>
    </row>
    <row r="547" spans="1:17" ht="9.75">
      <c r="A547" s="35" t="s">
        <v>673</v>
      </c>
      <c r="B547" s="35" t="s">
        <v>841</v>
      </c>
      <c r="C547" s="143" t="s">
        <v>842</v>
      </c>
      <c r="D547" s="143" t="s">
        <v>167</v>
      </c>
      <c r="E547" s="145"/>
      <c r="F547" s="146"/>
      <c r="G547" s="147"/>
      <c r="H547" s="145"/>
      <c r="I547" s="147"/>
      <c r="J547" s="146"/>
      <c r="K547" s="147"/>
      <c r="L547" s="145"/>
      <c r="M547" s="145"/>
      <c r="N547" s="145"/>
      <c r="O547" s="145"/>
      <c r="P547" s="145"/>
      <c r="Q547" s="146"/>
    </row>
    <row r="548" spans="1:17" ht="9.75">
      <c r="A548" s="35" t="s">
        <v>673</v>
      </c>
      <c r="B548" s="35" t="s">
        <v>843</v>
      </c>
      <c r="C548" s="143" t="s">
        <v>844</v>
      </c>
      <c r="D548" s="143" t="s">
        <v>167</v>
      </c>
      <c r="E548" s="145">
        <v>37641406</v>
      </c>
      <c r="F548" s="145">
        <v>37301847</v>
      </c>
      <c r="G548" s="147">
        <v>14963454</v>
      </c>
      <c r="H548" s="145">
        <v>16313270</v>
      </c>
      <c r="I548" s="147"/>
      <c r="J548" s="146"/>
      <c r="K548" s="147"/>
      <c r="L548" s="145"/>
      <c r="M548" s="145"/>
      <c r="N548" s="145"/>
      <c r="O548" s="145"/>
      <c r="P548" s="145"/>
      <c r="Q548" s="146"/>
    </row>
    <row r="549" spans="1:17" ht="9.75">
      <c r="A549" s="35" t="s">
        <v>673</v>
      </c>
      <c r="B549" s="35" t="s">
        <v>845</v>
      </c>
      <c r="C549" s="143" t="s">
        <v>846</v>
      </c>
      <c r="D549" s="143" t="s">
        <v>167</v>
      </c>
      <c r="E549" s="145">
        <v>4701488</v>
      </c>
      <c r="F549" s="145">
        <v>4687662</v>
      </c>
      <c r="G549" s="147">
        <v>2785218</v>
      </c>
      <c r="H549" s="145">
        <v>2891119</v>
      </c>
      <c r="I549" s="147"/>
      <c r="J549" s="146"/>
      <c r="K549" s="147"/>
      <c r="L549" s="145"/>
      <c r="M549" s="145"/>
      <c r="N549" s="145"/>
      <c r="O549" s="145"/>
      <c r="P549" s="145"/>
      <c r="Q549" s="146"/>
    </row>
    <row r="550" spans="1:17" ht="9.75">
      <c r="A550" s="35" t="s">
        <v>673</v>
      </c>
      <c r="B550" s="35" t="s">
        <v>847</v>
      </c>
      <c r="C550" s="143" t="s">
        <v>848</v>
      </c>
      <c r="D550" s="143" t="s">
        <v>167</v>
      </c>
      <c r="E550" s="145">
        <v>8475471</v>
      </c>
      <c r="F550" s="145">
        <v>8387764</v>
      </c>
      <c r="G550" s="147">
        <v>581925</v>
      </c>
      <c r="H550" s="145">
        <v>607082</v>
      </c>
      <c r="I550" s="147"/>
      <c r="J550" s="146"/>
      <c r="K550" s="147"/>
      <c r="L550" s="145"/>
      <c r="M550" s="145"/>
      <c r="N550" s="145"/>
      <c r="O550" s="145"/>
      <c r="P550" s="145"/>
      <c r="Q550" s="146"/>
    </row>
    <row r="551" spans="1:17" ht="9.75">
      <c r="A551" s="35" t="s">
        <v>673</v>
      </c>
      <c r="B551" s="35" t="s">
        <v>849</v>
      </c>
      <c r="C551" s="143" t="s">
        <v>850</v>
      </c>
      <c r="D551" s="143" t="s">
        <v>167</v>
      </c>
      <c r="E551" s="145">
        <v>10362929</v>
      </c>
      <c r="F551" s="145">
        <v>10362841</v>
      </c>
      <c r="G551" s="147">
        <v>1938934</v>
      </c>
      <c r="H551" s="145">
        <v>1879329</v>
      </c>
      <c r="I551" s="147"/>
      <c r="J551" s="146"/>
      <c r="K551" s="147"/>
      <c r="L551" s="145"/>
      <c r="M551" s="145"/>
      <c r="N551" s="145"/>
      <c r="O551" s="145"/>
      <c r="P551" s="145"/>
      <c r="Q551" s="146"/>
    </row>
    <row r="552" spans="1:17" ht="9.75">
      <c r="A552" s="35" t="s">
        <v>673</v>
      </c>
      <c r="B552" s="35" t="s">
        <v>851</v>
      </c>
      <c r="C552" s="143" t="s">
        <v>852</v>
      </c>
      <c r="D552" s="143" t="s">
        <v>167</v>
      </c>
      <c r="E552" s="145">
        <v>810830</v>
      </c>
      <c r="F552" s="146"/>
      <c r="G552" s="147"/>
      <c r="H552" s="145"/>
      <c r="I552" s="147"/>
      <c r="J552" s="146"/>
      <c r="K552" s="147"/>
      <c r="L552" s="145"/>
      <c r="M552" s="145"/>
      <c r="N552" s="145"/>
      <c r="O552" s="145"/>
      <c r="P552" s="145"/>
      <c r="Q552" s="146"/>
    </row>
    <row r="553" spans="1:17" ht="9.75">
      <c r="A553" s="35" t="s">
        <v>673</v>
      </c>
      <c r="B553" s="35" t="s">
        <v>853</v>
      </c>
      <c r="C553" s="143" t="s">
        <v>854</v>
      </c>
      <c r="D553" s="143" t="s">
        <v>167</v>
      </c>
      <c r="E553" s="145">
        <v>13480871</v>
      </c>
      <c r="F553" s="145">
        <v>13504635</v>
      </c>
      <c r="G553" s="147"/>
      <c r="H553" s="145"/>
      <c r="I553" s="147"/>
      <c r="J553" s="146"/>
      <c r="K553" s="147"/>
      <c r="L553" s="145"/>
      <c r="M553" s="145"/>
      <c r="N553" s="145"/>
      <c r="O553" s="145"/>
      <c r="P553" s="145"/>
      <c r="Q553" s="146"/>
    </row>
    <row r="554" spans="1:17" ht="9.75">
      <c r="A554" s="35" t="s">
        <v>673</v>
      </c>
      <c r="B554" s="35" t="s">
        <v>855</v>
      </c>
      <c r="C554" s="143" t="s">
        <v>856</v>
      </c>
      <c r="D554" s="143" t="s">
        <v>167</v>
      </c>
      <c r="E554" s="145">
        <v>9046014</v>
      </c>
      <c r="F554" s="145">
        <v>8853406</v>
      </c>
      <c r="G554" s="147"/>
      <c r="H554" s="145"/>
      <c r="I554" s="147"/>
      <c r="J554" s="146"/>
      <c r="K554" s="147"/>
      <c r="L554" s="145"/>
      <c r="M554" s="145"/>
      <c r="N554" s="145"/>
      <c r="O554" s="145"/>
      <c r="P554" s="145"/>
      <c r="Q554" s="146"/>
    </row>
    <row r="555" spans="1:17" ht="9.75">
      <c r="A555" s="35" t="s">
        <v>673</v>
      </c>
      <c r="B555" s="35" t="s">
        <v>857</v>
      </c>
      <c r="C555" s="143" t="s">
        <v>858</v>
      </c>
      <c r="D555" s="143" t="s">
        <v>167</v>
      </c>
      <c r="E555" s="145">
        <v>24705102</v>
      </c>
      <c r="F555" s="145">
        <v>24709941</v>
      </c>
      <c r="G555" s="147"/>
      <c r="H555" s="145"/>
      <c r="I555" s="147"/>
      <c r="J555" s="146"/>
      <c r="K555" s="147"/>
      <c r="L555" s="145"/>
      <c r="M555" s="145"/>
      <c r="N555" s="145"/>
      <c r="O555" s="145"/>
      <c r="P555" s="145"/>
      <c r="Q555" s="146"/>
    </row>
    <row r="556" spans="1:17" ht="9.75">
      <c r="A556" s="35" t="s">
        <v>673</v>
      </c>
      <c r="B556" s="35" t="s">
        <v>859</v>
      </c>
      <c r="C556" s="143" t="s">
        <v>860</v>
      </c>
      <c r="D556" s="143" t="s">
        <v>167</v>
      </c>
      <c r="E556" s="145">
        <v>10125450</v>
      </c>
      <c r="F556" s="145">
        <v>10049074</v>
      </c>
      <c r="G556" s="147">
        <v>2340549</v>
      </c>
      <c r="H556" s="145">
        <v>2419987</v>
      </c>
      <c r="I556" s="147"/>
      <c r="J556" s="146"/>
      <c r="K556" s="147"/>
      <c r="L556" s="145"/>
      <c r="M556" s="145"/>
      <c r="N556" s="145"/>
      <c r="O556" s="145"/>
      <c r="P556" s="145"/>
      <c r="Q556" s="146"/>
    </row>
    <row r="557" spans="1:17" ht="9.75">
      <c r="A557" s="35" t="s">
        <v>673</v>
      </c>
      <c r="B557" s="35" t="s">
        <v>861</v>
      </c>
      <c r="C557" s="143" t="s">
        <v>862</v>
      </c>
      <c r="D557" s="143" t="s">
        <v>167</v>
      </c>
      <c r="E557" s="145">
        <v>14195001</v>
      </c>
      <c r="F557" s="145">
        <v>14177428</v>
      </c>
      <c r="G557" s="147">
        <v>5532528</v>
      </c>
      <c r="H557" s="145">
        <v>5711450</v>
      </c>
      <c r="I557" s="147"/>
      <c r="J557" s="146"/>
      <c r="K557" s="147"/>
      <c r="L557" s="145"/>
      <c r="M557" s="145"/>
      <c r="N557" s="145"/>
      <c r="O557" s="145"/>
      <c r="P557" s="145"/>
      <c r="Q557" s="146"/>
    </row>
    <row r="558" spans="1:17" ht="9.75">
      <c r="A558" s="35" t="s">
        <v>673</v>
      </c>
      <c r="B558" s="35" t="s">
        <v>863</v>
      </c>
      <c r="C558" s="143" t="s">
        <v>864</v>
      </c>
      <c r="D558" s="143" t="s">
        <v>167</v>
      </c>
      <c r="E558" s="145">
        <v>3850711</v>
      </c>
      <c r="F558" s="145">
        <v>3866191</v>
      </c>
      <c r="G558" s="147">
        <v>1697035</v>
      </c>
      <c r="H558" s="145">
        <v>1729293</v>
      </c>
      <c r="I558" s="147"/>
      <c r="J558" s="146"/>
      <c r="K558" s="147"/>
      <c r="L558" s="145"/>
      <c r="M558" s="145"/>
      <c r="N558" s="145"/>
      <c r="O558" s="145"/>
      <c r="P558" s="145"/>
      <c r="Q558" s="146"/>
    </row>
    <row r="559" spans="1:17" ht="9.75">
      <c r="A559" s="35" t="s">
        <v>673</v>
      </c>
      <c r="B559" s="35" t="s">
        <v>865</v>
      </c>
      <c r="C559" s="143" t="s">
        <v>866</v>
      </c>
      <c r="D559" s="143" t="s">
        <v>167</v>
      </c>
      <c r="E559" s="145">
        <v>6654465</v>
      </c>
      <c r="F559" s="145">
        <v>6675821</v>
      </c>
      <c r="G559" s="147">
        <v>2837620</v>
      </c>
      <c r="H559" s="145">
        <v>3013319</v>
      </c>
      <c r="I559" s="147"/>
      <c r="J559" s="146"/>
      <c r="K559" s="147"/>
      <c r="L559" s="145"/>
      <c r="M559" s="145"/>
      <c r="N559" s="145"/>
      <c r="O559" s="145"/>
      <c r="P559" s="145"/>
      <c r="Q559" s="146"/>
    </row>
    <row r="560" spans="1:17" ht="9.75">
      <c r="A560" s="35" t="s">
        <v>673</v>
      </c>
      <c r="B560" s="35" t="s">
        <v>867</v>
      </c>
      <c r="C560" s="143" t="s">
        <v>868</v>
      </c>
      <c r="D560" s="143" t="s">
        <v>167</v>
      </c>
      <c r="E560" s="145">
        <v>4478908</v>
      </c>
      <c r="F560" s="145">
        <v>4484579</v>
      </c>
      <c r="G560" s="147">
        <v>1123827</v>
      </c>
      <c r="H560" s="145">
        <v>1185407</v>
      </c>
      <c r="I560" s="147"/>
      <c r="J560" s="146"/>
      <c r="K560" s="147"/>
      <c r="L560" s="145"/>
      <c r="M560" s="145"/>
      <c r="N560" s="145"/>
      <c r="O560" s="145"/>
      <c r="P560" s="145"/>
      <c r="Q560" s="146"/>
    </row>
    <row r="561" spans="1:17" ht="9.75">
      <c r="A561" s="35" t="s">
        <v>673</v>
      </c>
      <c r="B561" s="35" t="s">
        <v>869</v>
      </c>
      <c r="C561" s="143" t="s">
        <v>870</v>
      </c>
      <c r="D561" s="143" t="s">
        <v>167</v>
      </c>
      <c r="E561" s="145">
        <v>3220000</v>
      </c>
      <c r="F561" s="145">
        <v>3165330</v>
      </c>
      <c r="G561" s="147">
        <v>1952818</v>
      </c>
      <c r="H561" s="145">
        <v>1876069</v>
      </c>
      <c r="I561" s="147"/>
      <c r="J561" s="146"/>
      <c r="K561" s="147"/>
      <c r="L561" s="145"/>
      <c r="M561" s="145"/>
      <c r="N561" s="145"/>
      <c r="O561" s="145"/>
      <c r="P561" s="145"/>
      <c r="Q561" s="146"/>
    </row>
    <row r="562" spans="1:17" ht="9.75">
      <c r="A562" s="35" t="s">
        <v>673</v>
      </c>
      <c r="B562" s="35" t="s">
        <v>871</v>
      </c>
      <c r="C562" s="143" t="s">
        <v>872</v>
      </c>
      <c r="D562" s="143" t="s">
        <v>167</v>
      </c>
      <c r="E562" s="145">
        <v>7102545</v>
      </c>
      <c r="F562" s="145">
        <v>7053817</v>
      </c>
      <c r="G562" s="147">
        <v>2705216</v>
      </c>
      <c r="H562" s="145">
        <v>2764356</v>
      </c>
      <c r="I562" s="147"/>
      <c r="J562" s="146"/>
      <c r="K562" s="147"/>
      <c r="L562" s="145"/>
      <c r="M562" s="145"/>
      <c r="N562" s="145"/>
      <c r="O562" s="145"/>
      <c r="P562" s="145"/>
      <c r="Q562" s="146"/>
    </row>
    <row r="563" spans="1:17" ht="9.75">
      <c r="A563" s="35" t="s">
        <v>673</v>
      </c>
      <c r="B563" s="145" t="s">
        <v>967</v>
      </c>
      <c r="C563" s="35"/>
      <c r="D563" s="165" t="s">
        <v>167</v>
      </c>
      <c r="E563" s="145">
        <v>75360868</v>
      </c>
      <c r="F563" s="145">
        <v>74563465</v>
      </c>
      <c r="G563" s="147">
        <v>39108145</v>
      </c>
      <c r="H563" s="145">
        <v>41485328</v>
      </c>
      <c r="I563" s="147"/>
      <c r="J563" s="146"/>
      <c r="K563" s="147"/>
      <c r="L563" s="145"/>
      <c r="M563" s="145"/>
      <c r="N563" s="145"/>
      <c r="O563" s="145"/>
      <c r="P563" s="145"/>
      <c r="Q563" s="146"/>
    </row>
    <row r="564" spans="1:17" ht="9.75">
      <c r="A564" s="35" t="s">
        <v>673</v>
      </c>
      <c r="B564" s="145" t="s">
        <v>968</v>
      </c>
      <c r="C564" s="35"/>
      <c r="D564" s="165" t="s">
        <v>167</v>
      </c>
      <c r="E564" s="145">
        <v>52521388</v>
      </c>
      <c r="F564" s="145">
        <v>52711887</v>
      </c>
      <c r="G564" s="147">
        <v>28323991</v>
      </c>
      <c r="H564" s="145">
        <v>31183357</v>
      </c>
      <c r="I564" s="147"/>
      <c r="J564" s="146"/>
      <c r="K564" s="147"/>
      <c r="L564" s="145"/>
      <c r="M564" s="145"/>
      <c r="N564" s="145"/>
      <c r="O564" s="145"/>
      <c r="P564" s="145"/>
      <c r="Q564" s="146"/>
    </row>
    <row r="565" spans="1:17" ht="9.75">
      <c r="A565" s="35" t="s">
        <v>673</v>
      </c>
      <c r="B565" s="35" t="s">
        <v>873</v>
      </c>
      <c r="C565" s="143" t="s">
        <v>874</v>
      </c>
      <c r="D565" s="143" t="s">
        <v>269</v>
      </c>
      <c r="E565" s="145"/>
      <c r="F565" s="146"/>
      <c r="G565" s="147"/>
      <c r="H565" s="145"/>
      <c r="I565" s="39"/>
      <c r="J565" s="36"/>
      <c r="K565" s="39"/>
      <c r="L565" s="35"/>
      <c r="M565" s="35"/>
      <c r="N565" s="35"/>
      <c r="O565" s="35"/>
      <c r="P565" s="35"/>
      <c r="Q565" s="36"/>
    </row>
    <row r="566" spans="1:17" ht="9.75">
      <c r="A566" s="35" t="s">
        <v>673</v>
      </c>
      <c r="B566" s="35" t="s">
        <v>873</v>
      </c>
      <c r="C566" s="143" t="s">
        <v>795</v>
      </c>
      <c r="D566" s="143" t="s">
        <v>269</v>
      </c>
      <c r="E566" s="145"/>
      <c r="F566" s="146"/>
      <c r="G566" s="147"/>
      <c r="H566" s="145"/>
      <c r="I566" s="39"/>
      <c r="J566" s="145">
        <v>71722718</v>
      </c>
      <c r="K566" s="39"/>
      <c r="L566" s="35"/>
      <c r="M566" s="35"/>
      <c r="N566" s="35"/>
      <c r="O566" s="35"/>
      <c r="P566" s="35"/>
      <c r="Q566" s="36"/>
    </row>
    <row r="567" spans="1:17" ht="9.75">
      <c r="A567" s="35" t="s">
        <v>673</v>
      </c>
      <c r="B567" s="35" t="s">
        <v>876</v>
      </c>
      <c r="C567" s="143" t="s">
        <v>874</v>
      </c>
      <c r="D567" s="143" t="s">
        <v>269</v>
      </c>
      <c r="E567" s="145"/>
      <c r="F567" s="146"/>
      <c r="G567" s="147"/>
      <c r="H567" s="145"/>
      <c r="I567" s="147"/>
      <c r="J567" s="146"/>
      <c r="K567" s="147"/>
      <c r="L567" s="145"/>
      <c r="M567" s="145"/>
      <c r="N567" s="145"/>
      <c r="O567" s="145"/>
      <c r="P567" s="145"/>
      <c r="Q567" s="146"/>
    </row>
    <row r="568" spans="1:17" ht="9.75">
      <c r="A568" s="35" t="s">
        <v>673</v>
      </c>
      <c r="B568" s="35" t="s">
        <v>876</v>
      </c>
      <c r="C568" s="143" t="s">
        <v>877</v>
      </c>
      <c r="D568" s="143" t="s">
        <v>269</v>
      </c>
      <c r="E568" s="145"/>
      <c r="F568" s="146"/>
      <c r="G568" s="147"/>
      <c r="H568" s="145"/>
      <c r="I568" s="147"/>
      <c r="J568" s="145">
        <v>132170536</v>
      </c>
      <c r="K568" s="147"/>
      <c r="L568" s="145"/>
      <c r="M568" s="145"/>
      <c r="N568" s="145"/>
      <c r="O568" s="145"/>
      <c r="P568" s="145"/>
      <c r="Q568" s="146"/>
    </row>
    <row r="569" spans="1:17" ht="9.75">
      <c r="A569" s="35" t="s">
        <v>673</v>
      </c>
      <c r="B569" s="35" t="s">
        <v>878</v>
      </c>
      <c r="C569" s="143" t="s">
        <v>874</v>
      </c>
      <c r="D569" s="143" t="s">
        <v>269</v>
      </c>
      <c r="E569" s="145"/>
      <c r="F569" s="146"/>
      <c r="G569" s="147"/>
      <c r="H569" s="145"/>
      <c r="I569" s="147"/>
      <c r="J569" s="146"/>
      <c r="K569" s="147"/>
      <c r="L569" s="145"/>
      <c r="M569" s="145"/>
      <c r="N569" s="145"/>
      <c r="O569" s="145"/>
      <c r="P569" s="145"/>
      <c r="Q569" s="146"/>
    </row>
    <row r="570" spans="1:17" ht="9.75">
      <c r="A570" s="35" t="s">
        <v>673</v>
      </c>
      <c r="B570" s="35" t="s">
        <v>878</v>
      </c>
      <c r="C570" s="143" t="s">
        <v>879</v>
      </c>
      <c r="D570" s="143" t="s">
        <v>269</v>
      </c>
      <c r="E570" s="145"/>
      <c r="F570" s="146"/>
      <c r="G570" s="147"/>
      <c r="H570" s="145"/>
      <c r="I570" s="147"/>
      <c r="J570" s="145">
        <v>125165312</v>
      </c>
      <c r="K570" s="147"/>
      <c r="L570" s="145"/>
      <c r="M570" s="145"/>
      <c r="N570" s="145"/>
      <c r="O570" s="145"/>
      <c r="P570" s="145"/>
      <c r="Q570" s="146"/>
    </row>
    <row r="571" spans="1:17" ht="9.75">
      <c r="A571" s="35" t="s">
        <v>673</v>
      </c>
      <c r="B571" s="35" t="s">
        <v>880</v>
      </c>
      <c r="C571" s="143" t="s">
        <v>874</v>
      </c>
      <c r="D571" s="143" t="s">
        <v>269</v>
      </c>
      <c r="E571" s="145"/>
      <c r="F571" s="146"/>
      <c r="G571" s="147"/>
      <c r="H571" s="145"/>
      <c r="I571" s="147"/>
      <c r="J571" s="146"/>
      <c r="K571" s="147"/>
      <c r="L571" s="145"/>
      <c r="M571" s="145"/>
      <c r="N571" s="145"/>
      <c r="O571" s="145"/>
      <c r="P571" s="145"/>
      <c r="Q571" s="146"/>
    </row>
    <row r="572" spans="1:17" ht="9.75">
      <c r="A572" s="35" t="s">
        <v>673</v>
      </c>
      <c r="B572" s="35" t="s">
        <v>880</v>
      </c>
      <c r="C572" s="143" t="s">
        <v>881</v>
      </c>
      <c r="D572" s="143" t="s">
        <v>269</v>
      </c>
      <c r="E572" s="145"/>
      <c r="F572" s="146"/>
      <c r="G572" s="147"/>
      <c r="H572" s="145"/>
      <c r="I572" s="147"/>
      <c r="J572" s="145">
        <v>259565101</v>
      </c>
      <c r="K572" s="147"/>
      <c r="L572" s="145"/>
      <c r="M572" s="145"/>
      <c r="N572" s="145"/>
      <c r="O572" s="145"/>
      <c r="P572" s="145"/>
      <c r="Q572" s="146"/>
    </row>
    <row r="573" spans="1:17" ht="9.75">
      <c r="A573" s="35" t="s">
        <v>673</v>
      </c>
      <c r="B573" s="35" t="s">
        <v>882</v>
      </c>
      <c r="C573" s="143" t="s">
        <v>874</v>
      </c>
      <c r="D573" s="143" t="s">
        <v>269</v>
      </c>
      <c r="E573" s="145"/>
      <c r="F573" s="146"/>
      <c r="G573" s="147"/>
      <c r="H573" s="145"/>
      <c r="I573" s="147"/>
      <c r="J573" s="146"/>
      <c r="K573" s="147"/>
      <c r="L573" s="145"/>
      <c r="M573" s="145"/>
      <c r="N573" s="145"/>
      <c r="O573" s="145"/>
      <c r="P573" s="145"/>
      <c r="Q573" s="146"/>
    </row>
    <row r="574" spans="1:17" ht="9.75">
      <c r="A574" s="35" t="s">
        <v>673</v>
      </c>
      <c r="B574" s="35" t="s">
        <v>882</v>
      </c>
      <c r="C574" s="143" t="s">
        <v>883</v>
      </c>
      <c r="D574" s="143" t="s">
        <v>269</v>
      </c>
      <c r="E574" s="145"/>
      <c r="F574" s="36"/>
      <c r="G574" s="147"/>
      <c r="H574" s="145"/>
      <c r="I574" s="147"/>
      <c r="J574" s="145">
        <v>94404224</v>
      </c>
      <c r="K574" s="147"/>
      <c r="L574" s="145"/>
      <c r="M574" s="145"/>
      <c r="N574" s="145"/>
      <c r="O574" s="145"/>
      <c r="P574" s="145"/>
      <c r="Q574" s="146"/>
    </row>
    <row r="575" spans="1:17" ht="9.75">
      <c r="A575" s="35" t="s">
        <v>673</v>
      </c>
      <c r="B575" s="35" t="s">
        <v>884</v>
      </c>
      <c r="C575" s="143" t="s">
        <v>874</v>
      </c>
      <c r="D575" s="143" t="s">
        <v>269</v>
      </c>
      <c r="E575" s="145"/>
      <c r="F575" s="146"/>
      <c r="G575" s="147"/>
      <c r="H575" s="145"/>
      <c r="I575" s="147"/>
      <c r="J575" s="146"/>
      <c r="K575" s="147"/>
      <c r="L575" s="145"/>
      <c r="M575" s="145"/>
      <c r="N575" s="145"/>
      <c r="O575" s="145"/>
      <c r="P575" s="145"/>
      <c r="Q575" s="146"/>
    </row>
    <row r="576" spans="1:17" ht="9.75">
      <c r="A576" s="35" t="s">
        <v>673</v>
      </c>
      <c r="B576" s="35" t="s">
        <v>884</v>
      </c>
      <c r="C576" s="143" t="s">
        <v>885</v>
      </c>
      <c r="D576" s="143" t="s">
        <v>269</v>
      </c>
      <c r="E576" s="145"/>
      <c r="F576" s="36"/>
      <c r="G576" s="147"/>
      <c r="H576" s="145"/>
      <c r="I576" s="147"/>
      <c r="J576" s="145">
        <v>37963897</v>
      </c>
      <c r="K576" s="147"/>
      <c r="L576" s="145"/>
      <c r="M576" s="145"/>
      <c r="N576" s="145"/>
      <c r="O576" s="145"/>
      <c r="P576" s="145"/>
      <c r="Q576" s="146"/>
    </row>
    <row r="577" spans="1:17" ht="9.75">
      <c r="A577" s="35" t="s">
        <v>673</v>
      </c>
      <c r="B577" s="145" t="s">
        <v>969</v>
      </c>
      <c r="C577" s="35"/>
      <c r="D577" s="36"/>
      <c r="E577" s="145"/>
      <c r="F577" s="36"/>
      <c r="G577" s="147"/>
      <c r="H577" s="145"/>
      <c r="I577" s="147"/>
      <c r="J577" s="35">
        <v>14066474</v>
      </c>
      <c r="K577" s="147"/>
      <c r="L577" s="145"/>
      <c r="M577" s="145"/>
      <c r="N577" s="145"/>
      <c r="O577" s="145"/>
      <c r="P577" s="145"/>
      <c r="Q577" s="146"/>
    </row>
    <row r="578" spans="1:17" ht="9.75">
      <c r="A578" s="35"/>
      <c r="B578" s="35"/>
      <c r="C578" s="35"/>
      <c r="D578" s="36"/>
      <c r="E578" s="145"/>
      <c r="F578" s="36"/>
      <c r="G578" s="147"/>
      <c r="H578" s="145"/>
      <c r="I578" s="147"/>
      <c r="J578" s="146"/>
      <c r="K578" s="147"/>
      <c r="L578" s="145"/>
      <c r="M578" s="145"/>
      <c r="N578" s="145"/>
      <c r="O578" s="145"/>
      <c r="P578" s="145"/>
      <c r="Q578" s="146"/>
    </row>
    <row r="579" spans="1:17" ht="9.75">
      <c r="A579" s="35"/>
      <c r="B579" s="35"/>
      <c r="C579" s="35"/>
      <c r="D579" s="36"/>
      <c r="E579" s="145"/>
      <c r="F579" s="36"/>
      <c r="G579" s="147"/>
      <c r="H579" s="145"/>
      <c r="I579" s="147"/>
      <c r="J579" s="146"/>
      <c r="K579" s="147"/>
      <c r="L579" s="145"/>
      <c r="M579" s="145"/>
      <c r="N579" s="145"/>
      <c r="O579" s="145"/>
      <c r="P579" s="145"/>
      <c r="Q579" s="146"/>
    </row>
    <row r="580" spans="1:17" ht="9.75">
      <c r="A580" s="35"/>
      <c r="B580" s="35"/>
      <c r="C580" s="35"/>
      <c r="D580" s="36"/>
      <c r="E580" s="145"/>
      <c r="F580" s="36"/>
      <c r="G580" s="147"/>
      <c r="H580" s="145"/>
      <c r="I580" s="147"/>
      <c r="J580" s="146"/>
      <c r="K580" s="147"/>
      <c r="L580" s="145"/>
      <c r="M580" s="145"/>
      <c r="N580" s="145"/>
      <c r="O580" s="145"/>
      <c r="P580" s="145"/>
      <c r="Q580" s="146"/>
    </row>
    <row r="581" spans="1:17" ht="9.75">
      <c r="A581" s="35"/>
      <c r="B581" s="35"/>
      <c r="C581" s="35"/>
      <c r="D581" s="36"/>
      <c r="E581" s="145"/>
      <c r="F581" s="36"/>
      <c r="G581" s="147"/>
      <c r="H581" s="145"/>
      <c r="I581" s="147"/>
      <c r="J581" s="146"/>
      <c r="K581" s="147"/>
      <c r="L581" s="145"/>
      <c r="M581" s="145"/>
      <c r="N581" s="145"/>
      <c r="O581" s="145"/>
      <c r="P581" s="145"/>
      <c r="Q581" s="146"/>
    </row>
    <row r="582" spans="1:17" ht="9.75">
      <c r="A582" s="35"/>
      <c r="B582" s="35"/>
      <c r="C582" s="35"/>
      <c r="D582" s="36"/>
      <c r="E582" s="145"/>
      <c r="F582" s="36"/>
      <c r="G582" s="147"/>
      <c r="H582" s="145"/>
      <c r="I582" s="147"/>
      <c r="J582" s="146"/>
      <c r="K582" s="147"/>
      <c r="L582" s="145"/>
      <c r="M582" s="145"/>
      <c r="N582" s="145"/>
      <c r="O582" s="145"/>
      <c r="P582" s="145"/>
      <c r="Q582" s="146"/>
    </row>
    <row r="583" spans="1:17" ht="9.75">
      <c r="A583" s="35"/>
      <c r="B583" s="35"/>
      <c r="C583" s="35"/>
      <c r="D583" s="36"/>
      <c r="E583" s="145"/>
      <c r="F583" s="36"/>
      <c r="G583" s="147"/>
      <c r="H583" s="145"/>
      <c r="I583" s="147"/>
      <c r="J583" s="146"/>
      <c r="K583" s="147"/>
      <c r="L583" s="145"/>
      <c r="M583" s="145"/>
      <c r="N583" s="145"/>
      <c r="O583" s="145"/>
      <c r="P583" s="145"/>
      <c r="Q583" s="146"/>
    </row>
    <row r="584" spans="1:17" ht="9.75">
      <c r="A584" s="35"/>
      <c r="B584" s="35"/>
      <c r="C584" s="35"/>
      <c r="D584" s="36"/>
      <c r="E584" s="145"/>
      <c r="F584" s="36"/>
      <c r="G584" s="147"/>
      <c r="H584" s="145"/>
      <c r="I584" s="147"/>
      <c r="J584" s="146"/>
      <c r="K584" s="147"/>
      <c r="L584" s="145"/>
      <c r="M584" s="145"/>
      <c r="N584" s="145"/>
      <c r="O584" s="145"/>
      <c r="P584" s="145"/>
      <c r="Q584" s="146"/>
    </row>
    <row r="585" spans="1:17" ht="9.75">
      <c r="A585" s="35"/>
      <c r="B585" s="35"/>
      <c r="C585" s="35"/>
      <c r="D585" s="36"/>
      <c r="E585" s="145"/>
      <c r="F585" s="36"/>
      <c r="G585" s="147"/>
      <c r="H585" s="145"/>
      <c r="I585" s="147"/>
      <c r="J585" s="146"/>
      <c r="K585" s="147"/>
      <c r="L585" s="145"/>
      <c r="M585" s="145"/>
      <c r="N585" s="145"/>
      <c r="O585" s="145"/>
      <c r="P585" s="145"/>
      <c r="Q585" s="146"/>
    </row>
    <row r="586" spans="1:17" ht="9.75">
      <c r="A586" s="35"/>
      <c r="B586" s="35"/>
      <c r="C586" s="35"/>
      <c r="D586" s="36"/>
      <c r="E586" s="145"/>
      <c r="F586" s="36"/>
      <c r="G586" s="147"/>
      <c r="H586" s="145"/>
      <c r="I586" s="147"/>
      <c r="J586" s="146"/>
      <c r="K586" s="147"/>
      <c r="L586" s="145"/>
      <c r="M586" s="145"/>
      <c r="N586" s="145"/>
      <c r="O586" s="145"/>
      <c r="P586" s="145"/>
      <c r="Q586" s="146"/>
    </row>
    <row r="587" spans="1:17" ht="9.75">
      <c r="A587" s="35"/>
      <c r="B587" s="35"/>
      <c r="C587" s="35"/>
      <c r="D587" s="36"/>
      <c r="E587" s="145"/>
      <c r="F587" s="36"/>
      <c r="G587" s="147"/>
      <c r="H587" s="145"/>
      <c r="I587" s="147"/>
      <c r="J587" s="146"/>
      <c r="K587" s="147"/>
      <c r="L587" s="145"/>
      <c r="M587" s="145"/>
      <c r="N587" s="145"/>
      <c r="O587" s="145"/>
      <c r="P587" s="145"/>
      <c r="Q587" s="146"/>
    </row>
    <row r="588" spans="1:17" ht="9.75">
      <c r="A588" s="35"/>
      <c r="B588" s="35"/>
      <c r="C588" s="35"/>
      <c r="D588" s="36"/>
      <c r="E588" s="145"/>
      <c r="F588" s="36"/>
      <c r="G588" s="147"/>
      <c r="H588" s="145"/>
      <c r="I588" s="147"/>
      <c r="J588" s="146"/>
      <c r="K588" s="147"/>
      <c r="L588" s="145"/>
      <c r="M588" s="145"/>
      <c r="N588" s="145"/>
      <c r="O588" s="145"/>
      <c r="P588" s="145"/>
      <c r="Q588" s="146"/>
    </row>
    <row r="589" spans="1:17" ht="9.75">
      <c r="A589" s="35"/>
      <c r="B589" s="35"/>
      <c r="C589" s="35"/>
      <c r="D589" s="36"/>
      <c r="E589" s="145"/>
      <c r="F589" s="36"/>
      <c r="G589" s="147"/>
      <c r="H589" s="145"/>
      <c r="I589" s="147"/>
      <c r="J589" s="146"/>
      <c r="K589" s="147"/>
      <c r="L589" s="145"/>
      <c r="M589" s="145"/>
      <c r="N589" s="145"/>
      <c r="O589" s="145"/>
      <c r="P589" s="145"/>
      <c r="Q589" s="146"/>
    </row>
    <row r="590" spans="1:17" ht="9.75">
      <c r="A590" s="35"/>
      <c r="B590" s="35"/>
      <c r="C590" s="35"/>
      <c r="D590" s="36"/>
      <c r="E590" s="145"/>
      <c r="F590" s="36"/>
      <c r="G590" s="147"/>
      <c r="H590" s="145"/>
      <c r="I590" s="147"/>
      <c r="J590" s="146"/>
      <c r="K590" s="147"/>
      <c r="L590" s="145"/>
      <c r="M590" s="145"/>
      <c r="N590" s="145"/>
      <c r="O590" s="145"/>
      <c r="P590" s="145"/>
      <c r="Q590" s="146"/>
    </row>
    <row r="591" spans="1:17" ht="9.75">
      <c r="A591" s="35"/>
      <c r="B591" s="35"/>
      <c r="C591" s="35"/>
      <c r="D591" s="36"/>
      <c r="E591" s="145"/>
      <c r="F591" s="36"/>
      <c r="G591" s="147"/>
      <c r="H591" s="145"/>
      <c r="I591" s="147"/>
      <c r="J591" s="146"/>
      <c r="K591" s="147"/>
      <c r="L591" s="145"/>
      <c r="M591" s="145"/>
      <c r="N591" s="145"/>
      <c r="O591" s="145"/>
      <c r="P591" s="145"/>
      <c r="Q591" s="146"/>
    </row>
    <row r="592" spans="1:17" ht="9.75">
      <c r="A592" s="35" t="s">
        <v>887</v>
      </c>
      <c r="B592" s="35" t="s">
        <v>888</v>
      </c>
      <c r="C592" s="143">
        <v>234076</v>
      </c>
      <c r="D592" s="35">
        <v>1</v>
      </c>
      <c r="E592" s="145">
        <v>86779841</v>
      </c>
      <c r="F592" s="146">
        <v>98179203</v>
      </c>
      <c r="G592" s="147"/>
      <c r="H592" s="145"/>
      <c r="I592" s="147"/>
      <c r="J592" s="145">
        <v>17500276</v>
      </c>
      <c r="K592" s="147"/>
      <c r="L592" s="145"/>
      <c r="M592" s="145"/>
      <c r="N592" s="145"/>
      <c r="O592" s="145"/>
      <c r="P592" s="145"/>
      <c r="Q592" s="145"/>
    </row>
    <row r="593" spans="1:17" ht="9.75">
      <c r="A593" s="35" t="s">
        <v>887</v>
      </c>
      <c r="B593" s="35" t="s">
        <v>889</v>
      </c>
      <c r="C593" s="143">
        <v>233921</v>
      </c>
      <c r="D593" s="35">
        <v>1</v>
      </c>
      <c r="E593" s="145">
        <v>103565591</v>
      </c>
      <c r="F593" s="146">
        <v>118933421</v>
      </c>
      <c r="G593" s="147"/>
      <c r="H593" s="145"/>
      <c r="I593" s="147">
        <v>8542546</v>
      </c>
      <c r="J593" s="145"/>
      <c r="K593" s="147"/>
      <c r="L593" s="145"/>
      <c r="M593" s="145">
        <v>23276722</v>
      </c>
      <c r="N593" s="145">
        <v>20923119</v>
      </c>
      <c r="O593" s="145"/>
      <c r="P593" s="145"/>
      <c r="Q593" s="145"/>
    </row>
    <row r="594" spans="1:17" ht="9.75">
      <c r="A594" s="35" t="s">
        <v>887</v>
      </c>
      <c r="B594" s="35" t="s">
        <v>890</v>
      </c>
      <c r="C594" s="143">
        <v>231624</v>
      </c>
      <c r="D594" s="35">
        <v>2</v>
      </c>
      <c r="E594" s="145">
        <v>27626750</v>
      </c>
      <c r="F594" s="146">
        <v>30825835</v>
      </c>
      <c r="G594" s="147"/>
      <c r="H594" s="145"/>
      <c r="I594" s="147"/>
      <c r="J594" s="145"/>
      <c r="K594" s="147"/>
      <c r="L594" s="145"/>
      <c r="M594" s="145"/>
      <c r="N594" s="145"/>
      <c r="O594" s="145"/>
      <c r="P594" s="145">
        <v>12090551</v>
      </c>
      <c r="Q594" s="145"/>
    </row>
    <row r="595" spans="1:17" ht="9.75">
      <c r="A595" s="35" t="s">
        <v>887</v>
      </c>
      <c r="B595" s="35" t="s">
        <v>891</v>
      </c>
      <c r="C595" s="143">
        <v>232186</v>
      </c>
      <c r="D595" s="35">
        <v>2</v>
      </c>
      <c r="E595" s="145">
        <v>56417227</v>
      </c>
      <c r="F595" s="146">
        <v>64508264</v>
      </c>
      <c r="G595" s="147"/>
      <c r="H595" s="145"/>
      <c r="I595" s="147"/>
      <c r="J595" s="145"/>
      <c r="K595" s="147"/>
      <c r="L595" s="145"/>
      <c r="M595" s="145"/>
      <c r="N595" s="145"/>
      <c r="O595" s="145"/>
      <c r="P595" s="145"/>
      <c r="Q595" s="145"/>
    </row>
    <row r="596" spans="1:17" ht="9.75">
      <c r="A596" s="35" t="s">
        <v>887</v>
      </c>
      <c r="B596" s="35" t="s">
        <v>892</v>
      </c>
      <c r="C596" s="143">
        <v>232982</v>
      </c>
      <c r="D596" s="35">
        <v>2</v>
      </c>
      <c r="E596" s="145">
        <v>46602914</v>
      </c>
      <c r="F596" s="146">
        <v>53026535</v>
      </c>
      <c r="G596" s="147"/>
      <c r="H596" s="145"/>
      <c r="I596" s="147"/>
      <c r="J596" s="145"/>
      <c r="K596" s="147"/>
      <c r="L596" s="145"/>
      <c r="M596" s="145"/>
      <c r="N596" s="145"/>
      <c r="O596" s="145"/>
      <c r="P596" s="145"/>
      <c r="Q596" s="145"/>
    </row>
    <row r="597" spans="1:17" ht="9.75">
      <c r="A597" s="35" t="s">
        <v>887</v>
      </c>
      <c r="B597" s="35" t="s">
        <v>893</v>
      </c>
      <c r="C597" s="143">
        <v>234030</v>
      </c>
      <c r="D597" s="35">
        <v>2</v>
      </c>
      <c r="E597" s="145">
        <v>80116334</v>
      </c>
      <c r="F597" s="146">
        <v>92457706</v>
      </c>
      <c r="G597" s="147"/>
      <c r="H597" s="145"/>
      <c r="I597" s="147"/>
      <c r="J597" s="145">
        <v>25982873</v>
      </c>
      <c r="K597" s="147"/>
      <c r="L597" s="145"/>
      <c r="M597" s="145"/>
      <c r="N597" s="145"/>
      <c r="O597" s="145"/>
      <c r="P597" s="145"/>
      <c r="Q597" s="145"/>
    </row>
    <row r="598" spans="1:17" ht="9.75">
      <c r="A598" s="35" t="s">
        <v>887</v>
      </c>
      <c r="B598" s="35" t="s">
        <v>894</v>
      </c>
      <c r="C598" s="143">
        <v>232423</v>
      </c>
      <c r="D598" s="35">
        <v>3</v>
      </c>
      <c r="E598" s="145">
        <v>32290208</v>
      </c>
      <c r="F598" s="146">
        <v>37978191</v>
      </c>
      <c r="G598" s="147"/>
      <c r="H598" s="145"/>
      <c r="I598" s="147"/>
      <c r="J598" s="145"/>
      <c r="K598" s="147"/>
      <c r="L598" s="145"/>
      <c r="M598" s="145"/>
      <c r="N598" s="145"/>
      <c r="O598" s="145"/>
      <c r="P598" s="145"/>
      <c r="Q598" s="145"/>
    </row>
    <row r="599" spans="1:17" ht="9.75">
      <c r="A599" s="35" t="s">
        <v>887</v>
      </c>
      <c r="B599" s="154" t="s">
        <v>895</v>
      </c>
      <c r="C599" s="158">
        <v>233277</v>
      </c>
      <c r="D599" s="154">
        <v>3</v>
      </c>
      <c r="E599" s="145">
        <v>25255559</v>
      </c>
      <c r="F599" s="146">
        <v>27544560</v>
      </c>
      <c r="G599" s="147"/>
      <c r="H599" s="145"/>
      <c r="I599" s="147"/>
      <c r="J599" s="145"/>
      <c r="K599" s="147"/>
      <c r="L599" s="145"/>
      <c r="M599" s="145"/>
      <c r="N599" s="145"/>
      <c r="O599" s="145"/>
      <c r="P599" s="145"/>
      <c r="Q599" s="145"/>
    </row>
    <row r="600" spans="1:17" ht="9.75">
      <c r="A600" s="35" t="s">
        <v>887</v>
      </c>
      <c r="B600" s="35" t="s">
        <v>896</v>
      </c>
      <c r="C600" s="143">
        <v>232937</v>
      </c>
      <c r="D600" s="35">
        <v>4</v>
      </c>
      <c r="E600" s="145">
        <v>20902430</v>
      </c>
      <c r="F600" s="146">
        <v>23798210</v>
      </c>
      <c r="G600" s="147"/>
      <c r="H600" s="145"/>
      <c r="I600" s="147"/>
      <c r="J600" s="145"/>
      <c r="K600" s="147"/>
      <c r="L600" s="145"/>
      <c r="M600" s="145"/>
      <c r="N600" s="145"/>
      <c r="O600" s="145"/>
      <c r="P600" s="145"/>
      <c r="Q600" s="145"/>
    </row>
    <row r="601" spans="1:17" ht="9.75">
      <c r="A601" s="35" t="s">
        <v>887</v>
      </c>
      <c r="B601" s="35" t="s">
        <v>897</v>
      </c>
      <c r="C601" s="143">
        <v>234155</v>
      </c>
      <c r="D601" s="35">
        <v>4</v>
      </c>
      <c r="E601" s="145">
        <v>14105515</v>
      </c>
      <c r="F601" s="146">
        <v>15531794</v>
      </c>
      <c r="G601" s="147"/>
      <c r="H601" s="145"/>
      <c r="I601" s="147"/>
      <c r="J601" s="145"/>
      <c r="K601" s="147"/>
      <c r="L601" s="145"/>
      <c r="M601" s="145"/>
      <c r="N601" s="145"/>
      <c r="O601" s="145"/>
      <c r="P601" s="145"/>
      <c r="Q601" s="145"/>
    </row>
    <row r="602" spans="1:17" ht="9.75">
      <c r="A602" s="35" t="s">
        <v>887</v>
      </c>
      <c r="B602" s="35" t="s">
        <v>898</v>
      </c>
      <c r="C602" s="143">
        <v>232566</v>
      </c>
      <c r="D602" s="35">
        <v>5</v>
      </c>
      <c r="E602" s="145">
        <v>10748022</v>
      </c>
      <c r="F602" s="146">
        <v>11698585</v>
      </c>
      <c r="G602" s="147"/>
      <c r="H602" s="145"/>
      <c r="I602" s="147"/>
      <c r="J602" s="145"/>
      <c r="K602" s="147"/>
      <c r="L602" s="145"/>
      <c r="M602" s="145"/>
      <c r="N602" s="145"/>
      <c r="O602" s="145"/>
      <c r="P602" s="145"/>
      <c r="Q602" s="145"/>
    </row>
    <row r="603" spans="1:17" ht="9.75">
      <c r="A603" s="35" t="s">
        <v>887</v>
      </c>
      <c r="B603" s="35" t="s">
        <v>899</v>
      </c>
      <c r="C603" s="143">
        <v>231712</v>
      </c>
      <c r="D603" s="35">
        <v>6</v>
      </c>
      <c r="E603" s="145">
        <v>11354271</v>
      </c>
      <c r="F603" s="146">
        <v>13628477</v>
      </c>
      <c r="G603" s="147"/>
      <c r="H603" s="145"/>
      <c r="I603" s="147"/>
      <c r="J603" s="145"/>
      <c r="K603" s="147"/>
      <c r="L603" s="145"/>
      <c r="M603" s="145"/>
      <c r="N603" s="145"/>
      <c r="O603" s="145"/>
      <c r="P603" s="145"/>
      <c r="Q603" s="145"/>
    </row>
    <row r="604" spans="1:17" ht="9.75">
      <c r="A604" s="35" t="s">
        <v>887</v>
      </c>
      <c r="B604" s="35" t="s">
        <v>900</v>
      </c>
      <c r="C604" s="143">
        <v>233897</v>
      </c>
      <c r="D604" s="35">
        <v>6</v>
      </c>
      <c r="E604" s="145">
        <v>5360822</v>
      </c>
      <c r="F604" s="146">
        <v>6027805</v>
      </c>
      <c r="G604" s="147"/>
      <c r="H604" s="145"/>
      <c r="I604" s="147"/>
      <c r="J604" s="145"/>
      <c r="K604" s="147"/>
      <c r="L604" s="145"/>
      <c r="M604" s="145"/>
      <c r="N604" s="145"/>
      <c r="O604" s="145"/>
      <c r="P604" s="145"/>
      <c r="Q604" s="145"/>
    </row>
    <row r="605" spans="1:17" ht="9.75">
      <c r="A605" s="35" t="s">
        <v>887</v>
      </c>
      <c r="B605" s="35" t="s">
        <v>901</v>
      </c>
      <c r="C605" s="143">
        <v>232681</v>
      </c>
      <c r="D605" s="35">
        <v>6</v>
      </c>
      <c r="E605" s="145">
        <v>9766029</v>
      </c>
      <c r="F605" s="146">
        <v>10690945</v>
      </c>
      <c r="G605" s="147"/>
      <c r="H605" s="145"/>
      <c r="I605" s="147"/>
      <c r="J605" s="145"/>
      <c r="K605" s="147"/>
      <c r="L605" s="145"/>
      <c r="M605" s="145"/>
      <c r="N605" s="145"/>
      <c r="O605" s="145"/>
      <c r="P605" s="145"/>
      <c r="Q605" s="145"/>
    </row>
    <row r="606" spans="1:17" ht="9.75">
      <c r="A606" s="35" t="s">
        <v>887</v>
      </c>
      <c r="B606" s="35" t="s">
        <v>902</v>
      </c>
      <c r="C606" s="143">
        <v>233338</v>
      </c>
      <c r="D606" s="35">
        <v>7</v>
      </c>
      <c r="E606" s="145">
        <v>2786742</v>
      </c>
      <c r="F606" s="146">
        <v>3089475</v>
      </c>
      <c r="G606" s="147"/>
      <c r="H606" s="145"/>
      <c r="I606" s="147"/>
      <c r="J606" s="145"/>
      <c r="K606" s="147"/>
      <c r="L606" s="145"/>
      <c r="M606" s="145"/>
      <c r="N606" s="145"/>
      <c r="O606" s="145"/>
      <c r="P606" s="145"/>
      <c r="Q606" s="145"/>
    </row>
    <row r="607" spans="1:17" ht="9.75">
      <c r="A607" s="35" t="s">
        <v>887</v>
      </c>
      <c r="B607" s="35" t="s">
        <v>970</v>
      </c>
      <c r="C607" s="143"/>
      <c r="D607" s="35">
        <v>7</v>
      </c>
      <c r="E607" s="145">
        <v>179882383</v>
      </c>
      <c r="F607" s="146">
        <v>202136120</v>
      </c>
      <c r="G607" s="147">
        <v>1301858</v>
      </c>
      <c r="H607" s="145">
        <v>1300000</v>
      </c>
      <c r="I607" s="147"/>
      <c r="J607" s="145"/>
      <c r="K607" s="147"/>
      <c r="L607" s="145"/>
      <c r="M607" s="145"/>
      <c r="N607" s="145"/>
      <c r="O607" s="145"/>
      <c r="P607" s="145"/>
      <c r="Q607" s="145"/>
    </row>
    <row r="608" spans="1:17" ht="9.75">
      <c r="A608" s="35" t="s">
        <v>887</v>
      </c>
      <c r="B608" s="35" t="s">
        <v>904</v>
      </c>
      <c r="C608" s="143">
        <v>234085</v>
      </c>
      <c r="D608" s="35">
        <v>9</v>
      </c>
      <c r="E608" s="145">
        <v>9930467</v>
      </c>
      <c r="F608" s="145">
        <v>11119977</v>
      </c>
      <c r="G608" s="147"/>
      <c r="H608" s="145"/>
      <c r="I608" s="147"/>
      <c r="J608" s="145"/>
      <c r="K608" s="147"/>
      <c r="L608" s="145"/>
      <c r="M608" s="145"/>
      <c r="N608" s="145"/>
      <c r="O608" s="145"/>
      <c r="P608" s="145"/>
      <c r="Q608" s="145"/>
    </row>
    <row r="609" spans="1:17" ht="9.75">
      <c r="A609" s="35" t="s">
        <v>905</v>
      </c>
      <c r="B609" s="145" t="s">
        <v>906</v>
      </c>
      <c r="C609" s="186">
        <v>238032</v>
      </c>
      <c r="D609" s="146">
        <v>1</v>
      </c>
      <c r="E609" s="145">
        <v>79395448</v>
      </c>
      <c r="F609" s="146">
        <v>81603394</v>
      </c>
      <c r="G609" s="147"/>
      <c r="H609" s="145"/>
      <c r="I609" s="147"/>
      <c r="J609" s="146">
        <v>60345058</v>
      </c>
      <c r="K609" s="147">
        <v>1260462</v>
      </c>
      <c r="L609" s="145"/>
      <c r="M609" s="145">
        <v>11183203</v>
      </c>
      <c r="N609" s="145">
        <v>6365869</v>
      </c>
      <c r="O609" s="145">
        <v>1288456</v>
      </c>
      <c r="P609" s="145">
        <f>2363045+599971</f>
        <v>2963016</v>
      </c>
      <c r="Q609" s="146">
        <f>2127331+350000</f>
        <v>2477331</v>
      </c>
    </row>
    <row r="610" spans="1:17" ht="9.75">
      <c r="A610" s="35" t="s">
        <v>905</v>
      </c>
      <c r="B610" s="145" t="s">
        <v>907</v>
      </c>
      <c r="C610" s="186">
        <v>237525</v>
      </c>
      <c r="D610" s="146">
        <v>3</v>
      </c>
      <c r="E610" s="145">
        <v>33367847</v>
      </c>
      <c r="F610" s="146">
        <v>34100395</v>
      </c>
      <c r="G610" s="147"/>
      <c r="H610" s="145"/>
      <c r="I610" s="147"/>
      <c r="J610" s="146">
        <v>13644067</v>
      </c>
      <c r="K610" s="147">
        <f>863695+630000</f>
        <v>1493695</v>
      </c>
      <c r="L610" s="145"/>
      <c r="M610" s="145"/>
      <c r="N610" s="145"/>
      <c r="O610" s="145"/>
      <c r="P610" s="145">
        <v>1372640</v>
      </c>
      <c r="Q610" s="146"/>
    </row>
    <row r="611" spans="1:17" ht="9.75">
      <c r="A611" s="35" t="s">
        <v>905</v>
      </c>
      <c r="B611" s="145" t="s">
        <v>908</v>
      </c>
      <c r="C611" s="186">
        <v>237215</v>
      </c>
      <c r="D611" s="146">
        <v>6</v>
      </c>
      <c r="E611" s="145">
        <v>6226860</v>
      </c>
      <c r="F611" s="146">
        <v>6442049</v>
      </c>
      <c r="G611" s="147"/>
      <c r="H611" s="145"/>
      <c r="I611" s="147"/>
      <c r="J611" s="146"/>
      <c r="K611" s="147"/>
      <c r="L611" s="145"/>
      <c r="M611" s="145"/>
      <c r="N611" s="145"/>
      <c r="O611" s="145"/>
      <c r="P611" s="145"/>
      <c r="Q611" s="146"/>
    </row>
    <row r="612" spans="1:17" ht="9.75">
      <c r="A612" s="35" t="s">
        <v>905</v>
      </c>
      <c r="B612" s="145" t="s">
        <v>909</v>
      </c>
      <c r="C612" s="186">
        <v>237330</v>
      </c>
      <c r="D612" s="146">
        <v>6</v>
      </c>
      <c r="E612" s="145">
        <v>7311145</v>
      </c>
      <c r="F612" s="146">
        <v>7439297</v>
      </c>
      <c r="G612" s="147"/>
      <c r="H612" s="145"/>
      <c r="I612" s="147"/>
      <c r="J612" s="146"/>
      <c r="K612" s="147"/>
      <c r="L612" s="145"/>
      <c r="M612" s="145"/>
      <c r="N612" s="145"/>
      <c r="O612" s="145"/>
      <c r="P612" s="145"/>
      <c r="Q612" s="146"/>
    </row>
    <row r="613" spans="1:17" ht="9.75">
      <c r="A613" s="35" t="s">
        <v>905</v>
      </c>
      <c r="B613" s="145" t="s">
        <v>910</v>
      </c>
      <c r="C613" s="186">
        <v>237367</v>
      </c>
      <c r="D613" s="146">
        <v>6</v>
      </c>
      <c r="E613" s="145">
        <v>15716700</v>
      </c>
      <c r="F613" s="146">
        <v>16719927</v>
      </c>
      <c r="G613" s="147"/>
      <c r="H613" s="145"/>
      <c r="I613" s="147"/>
      <c r="J613" s="146"/>
      <c r="K613" s="147"/>
      <c r="L613" s="145"/>
      <c r="M613" s="145"/>
      <c r="N613" s="145"/>
      <c r="O613" s="145"/>
      <c r="P613" s="145"/>
      <c r="Q613" s="146"/>
    </row>
    <row r="614" spans="1:17" ht="9.75">
      <c r="A614" s="35" t="s">
        <v>905</v>
      </c>
      <c r="B614" s="145" t="s">
        <v>911</v>
      </c>
      <c r="C614" s="186">
        <v>237385</v>
      </c>
      <c r="D614" s="146">
        <v>6</v>
      </c>
      <c r="E614" s="145">
        <v>6353423</v>
      </c>
      <c r="F614" s="146">
        <v>6857834</v>
      </c>
      <c r="G614" s="147"/>
      <c r="H614" s="145"/>
      <c r="I614" s="147"/>
      <c r="J614" s="146"/>
      <c r="K614" s="147"/>
      <c r="L614" s="145"/>
      <c r="M614" s="145"/>
      <c r="N614" s="145"/>
      <c r="O614" s="145"/>
      <c r="P614" s="145"/>
      <c r="Q614" s="146"/>
    </row>
    <row r="615" spans="1:17" ht="9.75">
      <c r="A615" s="35" t="s">
        <v>905</v>
      </c>
      <c r="B615" s="145" t="s">
        <v>912</v>
      </c>
      <c r="C615" s="186">
        <v>237792</v>
      </c>
      <c r="D615" s="146">
        <v>6</v>
      </c>
      <c r="E615" s="145">
        <v>8822651</v>
      </c>
      <c r="F615" s="146">
        <v>9276320</v>
      </c>
      <c r="G615" s="147"/>
      <c r="H615" s="145"/>
      <c r="I615" s="147"/>
      <c r="J615" s="146"/>
      <c r="K615" s="147"/>
      <c r="L615" s="145"/>
      <c r="M615" s="145"/>
      <c r="N615" s="145"/>
      <c r="O615" s="145"/>
      <c r="P615" s="145"/>
      <c r="Q615" s="146"/>
    </row>
    <row r="616" spans="1:17" ht="9.75">
      <c r="A616" s="35" t="s">
        <v>905</v>
      </c>
      <c r="B616" s="145" t="s">
        <v>913</v>
      </c>
      <c r="C616" s="186">
        <v>237932</v>
      </c>
      <c r="D616" s="146">
        <v>6</v>
      </c>
      <c r="E616" s="145">
        <v>8301853</v>
      </c>
      <c r="F616" s="146">
        <v>8516961</v>
      </c>
      <c r="G616" s="147"/>
      <c r="H616" s="145"/>
      <c r="I616" s="147"/>
      <c r="J616" s="146"/>
      <c r="K616" s="147"/>
      <c r="L616" s="145"/>
      <c r="M616" s="145"/>
      <c r="N616" s="145"/>
      <c r="O616" s="145"/>
      <c r="P616" s="145"/>
      <c r="Q616" s="146"/>
    </row>
    <row r="617" spans="1:17" ht="9.75">
      <c r="A617" s="35" t="s">
        <v>905</v>
      </c>
      <c r="B617" s="145" t="s">
        <v>914</v>
      </c>
      <c r="C617" s="186">
        <v>237950</v>
      </c>
      <c r="D617" s="146">
        <v>6</v>
      </c>
      <c r="E617" s="145">
        <v>9906780</v>
      </c>
      <c r="F617" s="146">
        <v>9738832</v>
      </c>
      <c r="G617" s="147"/>
      <c r="H617" s="145"/>
      <c r="I617" s="147"/>
      <c r="J617" s="146"/>
      <c r="K617" s="147"/>
      <c r="L617" s="145"/>
      <c r="M617" s="145"/>
      <c r="N617" s="145"/>
      <c r="O617" s="145"/>
      <c r="P617" s="145"/>
      <c r="Q617" s="146"/>
    </row>
    <row r="618" spans="1:17" ht="9.75">
      <c r="A618" s="35" t="s">
        <v>905</v>
      </c>
      <c r="B618" s="145" t="s">
        <v>915</v>
      </c>
      <c r="C618" s="186">
        <v>237899</v>
      </c>
      <c r="D618" s="146">
        <v>6</v>
      </c>
      <c r="E618" s="145">
        <v>11275300</v>
      </c>
      <c r="F618" s="146">
        <v>11665842</v>
      </c>
      <c r="G618" s="147"/>
      <c r="H618" s="145"/>
      <c r="I618" s="147"/>
      <c r="J618" s="146"/>
      <c r="K618" s="147"/>
      <c r="L618" s="145"/>
      <c r="M618" s="145"/>
      <c r="N618" s="145"/>
      <c r="O618" s="145"/>
      <c r="P618" s="145"/>
      <c r="Q618" s="146"/>
    </row>
    <row r="619" spans="1:17" ht="9.75">
      <c r="A619" s="35" t="s">
        <v>905</v>
      </c>
      <c r="B619" s="145" t="s">
        <v>971</v>
      </c>
      <c r="C619" s="186">
        <v>237701</v>
      </c>
      <c r="D619" s="146">
        <v>7</v>
      </c>
      <c r="E619" s="145">
        <v>3611270</v>
      </c>
      <c r="F619" s="146">
        <v>3733485</v>
      </c>
      <c r="G619" s="147"/>
      <c r="H619" s="145"/>
      <c r="I619" s="147"/>
      <c r="J619" s="146"/>
      <c r="K619" s="147"/>
      <c r="L619" s="145"/>
      <c r="M619" s="145"/>
      <c r="N619" s="145"/>
      <c r="O619" s="145"/>
      <c r="P619" s="145"/>
      <c r="Q619" s="146"/>
    </row>
    <row r="620" spans="1:17" ht="9.75">
      <c r="A620" s="35" t="s">
        <v>905</v>
      </c>
      <c r="B620" s="145" t="s">
        <v>972</v>
      </c>
      <c r="C620" s="186">
        <v>237817</v>
      </c>
      <c r="D620" s="146">
        <v>7</v>
      </c>
      <c r="E620" s="145">
        <v>5545309</v>
      </c>
      <c r="F620" s="146">
        <v>5894687</v>
      </c>
      <c r="G620" s="147"/>
      <c r="H620" s="145"/>
      <c r="I620" s="147"/>
      <c r="J620" s="146"/>
      <c r="K620" s="147"/>
      <c r="L620" s="145"/>
      <c r="M620" s="145"/>
      <c r="N620" s="145"/>
      <c r="O620" s="145"/>
      <c r="P620" s="145"/>
      <c r="Q620" s="146"/>
    </row>
    <row r="621" spans="1:17" ht="9.75">
      <c r="A621" s="35" t="s">
        <v>905</v>
      </c>
      <c r="B621" s="145" t="s">
        <v>918</v>
      </c>
      <c r="C621" s="186">
        <v>238014</v>
      </c>
      <c r="D621" s="146">
        <v>7</v>
      </c>
      <c r="E621" s="145">
        <v>4677740</v>
      </c>
      <c r="F621" s="146">
        <v>4761635</v>
      </c>
      <c r="G621" s="147"/>
      <c r="H621" s="145"/>
      <c r="I621" s="147"/>
      <c r="J621" s="146"/>
      <c r="K621" s="147"/>
      <c r="L621" s="145"/>
      <c r="M621" s="145"/>
      <c r="N621" s="145"/>
      <c r="O621" s="145"/>
      <c r="P621" s="145"/>
      <c r="Q621" s="146"/>
    </row>
    <row r="622" spans="1:17" ht="9.75">
      <c r="A622" s="35" t="s">
        <v>905</v>
      </c>
      <c r="B622" s="145" t="s">
        <v>919</v>
      </c>
      <c r="C622" s="186">
        <v>237686</v>
      </c>
      <c r="D622" s="146">
        <v>7</v>
      </c>
      <c r="E622" s="145">
        <v>5922416</v>
      </c>
      <c r="F622" s="146">
        <v>6146247</v>
      </c>
      <c r="G622" s="147"/>
      <c r="H622" s="145"/>
      <c r="I622" s="147"/>
      <c r="J622" s="146"/>
      <c r="K622" s="147"/>
      <c r="L622" s="145"/>
      <c r="M622" s="145"/>
      <c r="N622" s="145"/>
      <c r="O622" s="145"/>
      <c r="P622" s="145"/>
      <c r="Q622" s="146"/>
    </row>
    <row r="623" spans="1:17" ht="9.75">
      <c r="A623" s="35" t="s">
        <v>905</v>
      </c>
      <c r="B623" s="145" t="s">
        <v>973</v>
      </c>
      <c r="C623" s="186">
        <v>237871</v>
      </c>
      <c r="D623" s="146">
        <v>9</v>
      </c>
      <c r="E623" s="145">
        <v>6399152</v>
      </c>
      <c r="F623" s="146">
        <v>6589136</v>
      </c>
      <c r="G623" s="147"/>
      <c r="H623" s="145"/>
      <c r="I623" s="147"/>
      <c r="J623" s="146"/>
      <c r="K623" s="147"/>
      <c r="L623" s="145"/>
      <c r="M623" s="145"/>
      <c r="N623" s="145"/>
      <c r="O623" s="145"/>
      <c r="P623" s="145"/>
      <c r="Q623" s="146"/>
    </row>
    <row r="624" spans="1:17" ht="9.75">
      <c r="A624" s="35" t="s">
        <v>905</v>
      </c>
      <c r="B624" s="145" t="s">
        <v>921</v>
      </c>
      <c r="C624" s="186">
        <v>237880</v>
      </c>
      <c r="D624" s="146">
        <v>9</v>
      </c>
      <c r="E624" s="145"/>
      <c r="F624" s="146"/>
      <c r="G624" s="147"/>
      <c r="H624" s="145"/>
      <c r="I624" s="147"/>
      <c r="J624" s="146">
        <v>6475003</v>
      </c>
      <c r="K624" s="147"/>
      <c r="L624" s="145"/>
      <c r="M624" s="145"/>
      <c r="N624" s="145"/>
      <c r="O624" s="145"/>
      <c r="P624" s="145"/>
      <c r="Q624" s="146"/>
    </row>
    <row r="625" spans="1:17" ht="9.75">
      <c r="A625" s="35"/>
      <c r="B625" s="145" t="s">
        <v>974</v>
      </c>
      <c r="C625" s="145"/>
      <c r="D625" s="146"/>
      <c r="E625" s="145"/>
      <c r="F625" s="146"/>
      <c r="G625" s="145"/>
      <c r="H625" s="146"/>
      <c r="I625" s="145"/>
      <c r="J625" s="146"/>
      <c r="K625" s="145"/>
      <c r="L625" s="145"/>
      <c r="M625" s="145"/>
      <c r="N625" s="145"/>
      <c r="O625" s="145"/>
      <c r="P625" s="35"/>
      <c r="Q625" s="36"/>
    </row>
    <row r="626" spans="1:17" ht="9.75">
      <c r="A626" s="35"/>
      <c r="B626" s="145"/>
      <c r="C626" s="145"/>
      <c r="D626" s="146"/>
      <c r="E626" s="145"/>
      <c r="F626" s="146"/>
      <c r="G626" s="145"/>
      <c r="H626" s="146"/>
      <c r="I626" s="145"/>
      <c r="J626" s="146"/>
      <c r="K626" s="145"/>
      <c r="L626" s="145"/>
      <c r="M626" s="145"/>
      <c r="N626" s="145"/>
      <c r="O626" s="145"/>
      <c r="P626" s="35"/>
      <c r="Q626" s="36"/>
    </row>
    <row r="627" spans="1:17" ht="9.75">
      <c r="A627" s="35"/>
      <c r="B627" s="145"/>
      <c r="C627" s="145"/>
      <c r="D627" s="146"/>
      <c r="E627" s="145"/>
      <c r="F627" s="146"/>
      <c r="G627" s="145"/>
      <c r="H627" s="146"/>
      <c r="I627" s="145"/>
      <c r="J627" s="146"/>
      <c r="K627" s="145"/>
      <c r="L627" s="145"/>
      <c r="M627" s="145"/>
      <c r="N627" s="145"/>
      <c r="O627" s="145"/>
      <c r="P627" s="35"/>
      <c r="Q627" s="36"/>
    </row>
    <row r="628" spans="1:17" ht="9.75">
      <c r="A628" s="35"/>
      <c r="B628" s="145"/>
      <c r="C628" s="145"/>
      <c r="D628" s="146"/>
      <c r="E628" s="145"/>
      <c r="F628" s="146"/>
      <c r="G628" s="145"/>
      <c r="H628" s="146"/>
      <c r="I628" s="145"/>
      <c r="J628" s="146"/>
      <c r="K628" s="145"/>
      <c r="L628" s="145"/>
      <c r="M628" s="145"/>
      <c r="N628" s="145"/>
      <c r="O628" s="145"/>
      <c r="P628" s="35"/>
      <c r="Q628" s="36"/>
    </row>
    <row r="629" spans="1:17" ht="9.75">
      <c r="A629" s="35"/>
      <c r="B629" s="145"/>
      <c r="C629" s="145"/>
      <c r="D629" s="146"/>
      <c r="E629" s="145"/>
      <c r="F629" s="146"/>
      <c r="G629" s="145"/>
      <c r="H629" s="146"/>
      <c r="I629" s="145"/>
      <c r="J629" s="146"/>
      <c r="K629" s="145"/>
      <c r="L629" s="145"/>
      <c r="M629" s="145"/>
      <c r="N629" s="145"/>
      <c r="O629" s="145"/>
      <c r="P629" s="35"/>
      <c r="Q629" s="36"/>
    </row>
    <row r="630" spans="1:17" ht="9.75">
      <c r="A630" s="35"/>
      <c r="B630" s="145"/>
      <c r="C630" s="145"/>
      <c r="D630" s="146"/>
      <c r="E630" s="145"/>
      <c r="F630" s="146"/>
      <c r="G630" s="145"/>
      <c r="H630" s="146"/>
      <c r="I630" s="145"/>
      <c r="J630" s="146"/>
      <c r="K630" s="145"/>
      <c r="L630" s="145"/>
      <c r="M630" s="145"/>
      <c r="N630" s="145"/>
      <c r="O630" s="145"/>
      <c r="P630" s="35"/>
      <c r="Q630" s="36"/>
    </row>
    <row r="631" spans="1:17" ht="9.75">
      <c r="A631" s="35"/>
      <c r="B631" s="145"/>
      <c r="C631" s="145"/>
      <c r="D631" s="146"/>
      <c r="E631" s="145"/>
      <c r="F631" s="146"/>
      <c r="G631" s="145"/>
      <c r="H631" s="146"/>
      <c r="I631" s="145"/>
      <c r="J631" s="146"/>
      <c r="K631" s="145"/>
      <c r="L631" s="145"/>
      <c r="M631" s="145"/>
      <c r="N631" s="145"/>
      <c r="O631" s="145"/>
      <c r="P631" s="35"/>
      <c r="Q631" s="36"/>
    </row>
    <row r="632" spans="1:17" ht="9.75">
      <c r="A632" s="35"/>
      <c r="B632" s="145"/>
      <c r="C632" s="145"/>
      <c r="D632" s="146"/>
      <c r="E632" s="145"/>
      <c r="F632" s="146"/>
      <c r="G632" s="145"/>
      <c r="H632" s="146"/>
      <c r="I632" s="145"/>
      <c r="J632" s="146"/>
      <c r="K632" s="145"/>
      <c r="L632" s="145"/>
      <c r="M632" s="145"/>
      <c r="N632" s="145"/>
      <c r="O632" s="145"/>
      <c r="P632" s="35"/>
      <c r="Q632" s="36"/>
    </row>
    <row r="633" spans="1:17" ht="9.75">
      <c r="A633" s="35"/>
      <c r="B633" s="145"/>
      <c r="C633" s="145"/>
      <c r="D633" s="146"/>
      <c r="E633" s="145"/>
      <c r="F633" s="146"/>
      <c r="G633" s="145"/>
      <c r="H633" s="146"/>
      <c r="I633" s="145"/>
      <c r="J633" s="146"/>
      <c r="K633" s="145"/>
      <c r="L633" s="145"/>
      <c r="M633" s="145"/>
      <c r="N633" s="145"/>
      <c r="O633" s="145"/>
      <c r="P633" s="35"/>
      <c r="Q633" s="36"/>
    </row>
    <row r="634" spans="1:17" ht="9.75">
      <c r="A634" s="35"/>
      <c r="B634" s="145"/>
      <c r="C634" s="145"/>
      <c r="D634" s="146"/>
      <c r="E634" s="145"/>
      <c r="F634" s="146"/>
      <c r="G634" s="145"/>
      <c r="H634" s="146"/>
      <c r="I634" s="145"/>
      <c r="J634" s="146"/>
      <c r="K634" s="145"/>
      <c r="L634" s="145"/>
      <c r="M634" s="145"/>
      <c r="N634" s="145"/>
      <c r="O634" s="145"/>
      <c r="P634" s="35"/>
      <c r="Q634" s="36"/>
    </row>
    <row r="635" spans="1:17" ht="9.75">
      <c r="A635" s="35"/>
      <c r="B635" s="145"/>
      <c r="C635" s="145"/>
      <c r="D635" s="146"/>
      <c r="E635" s="145"/>
      <c r="F635" s="146"/>
      <c r="G635" s="145"/>
      <c r="H635" s="146"/>
      <c r="I635" s="145"/>
      <c r="J635" s="146"/>
      <c r="K635" s="145"/>
      <c r="L635" s="145"/>
      <c r="M635" s="145"/>
      <c r="N635" s="145"/>
      <c r="O635" s="145"/>
      <c r="P635" s="35"/>
      <c r="Q635" s="36"/>
    </row>
    <row r="636" spans="1:17" ht="9.75">
      <c r="A636" s="35"/>
      <c r="B636" s="145"/>
      <c r="C636" s="35"/>
      <c r="D636" s="146"/>
      <c r="E636" s="145"/>
      <c r="F636" s="146"/>
      <c r="G636" s="145"/>
      <c r="H636" s="146"/>
      <c r="I636" s="145"/>
      <c r="J636" s="146"/>
      <c r="K636" s="145"/>
      <c r="L636" s="145"/>
      <c r="M636" s="145"/>
      <c r="N636" s="145"/>
      <c r="O636" s="145"/>
      <c r="P636" s="35"/>
      <c r="Q636" s="36"/>
    </row>
    <row r="637" spans="1:17" ht="9.75">
      <c r="A637" s="35"/>
      <c r="B637" s="145"/>
      <c r="C637" s="145"/>
      <c r="D637" s="146"/>
      <c r="E637" s="145"/>
      <c r="F637" s="146"/>
      <c r="G637" s="145"/>
      <c r="H637" s="146"/>
      <c r="I637" s="145"/>
      <c r="J637" s="146"/>
      <c r="K637" s="145"/>
      <c r="L637" s="145"/>
      <c r="M637" s="145"/>
      <c r="N637" s="145"/>
      <c r="O637" s="145"/>
      <c r="P637" s="35"/>
      <c r="Q637" s="36"/>
    </row>
    <row r="638" spans="1:17" ht="9.75">
      <c r="A638" s="35"/>
      <c r="B638" s="145"/>
      <c r="C638" s="145"/>
      <c r="D638" s="146"/>
      <c r="E638" s="145"/>
      <c r="F638" s="146"/>
      <c r="G638" s="145"/>
      <c r="H638" s="146"/>
      <c r="I638" s="145"/>
      <c r="J638" s="146"/>
      <c r="K638" s="145"/>
      <c r="L638" s="145"/>
      <c r="M638" s="145"/>
      <c r="N638" s="145"/>
      <c r="O638" s="145"/>
      <c r="P638" s="35"/>
      <c r="Q638" s="36"/>
    </row>
    <row r="639" spans="1:17" ht="9.75">
      <c r="A639" s="35"/>
      <c r="B639" s="145"/>
      <c r="C639" s="145"/>
      <c r="D639" s="146"/>
      <c r="E639" s="145"/>
      <c r="F639" s="146"/>
      <c r="G639" s="145"/>
      <c r="H639" s="146"/>
      <c r="I639" s="145"/>
      <c r="J639" s="146"/>
      <c r="K639" s="145"/>
      <c r="L639" s="145"/>
      <c r="M639" s="145"/>
      <c r="N639" s="145"/>
      <c r="O639" s="145"/>
      <c r="P639" s="35"/>
      <c r="Q639" s="36"/>
    </row>
    <row r="640" spans="1:17" ht="9.75">
      <c r="A640" s="35"/>
      <c r="B640" s="145"/>
      <c r="C640" s="145"/>
      <c r="D640" s="146"/>
      <c r="E640" s="145"/>
      <c r="F640" s="146"/>
      <c r="G640" s="145"/>
      <c r="H640" s="146"/>
      <c r="I640" s="145"/>
      <c r="J640" s="146"/>
      <c r="K640" s="145"/>
      <c r="L640" s="145"/>
      <c r="M640" s="145"/>
      <c r="N640" s="145"/>
      <c r="O640" s="145"/>
      <c r="P640" s="35"/>
      <c r="Q640" s="36"/>
    </row>
    <row r="641" spans="1:17" ht="9.75">
      <c r="A641" s="35"/>
      <c r="B641" s="145"/>
      <c r="C641" s="145"/>
      <c r="D641" s="146"/>
      <c r="E641" s="145"/>
      <c r="F641" s="146"/>
      <c r="G641" s="145"/>
      <c r="H641" s="146"/>
      <c r="I641" s="145"/>
      <c r="J641" s="146"/>
      <c r="K641" s="145"/>
      <c r="L641" s="145"/>
      <c r="M641" s="145"/>
      <c r="N641" s="145"/>
      <c r="O641" s="145"/>
      <c r="P641" s="35"/>
      <c r="Q641" s="36"/>
    </row>
    <row r="642" spans="1:17" ht="9.75">
      <c r="A642" s="35"/>
      <c r="B642" s="145"/>
      <c r="C642" s="145"/>
      <c r="D642" s="146"/>
      <c r="E642" s="145"/>
      <c r="F642" s="146"/>
      <c r="G642" s="145"/>
      <c r="H642" s="146"/>
      <c r="I642" s="145"/>
      <c r="J642" s="146"/>
      <c r="K642" s="145"/>
      <c r="L642" s="145"/>
      <c r="M642" s="145"/>
      <c r="N642" s="145"/>
      <c r="O642" s="145"/>
      <c r="P642" s="35"/>
      <c r="Q642" s="36"/>
    </row>
    <row r="643" spans="1:17" ht="9.75">
      <c r="A643" s="35"/>
      <c r="B643" s="145"/>
      <c r="C643" s="145"/>
      <c r="D643" s="146"/>
      <c r="E643" s="145"/>
      <c r="F643" s="146"/>
      <c r="G643" s="145"/>
      <c r="H643" s="146"/>
      <c r="I643" s="145"/>
      <c r="J643" s="146"/>
      <c r="K643" s="145"/>
      <c r="L643" s="145"/>
      <c r="M643" s="145"/>
      <c r="N643" s="145"/>
      <c r="O643" s="145"/>
      <c r="P643" s="35"/>
      <c r="Q643" s="36"/>
    </row>
    <row r="644" spans="1:17" ht="9.75">
      <c r="A644" s="35"/>
      <c r="B644" s="145"/>
      <c r="C644" s="145"/>
      <c r="D644" s="146"/>
      <c r="E644" s="145"/>
      <c r="F644" s="146"/>
      <c r="G644" s="145"/>
      <c r="H644" s="146"/>
      <c r="I644" s="145"/>
      <c r="J644" s="146"/>
      <c r="K644" s="145"/>
      <c r="L644" s="145"/>
      <c r="M644" s="145"/>
      <c r="N644" s="145"/>
      <c r="O644" s="145"/>
      <c r="P644" s="35"/>
      <c r="Q644" s="36"/>
    </row>
    <row r="645" spans="1:17" ht="9.75">
      <c r="A645" s="35"/>
      <c r="B645" s="145"/>
      <c r="C645" s="145"/>
      <c r="D645" s="146"/>
      <c r="E645" s="145"/>
      <c r="F645" s="146"/>
      <c r="G645" s="145"/>
      <c r="H645" s="146"/>
      <c r="I645" s="145"/>
      <c r="J645" s="146"/>
      <c r="K645" s="145"/>
      <c r="L645" s="145"/>
      <c r="M645" s="145"/>
      <c r="N645" s="145"/>
      <c r="O645" s="145"/>
      <c r="P645" s="35"/>
      <c r="Q645" s="36"/>
    </row>
    <row r="646" spans="1:17" ht="9.75">
      <c r="A646" s="35"/>
      <c r="B646" s="145"/>
      <c r="C646" s="145"/>
      <c r="D646" s="146"/>
      <c r="E646" s="145"/>
      <c r="F646" s="146"/>
      <c r="G646" s="145"/>
      <c r="H646" s="146"/>
      <c r="I646" s="145"/>
      <c r="J646" s="146"/>
      <c r="K646" s="145"/>
      <c r="L646" s="145"/>
      <c r="M646" s="145"/>
      <c r="N646" s="145"/>
      <c r="O646" s="145"/>
      <c r="P646" s="35"/>
      <c r="Q646" s="36"/>
    </row>
    <row r="647" spans="1:17" ht="9.75">
      <c r="A647" s="35"/>
      <c r="B647" s="145"/>
      <c r="C647" s="145"/>
      <c r="D647" s="146"/>
      <c r="E647" s="145"/>
      <c r="F647" s="146"/>
      <c r="G647" s="145"/>
      <c r="H647" s="146"/>
      <c r="I647" s="145"/>
      <c r="J647" s="146"/>
      <c r="K647" s="145"/>
      <c r="L647" s="145"/>
      <c r="M647" s="145"/>
      <c r="N647" s="145"/>
      <c r="O647" s="145"/>
      <c r="P647" s="35"/>
      <c r="Q647" s="36"/>
    </row>
    <row r="648" spans="1:17" ht="9.75">
      <c r="A648" s="35"/>
      <c r="B648" s="145"/>
      <c r="C648" s="145"/>
      <c r="D648" s="146"/>
      <c r="E648" s="145"/>
      <c r="F648" s="146"/>
      <c r="G648" s="145"/>
      <c r="H648" s="146"/>
      <c r="I648" s="145"/>
      <c r="J648" s="146"/>
      <c r="K648" s="145"/>
      <c r="L648" s="145"/>
      <c r="M648" s="145"/>
      <c r="N648" s="145"/>
      <c r="O648" s="145"/>
      <c r="P648" s="35"/>
      <c r="Q648" s="36"/>
    </row>
    <row r="649" spans="1:17" ht="9.75">
      <c r="A649" s="35"/>
      <c r="B649" s="145"/>
      <c r="C649" s="145"/>
      <c r="D649" s="146"/>
      <c r="E649" s="145"/>
      <c r="F649" s="146"/>
      <c r="G649" s="145"/>
      <c r="H649" s="146"/>
      <c r="I649" s="145"/>
      <c r="J649" s="146"/>
      <c r="K649" s="145"/>
      <c r="L649" s="145"/>
      <c r="M649" s="145"/>
      <c r="N649" s="145"/>
      <c r="O649" s="145"/>
      <c r="P649" s="35"/>
      <c r="Q649" s="36"/>
    </row>
    <row r="650" spans="1:17" ht="9.75">
      <c r="A650" s="35"/>
      <c r="B650" s="145"/>
      <c r="C650" s="145"/>
      <c r="D650" s="146"/>
      <c r="E650" s="145"/>
      <c r="F650" s="146"/>
      <c r="G650" s="145"/>
      <c r="H650" s="146"/>
      <c r="I650" s="145"/>
      <c r="J650" s="146"/>
      <c r="K650" s="145"/>
      <c r="L650" s="145"/>
      <c r="M650" s="145"/>
      <c r="N650" s="145"/>
      <c r="O650" s="145"/>
      <c r="P650" s="35"/>
      <c r="Q650" s="36"/>
    </row>
    <row r="651" spans="1:17" ht="9.75">
      <c r="A651" s="35"/>
      <c r="B651" s="145"/>
      <c r="C651" s="145"/>
      <c r="D651" s="146"/>
      <c r="E651" s="145"/>
      <c r="F651" s="146"/>
      <c r="G651" s="145"/>
      <c r="H651" s="146"/>
      <c r="I651" s="145"/>
      <c r="J651" s="146"/>
      <c r="K651" s="145"/>
      <c r="L651" s="145"/>
      <c r="M651" s="145"/>
      <c r="N651" s="145"/>
      <c r="O651" s="145"/>
      <c r="P651" s="35"/>
      <c r="Q651" s="36"/>
    </row>
    <row r="652" spans="1:17" ht="9.75">
      <c r="A652" s="35"/>
      <c r="B652" s="145"/>
      <c r="C652" s="145"/>
      <c r="D652" s="146"/>
      <c r="E652" s="145"/>
      <c r="F652" s="146"/>
      <c r="G652" s="145"/>
      <c r="H652" s="146"/>
      <c r="I652" s="145"/>
      <c r="J652" s="146"/>
      <c r="K652" s="145"/>
      <c r="L652" s="145"/>
      <c r="M652" s="145"/>
      <c r="N652" s="145"/>
      <c r="O652" s="145"/>
      <c r="P652" s="35"/>
      <c r="Q652" s="36"/>
    </row>
    <row r="653" spans="1:17" ht="9.75">
      <c r="A653" s="35"/>
      <c r="B653" s="145"/>
      <c r="C653" s="145"/>
      <c r="D653" s="146"/>
      <c r="E653" s="145"/>
      <c r="F653" s="146"/>
      <c r="G653" s="145"/>
      <c r="H653" s="146"/>
      <c r="I653" s="145"/>
      <c r="J653" s="146"/>
      <c r="K653" s="145"/>
      <c r="L653" s="145"/>
      <c r="M653" s="145"/>
      <c r="N653" s="145"/>
      <c r="O653" s="145"/>
      <c r="P653" s="35"/>
      <c r="Q653" s="36"/>
    </row>
    <row r="654" spans="1:17" ht="9.75">
      <c r="A654" s="35"/>
      <c r="B654" s="145"/>
      <c r="C654" s="145"/>
      <c r="D654" s="146"/>
      <c r="E654" s="145"/>
      <c r="F654" s="146"/>
      <c r="G654" s="145"/>
      <c r="H654" s="146"/>
      <c r="I654" s="145"/>
      <c r="J654" s="146"/>
      <c r="K654" s="145"/>
      <c r="L654" s="145"/>
      <c r="M654" s="145"/>
      <c r="N654" s="145"/>
      <c r="O654" s="145"/>
      <c r="P654" s="35"/>
      <c r="Q654" s="36"/>
    </row>
    <row r="655" spans="1:17" ht="9.75">
      <c r="A655" s="35"/>
      <c r="B655" s="145"/>
      <c r="C655" s="145"/>
      <c r="D655" s="146"/>
      <c r="E655" s="145"/>
      <c r="F655" s="146"/>
      <c r="G655" s="145"/>
      <c r="H655" s="146"/>
      <c r="I655" s="145"/>
      <c r="J655" s="146"/>
      <c r="K655" s="145"/>
      <c r="L655" s="145"/>
      <c r="M655" s="145"/>
      <c r="N655" s="145"/>
      <c r="O655" s="145"/>
      <c r="P655" s="35"/>
      <c r="Q655" s="36"/>
    </row>
    <row r="656" spans="1:17" ht="9.75">
      <c r="A656" s="35"/>
      <c r="B656" s="145"/>
      <c r="C656" s="145"/>
      <c r="D656" s="146"/>
      <c r="E656" s="145"/>
      <c r="F656" s="146"/>
      <c r="G656" s="145"/>
      <c r="H656" s="146"/>
      <c r="I656" s="145"/>
      <c r="J656" s="146"/>
      <c r="K656" s="145"/>
      <c r="L656" s="145"/>
      <c r="M656" s="145"/>
      <c r="N656" s="145"/>
      <c r="O656" s="145"/>
      <c r="P656" s="35"/>
      <c r="Q656" s="36"/>
    </row>
    <row r="657" spans="1:17" ht="9.75">
      <c r="A657" s="35"/>
      <c r="B657" s="145"/>
      <c r="C657" s="145"/>
      <c r="D657" s="146"/>
      <c r="E657" s="145"/>
      <c r="F657" s="146"/>
      <c r="G657" s="145"/>
      <c r="H657" s="146"/>
      <c r="I657" s="145"/>
      <c r="J657" s="146"/>
      <c r="K657" s="145"/>
      <c r="L657" s="145"/>
      <c r="M657" s="145"/>
      <c r="N657" s="145"/>
      <c r="O657" s="145"/>
      <c r="P657" s="35"/>
      <c r="Q657" s="36"/>
    </row>
    <row r="658" spans="1:17" ht="9.75">
      <c r="A658" s="35"/>
      <c r="B658" s="145"/>
      <c r="C658" s="145"/>
      <c r="D658" s="146"/>
      <c r="E658" s="145"/>
      <c r="F658" s="146"/>
      <c r="G658" s="145"/>
      <c r="H658" s="146"/>
      <c r="I658" s="145"/>
      <c r="J658" s="146"/>
      <c r="K658" s="145"/>
      <c r="L658" s="145"/>
      <c r="M658" s="145"/>
      <c r="N658" s="145"/>
      <c r="O658" s="145"/>
      <c r="P658" s="35"/>
      <c r="Q658" s="36"/>
    </row>
    <row r="659" spans="1:17" ht="9.75">
      <c r="A659" s="35"/>
      <c r="B659" s="145"/>
      <c r="C659" s="145"/>
      <c r="D659" s="146"/>
      <c r="E659" s="145"/>
      <c r="F659" s="146"/>
      <c r="G659" s="145"/>
      <c r="H659" s="146"/>
      <c r="I659" s="145"/>
      <c r="J659" s="146"/>
      <c r="K659" s="145"/>
      <c r="L659" s="145"/>
      <c r="M659" s="145"/>
      <c r="N659" s="145"/>
      <c r="O659" s="145"/>
      <c r="P659" s="35"/>
      <c r="Q659" s="36"/>
    </row>
    <row r="660" spans="1:17" ht="9.75">
      <c r="A660" s="35"/>
      <c r="B660" s="145"/>
      <c r="C660" s="145"/>
      <c r="D660" s="146"/>
      <c r="E660" s="145"/>
      <c r="F660" s="146"/>
      <c r="G660" s="145"/>
      <c r="H660" s="146"/>
      <c r="I660" s="145"/>
      <c r="J660" s="146"/>
      <c r="K660" s="145"/>
      <c r="L660" s="145"/>
      <c r="M660" s="145"/>
      <c r="N660" s="145"/>
      <c r="O660" s="145"/>
      <c r="P660" s="35"/>
      <c r="Q660" s="36"/>
    </row>
    <row r="661" spans="1:17" ht="9.75">
      <c r="A661" s="35"/>
      <c r="B661" s="145"/>
      <c r="C661" s="145"/>
      <c r="D661" s="146"/>
      <c r="E661" s="145"/>
      <c r="F661" s="146"/>
      <c r="G661" s="145"/>
      <c r="H661" s="146"/>
      <c r="I661" s="145"/>
      <c r="J661" s="146"/>
      <c r="K661" s="145"/>
      <c r="L661" s="145"/>
      <c r="M661" s="145"/>
      <c r="N661" s="145"/>
      <c r="O661" s="145"/>
      <c r="P661" s="35"/>
      <c r="Q661" s="36"/>
    </row>
    <row r="662" spans="1:17" ht="9.75">
      <c r="A662" s="35"/>
      <c r="B662" s="145"/>
      <c r="C662" s="145"/>
      <c r="D662" s="146"/>
      <c r="E662" s="145"/>
      <c r="F662" s="146"/>
      <c r="G662" s="145"/>
      <c r="H662" s="146"/>
      <c r="I662" s="145"/>
      <c r="J662" s="146"/>
      <c r="K662" s="145"/>
      <c r="L662" s="145"/>
      <c r="M662" s="145"/>
      <c r="N662" s="145"/>
      <c r="O662" s="145"/>
      <c r="P662" s="35"/>
      <c r="Q662" s="36"/>
    </row>
    <row r="663" spans="1:17" ht="9.75">
      <c r="A663" s="35"/>
      <c r="B663" s="145"/>
      <c r="C663" s="145"/>
      <c r="D663" s="146"/>
      <c r="E663" s="145"/>
      <c r="F663" s="146"/>
      <c r="G663" s="145"/>
      <c r="H663" s="146"/>
      <c r="I663" s="145"/>
      <c r="J663" s="146"/>
      <c r="K663" s="145"/>
      <c r="L663" s="145"/>
      <c r="M663" s="145"/>
      <c r="N663" s="145"/>
      <c r="O663" s="145"/>
      <c r="P663" s="35"/>
      <c r="Q663" s="36"/>
    </row>
    <row r="664" spans="1:17" ht="9.75">
      <c r="A664" s="35"/>
      <c r="B664" s="145"/>
      <c r="C664" s="145"/>
      <c r="D664" s="146"/>
      <c r="E664" s="145"/>
      <c r="F664" s="146"/>
      <c r="G664" s="145"/>
      <c r="H664" s="146"/>
      <c r="I664" s="145"/>
      <c r="J664" s="146"/>
      <c r="K664" s="145"/>
      <c r="L664" s="145"/>
      <c r="M664" s="145"/>
      <c r="N664" s="145"/>
      <c r="O664" s="145"/>
      <c r="P664" s="35"/>
      <c r="Q664" s="36"/>
    </row>
    <row r="665" spans="1:17" ht="9.75">
      <c r="A665" s="35"/>
      <c r="B665" s="145"/>
      <c r="C665" s="145"/>
      <c r="D665" s="146"/>
      <c r="E665" s="145"/>
      <c r="F665" s="146"/>
      <c r="G665" s="145"/>
      <c r="H665" s="146"/>
      <c r="I665" s="145"/>
      <c r="J665" s="146"/>
      <c r="K665" s="145"/>
      <c r="L665" s="145"/>
      <c r="M665" s="145"/>
      <c r="N665" s="145"/>
      <c r="O665" s="145"/>
      <c r="P665" s="35"/>
      <c r="Q665" s="36"/>
    </row>
    <row r="666" spans="1:17" ht="9.75">
      <c r="A666" s="35"/>
      <c r="B666" s="145"/>
      <c r="C666" s="145"/>
      <c r="D666" s="146"/>
      <c r="E666" s="145"/>
      <c r="F666" s="146"/>
      <c r="G666" s="145"/>
      <c r="H666" s="146"/>
      <c r="I666" s="145"/>
      <c r="J666" s="146"/>
      <c r="K666" s="145"/>
      <c r="L666" s="145"/>
      <c r="M666" s="145"/>
      <c r="N666" s="145"/>
      <c r="O666" s="145"/>
      <c r="P666" s="35"/>
      <c r="Q666" s="36"/>
    </row>
    <row r="667" spans="1:17" ht="9.75">
      <c r="A667" s="35"/>
      <c r="B667" s="145"/>
      <c r="C667" s="145"/>
      <c r="D667" s="146"/>
      <c r="E667" s="145"/>
      <c r="F667" s="146"/>
      <c r="G667" s="145"/>
      <c r="H667" s="146"/>
      <c r="I667" s="145"/>
      <c r="J667" s="146"/>
      <c r="K667" s="145"/>
      <c r="L667" s="145"/>
      <c r="M667" s="145"/>
      <c r="N667" s="145"/>
      <c r="O667" s="145"/>
      <c r="P667" s="35"/>
      <c r="Q667" s="36"/>
    </row>
    <row r="668" spans="1:17" ht="9.75">
      <c r="A668" s="35"/>
      <c r="B668" s="145"/>
      <c r="C668" s="145"/>
      <c r="D668" s="146"/>
      <c r="E668" s="145"/>
      <c r="F668" s="146"/>
      <c r="G668" s="145"/>
      <c r="H668" s="146"/>
      <c r="I668" s="145"/>
      <c r="J668" s="146"/>
      <c r="K668" s="145"/>
      <c r="L668" s="145"/>
      <c r="M668" s="145"/>
      <c r="N668" s="145"/>
      <c r="O668" s="145"/>
      <c r="P668" s="35"/>
      <c r="Q668" s="36"/>
    </row>
    <row r="669" spans="1:17" ht="9.75">
      <c r="A669" s="35"/>
      <c r="B669" s="145"/>
      <c r="C669" s="145"/>
      <c r="D669" s="146"/>
      <c r="E669" s="145"/>
      <c r="F669" s="146"/>
      <c r="G669" s="145"/>
      <c r="H669" s="146"/>
      <c r="I669" s="145"/>
      <c r="J669" s="146"/>
      <c r="K669" s="145"/>
      <c r="L669" s="145"/>
      <c r="M669" s="145"/>
      <c r="N669" s="145"/>
      <c r="O669" s="145"/>
      <c r="P669" s="35"/>
      <c r="Q669" s="36"/>
    </row>
    <row r="670" spans="1:17" ht="9.75">
      <c r="A670" s="35"/>
      <c r="B670" s="145"/>
      <c r="C670" s="145"/>
      <c r="D670" s="146"/>
      <c r="E670" s="145"/>
      <c r="F670" s="146"/>
      <c r="G670" s="145"/>
      <c r="H670" s="146"/>
      <c r="I670" s="145"/>
      <c r="J670" s="146"/>
      <c r="K670" s="145"/>
      <c r="L670" s="145"/>
      <c r="M670" s="145"/>
      <c r="N670" s="145"/>
      <c r="O670" s="145"/>
      <c r="P670" s="35"/>
      <c r="Q670" s="36"/>
    </row>
    <row r="671" spans="1:17" ht="9.75">
      <c r="A671" s="35"/>
      <c r="B671" s="145"/>
      <c r="C671" s="145"/>
      <c r="D671" s="146"/>
      <c r="E671" s="145"/>
      <c r="F671" s="146"/>
      <c r="G671" s="145"/>
      <c r="H671" s="146"/>
      <c r="I671" s="145"/>
      <c r="J671" s="146"/>
      <c r="K671" s="145"/>
      <c r="L671" s="145"/>
      <c r="M671" s="145"/>
      <c r="N671" s="145"/>
      <c r="O671" s="145"/>
      <c r="P671" s="35"/>
      <c r="Q671" s="36"/>
    </row>
    <row r="672" spans="1:17" ht="9.75">
      <c r="A672" s="35"/>
      <c r="B672" s="145"/>
      <c r="C672" s="145"/>
      <c r="D672" s="146"/>
      <c r="E672" s="145"/>
      <c r="F672" s="146"/>
      <c r="G672" s="145"/>
      <c r="H672" s="146"/>
      <c r="I672" s="145"/>
      <c r="J672" s="146"/>
      <c r="K672" s="145"/>
      <c r="L672" s="145"/>
      <c r="M672" s="145"/>
      <c r="N672" s="145"/>
      <c r="O672" s="145"/>
      <c r="P672" s="35"/>
      <c r="Q672" s="36"/>
    </row>
    <row r="673" spans="1:17" ht="9.75">
      <c r="A673" s="35"/>
      <c r="B673" s="145"/>
      <c r="C673" s="145"/>
      <c r="D673" s="146"/>
      <c r="E673" s="145"/>
      <c r="F673" s="146"/>
      <c r="G673" s="145"/>
      <c r="H673" s="146"/>
      <c r="I673" s="145"/>
      <c r="J673" s="146"/>
      <c r="K673" s="145"/>
      <c r="L673" s="145"/>
      <c r="M673" s="145"/>
      <c r="N673" s="145"/>
      <c r="O673" s="145"/>
      <c r="P673" s="35"/>
      <c r="Q673" s="36"/>
    </row>
    <row r="674" spans="1:17" ht="9.75">
      <c r="A674" s="35"/>
      <c r="B674" s="145"/>
      <c r="C674" s="145"/>
      <c r="D674" s="146"/>
      <c r="E674" s="145"/>
      <c r="F674" s="146"/>
      <c r="G674" s="145"/>
      <c r="H674" s="146"/>
      <c r="I674" s="145"/>
      <c r="J674" s="146"/>
      <c r="K674" s="145"/>
      <c r="L674" s="145"/>
      <c r="M674" s="145"/>
      <c r="N674" s="145"/>
      <c r="O674" s="145"/>
      <c r="P674" s="35"/>
      <c r="Q674" s="36"/>
    </row>
    <row r="675" spans="1:17" ht="9.75">
      <c r="A675" s="35"/>
      <c r="B675" s="145"/>
      <c r="C675" s="145"/>
      <c r="D675" s="146"/>
      <c r="E675" s="145"/>
      <c r="F675" s="146"/>
      <c r="G675" s="145"/>
      <c r="H675" s="146"/>
      <c r="I675" s="145"/>
      <c r="J675" s="146"/>
      <c r="K675" s="145"/>
      <c r="L675" s="145"/>
      <c r="M675" s="145"/>
      <c r="N675" s="145"/>
      <c r="O675" s="145"/>
      <c r="P675" s="35"/>
      <c r="Q675" s="36"/>
    </row>
    <row r="676" spans="1:17" ht="9.75">
      <c r="A676" s="35"/>
      <c r="B676" s="145"/>
      <c r="C676" s="145"/>
      <c r="D676" s="146"/>
      <c r="E676" s="145"/>
      <c r="F676" s="146"/>
      <c r="G676" s="145"/>
      <c r="H676" s="146"/>
      <c r="I676" s="145"/>
      <c r="J676" s="146"/>
      <c r="K676" s="145"/>
      <c r="L676" s="145"/>
      <c r="M676" s="145"/>
      <c r="N676" s="145"/>
      <c r="O676" s="145"/>
      <c r="P676" s="35"/>
      <c r="Q676" s="36"/>
    </row>
    <row r="677" spans="1:17" ht="9.75">
      <c r="A677" s="35"/>
      <c r="B677" s="145"/>
      <c r="C677" s="145"/>
      <c r="D677" s="146"/>
      <c r="E677" s="145"/>
      <c r="F677" s="146"/>
      <c r="G677" s="145"/>
      <c r="H677" s="146"/>
      <c r="I677" s="145"/>
      <c r="J677" s="146"/>
      <c r="K677" s="145"/>
      <c r="L677" s="145"/>
      <c r="M677" s="145"/>
      <c r="N677" s="145"/>
      <c r="O677" s="145"/>
      <c r="P677" s="35"/>
      <c r="Q677" s="36"/>
    </row>
    <row r="678" spans="1:17" ht="9.75">
      <c r="A678" s="35"/>
      <c r="B678" s="145"/>
      <c r="C678" s="145"/>
      <c r="D678" s="146"/>
      <c r="E678" s="145"/>
      <c r="F678" s="146"/>
      <c r="G678" s="145"/>
      <c r="H678" s="146"/>
      <c r="I678" s="145"/>
      <c r="J678" s="146"/>
      <c r="K678" s="145"/>
      <c r="L678" s="145"/>
      <c r="M678" s="145"/>
      <c r="N678" s="145"/>
      <c r="O678" s="145"/>
      <c r="P678" s="35"/>
      <c r="Q678" s="36"/>
    </row>
    <row r="679" spans="1:17" ht="9.75">
      <c r="A679" s="35"/>
      <c r="B679" s="145"/>
      <c r="C679" s="145"/>
      <c r="D679" s="146"/>
      <c r="E679" s="145"/>
      <c r="F679" s="146"/>
      <c r="G679" s="145"/>
      <c r="H679" s="146"/>
      <c r="I679" s="145"/>
      <c r="J679" s="146"/>
      <c r="K679" s="145"/>
      <c r="L679" s="145"/>
      <c r="M679" s="145"/>
      <c r="N679" s="145"/>
      <c r="O679" s="145"/>
      <c r="P679" s="35"/>
      <c r="Q679" s="36"/>
    </row>
    <row r="680" spans="1:17" ht="9.75">
      <c r="A680" s="35"/>
      <c r="B680" s="145"/>
      <c r="C680" s="145"/>
      <c r="D680" s="146"/>
      <c r="E680" s="145"/>
      <c r="F680" s="146"/>
      <c r="G680" s="145"/>
      <c r="H680" s="146"/>
      <c r="I680" s="145"/>
      <c r="J680" s="146"/>
      <c r="K680" s="145"/>
      <c r="L680" s="145"/>
      <c r="M680" s="145"/>
      <c r="N680" s="145"/>
      <c r="O680" s="145"/>
      <c r="P680" s="35"/>
      <c r="Q680" s="36"/>
    </row>
    <row r="681" spans="1:17" ht="9.75">
      <c r="A681" s="35"/>
      <c r="B681" s="145"/>
      <c r="C681" s="145"/>
      <c r="D681" s="146"/>
      <c r="E681" s="145"/>
      <c r="F681" s="146"/>
      <c r="G681" s="145"/>
      <c r="H681" s="146"/>
      <c r="I681" s="145"/>
      <c r="J681" s="146"/>
      <c r="K681" s="145"/>
      <c r="L681" s="145"/>
      <c r="M681" s="145"/>
      <c r="N681" s="145"/>
      <c r="O681" s="145"/>
      <c r="P681" s="35"/>
      <c r="Q681" s="36"/>
    </row>
    <row r="682" spans="1:17" ht="9.75">
      <c r="A682" s="35"/>
      <c r="B682" s="145"/>
      <c r="C682" s="145"/>
      <c r="D682" s="146"/>
      <c r="E682" s="145"/>
      <c r="F682" s="146"/>
      <c r="G682" s="145"/>
      <c r="H682" s="146"/>
      <c r="I682" s="145"/>
      <c r="J682" s="146"/>
      <c r="K682" s="145"/>
      <c r="L682" s="145"/>
      <c r="M682" s="145"/>
      <c r="N682" s="145"/>
      <c r="O682" s="145"/>
      <c r="P682" s="35"/>
      <c r="Q682" s="36"/>
    </row>
    <row r="683" spans="1:17" ht="9.75">
      <c r="A683" s="35"/>
      <c r="B683" s="145"/>
      <c r="C683" s="145"/>
      <c r="D683" s="146"/>
      <c r="E683" s="145"/>
      <c r="F683" s="146"/>
      <c r="G683" s="145"/>
      <c r="H683" s="146"/>
      <c r="I683" s="145"/>
      <c r="J683" s="146"/>
      <c r="K683" s="145"/>
      <c r="L683" s="145"/>
      <c r="M683" s="145"/>
      <c r="N683" s="145"/>
      <c r="O683" s="145"/>
      <c r="P683" s="35"/>
      <c r="Q683" s="36"/>
    </row>
    <row r="684" spans="1:17" ht="9.75">
      <c r="A684" s="35"/>
      <c r="B684" s="145"/>
      <c r="C684" s="145"/>
      <c r="D684" s="146"/>
      <c r="E684" s="145"/>
      <c r="F684" s="146"/>
      <c r="G684" s="145"/>
      <c r="H684" s="146"/>
      <c r="I684" s="145"/>
      <c r="J684" s="146"/>
      <c r="K684" s="145"/>
      <c r="L684" s="145"/>
      <c r="M684" s="145"/>
      <c r="N684" s="145"/>
      <c r="O684" s="145"/>
      <c r="P684" s="35"/>
      <c r="Q684" s="36"/>
    </row>
    <row r="685" spans="1:17" ht="9.75">
      <c r="A685" s="35"/>
      <c r="B685" s="145"/>
      <c r="C685" s="145"/>
      <c r="D685" s="146"/>
      <c r="E685" s="145"/>
      <c r="F685" s="146"/>
      <c r="G685" s="145"/>
      <c r="H685" s="146"/>
      <c r="I685" s="145"/>
      <c r="J685" s="146"/>
      <c r="K685" s="145"/>
      <c r="L685" s="145"/>
      <c r="M685" s="145"/>
      <c r="N685" s="145"/>
      <c r="O685" s="145"/>
      <c r="P685" s="35"/>
      <c r="Q685" s="36"/>
    </row>
    <row r="686" spans="1:17" ht="9.75">
      <c r="A686" s="35"/>
      <c r="B686" s="145"/>
      <c r="C686" s="145"/>
      <c r="D686" s="146"/>
      <c r="E686" s="145"/>
      <c r="F686" s="146"/>
      <c r="G686" s="145"/>
      <c r="H686" s="146"/>
      <c r="I686" s="145"/>
      <c r="J686" s="146"/>
      <c r="K686" s="145"/>
      <c r="L686" s="145"/>
      <c r="M686" s="145"/>
      <c r="N686" s="145"/>
      <c r="O686" s="145"/>
      <c r="P686" s="35"/>
      <c r="Q686" s="36"/>
    </row>
    <row r="687" spans="1:17" ht="9.75">
      <c r="A687" s="35"/>
      <c r="B687" s="145"/>
      <c r="C687" s="145"/>
      <c r="D687" s="146"/>
      <c r="E687" s="145"/>
      <c r="F687" s="146"/>
      <c r="G687" s="145"/>
      <c r="H687" s="146"/>
      <c r="I687" s="145"/>
      <c r="J687" s="146"/>
      <c r="K687" s="145"/>
      <c r="L687" s="145"/>
      <c r="M687" s="145"/>
      <c r="N687" s="145"/>
      <c r="O687" s="145"/>
      <c r="P687" s="35"/>
      <c r="Q687" s="36"/>
    </row>
    <row r="688" spans="1:17" ht="9.75">
      <c r="A688" s="35"/>
      <c r="B688" s="145"/>
      <c r="C688" s="145"/>
      <c r="D688" s="146"/>
      <c r="E688" s="145"/>
      <c r="F688" s="146"/>
      <c r="G688" s="145"/>
      <c r="H688" s="146"/>
      <c r="I688" s="145"/>
      <c r="J688" s="146"/>
      <c r="K688" s="145"/>
      <c r="L688" s="145"/>
      <c r="M688" s="145"/>
      <c r="N688" s="145"/>
      <c r="O688" s="145"/>
      <c r="P688" s="35"/>
      <c r="Q688" s="36"/>
    </row>
    <row r="689" spans="1:17" ht="9.75">
      <c r="A689" s="35"/>
      <c r="B689" s="145"/>
      <c r="C689" s="145"/>
      <c r="D689" s="146"/>
      <c r="E689" s="145"/>
      <c r="F689" s="146"/>
      <c r="G689" s="145"/>
      <c r="H689" s="146"/>
      <c r="I689" s="145"/>
      <c r="J689" s="146"/>
      <c r="K689" s="145"/>
      <c r="L689" s="145"/>
      <c r="M689" s="145"/>
      <c r="N689" s="145"/>
      <c r="O689" s="145"/>
      <c r="P689" s="35"/>
      <c r="Q689" s="36"/>
    </row>
    <row r="690" spans="1:17" ht="9.75">
      <c r="A690" s="35"/>
      <c r="B690" s="145"/>
      <c r="C690" s="145"/>
      <c r="D690" s="146"/>
      <c r="E690" s="145"/>
      <c r="F690" s="146"/>
      <c r="G690" s="145"/>
      <c r="H690" s="146"/>
      <c r="I690" s="145"/>
      <c r="J690" s="146"/>
      <c r="K690" s="145"/>
      <c r="L690" s="145"/>
      <c r="M690" s="145"/>
      <c r="N690" s="145"/>
      <c r="O690" s="145"/>
      <c r="P690" s="35"/>
      <c r="Q690" s="36"/>
    </row>
    <row r="691" spans="1:17" ht="9.75">
      <c r="A691" s="35"/>
      <c r="B691" s="145"/>
      <c r="C691" s="145"/>
      <c r="D691" s="146"/>
      <c r="E691" s="145"/>
      <c r="F691" s="146"/>
      <c r="G691" s="145"/>
      <c r="H691" s="146"/>
      <c r="I691" s="145"/>
      <c r="J691" s="146"/>
      <c r="K691" s="145"/>
      <c r="L691" s="145"/>
      <c r="M691" s="145"/>
      <c r="N691" s="145"/>
      <c r="O691" s="145"/>
      <c r="P691" s="35"/>
      <c r="Q691" s="36"/>
    </row>
    <row r="692" spans="1:17" ht="9.75">
      <c r="A692" s="35"/>
      <c r="B692" s="145"/>
      <c r="C692" s="145"/>
      <c r="D692" s="146"/>
      <c r="E692" s="145"/>
      <c r="F692" s="146"/>
      <c r="G692" s="145"/>
      <c r="H692" s="146"/>
      <c r="I692" s="145"/>
      <c r="J692" s="146"/>
      <c r="K692" s="145"/>
      <c r="L692" s="145"/>
      <c r="M692" s="145"/>
      <c r="N692" s="145"/>
      <c r="O692" s="145"/>
      <c r="P692" s="35"/>
      <c r="Q692" s="36"/>
    </row>
    <row r="693" spans="1:17" ht="9.75">
      <c r="A693" s="35"/>
      <c r="B693" s="145"/>
      <c r="C693" s="145"/>
      <c r="D693" s="146"/>
      <c r="E693" s="145"/>
      <c r="F693" s="146"/>
      <c r="G693" s="145"/>
      <c r="H693" s="146"/>
      <c r="I693" s="145"/>
      <c r="J693" s="146"/>
      <c r="K693" s="145"/>
      <c r="L693" s="145"/>
      <c r="M693" s="145"/>
      <c r="N693" s="145"/>
      <c r="O693" s="145"/>
      <c r="P693" s="35"/>
      <c r="Q693" s="36"/>
    </row>
    <row r="694" spans="1:17" ht="9.75">
      <c r="A694" s="35"/>
      <c r="B694" s="145"/>
      <c r="C694" s="145"/>
      <c r="D694" s="146"/>
      <c r="E694" s="145"/>
      <c r="F694" s="146"/>
      <c r="G694" s="145"/>
      <c r="H694" s="146"/>
      <c r="I694" s="145"/>
      <c r="J694" s="146"/>
      <c r="K694" s="145"/>
      <c r="L694" s="145"/>
      <c r="M694" s="145"/>
      <c r="N694" s="145"/>
      <c r="O694" s="145"/>
      <c r="P694" s="35"/>
      <c r="Q694" s="36"/>
    </row>
    <row r="695" spans="1:17" ht="9.75">
      <c r="A695" s="35"/>
      <c r="B695" s="145"/>
      <c r="C695" s="35"/>
      <c r="D695" s="146"/>
      <c r="E695" s="145"/>
      <c r="F695" s="146"/>
      <c r="G695" s="145"/>
      <c r="H695" s="146"/>
      <c r="I695" s="145"/>
      <c r="J695" s="146"/>
      <c r="K695" s="145"/>
      <c r="L695" s="145"/>
      <c r="M695" s="145"/>
      <c r="N695" s="145"/>
      <c r="O695" s="145"/>
      <c r="P695" s="35"/>
      <c r="Q695" s="36"/>
    </row>
    <row r="696" spans="1:17" ht="9.75">
      <c r="A696" s="35"/>
      <c r="B696" s="145"/>
      <c r="C696" s="145"/>
      <c r="D696" s="146"/>
      <c r="E696" s="145"/>
      <c r="F696" s="146"/>
      <c r="G696" s="145"/>
      <c r="H696" s="146"/>
      <c r="I696" s="145"/>
      <c r="J696" s="146"/>
      <c r="K696" s="145"/>
      <c r="L696" s="145"/>
      <c r="M696" s="145"/>
      <c r="N696" s="145"/>
      <c r="O696" s="145"/>
      <c r="P696" s="35"/>
      <c r="Q696" s="36"/>
    </row>
    <row r="697" spans="1:17" ht="9.75">
      <c r="A697" s="35"/>
      <c r="B697" s="145"/>
      <c r="C697" s="145"/>
      <c r="D697" s="146"/>
      <c r="E697" s="145"/>
      <c r="F697" s="146"/>
      <c r="G697" s="145"/>
      <c r="H697" s="146"/>
      <c r="I697" s="145"/>
      <c r="J697" s="146"/>
      <c r="K697" s="145"/>
      <c r="L697" s="145"/>
      <c r="M697" s="145"/>
      <c r="N697" s="145"/>
      <c r="O697" s="145"/>
      <c r="P697" s="35"/>
      <c r="Q697" s="36"/>
    </row>
    <row r="698" spans="1:17" ht="9.75">
      <c r="A698" s="35"/>
      <c r="B698" s="145"/>
      <c r="C698" s="145"/>
      <c r="D698" s="146"/>
      <c r="E698" s="145"/>
      <c r="F698" s="146"/>
      <c r="G698" s="145"/>
      <c r="H698" s="146"/>
      <c r="I698" s="145"/>
      <c r="J698" s="146"/>
      <c r="K698" s="145"/>
      <c r="L698" s="145"/>
      <c r="M698" s="145"/>
      <c r="N698" s="145"/>
      <c r="O698" s="145"/>
      <c r="P698" s="35"/>
      <c r="Q698" s="36"/>
    </row>
    <row r="699" spans="1:17" ht="9.75">
      <c r="A699" s="35"/>
      <c r="B699" s="145"/>
      <c r="C699" s="145"/>
      <c r="D699" s="146"/>
      <c r="E699" s="145"/>
      <c r="F699" s="146"/>
      <c r="G699" s="145"/>
      <c r="H699" s="146"/>
      <c r="I699" s="145"/>
      <c r="J699" s="146"/>
      <c r="K699" s="145"/>
      <c r="L699" s="145"/>
      <c r="M699" s="145"/>
      <c r="N699" s="145"/>
      <c r="O699" s="145"/>
      <c r="P699" s="35"/>
      <c r="Q699" s="36"/>
    </row>
    <row r="700" spans="1:17" ht="9.75">
      <c r="A700" s="35"/>
      <c r="B700" s="145"/>
      <c r="C700" s="35"/>
      <c r="D700" s="146"/>
      <c r="E700" s="145"/>
      <c r="F700" s="146"/>
      <c r="G700" s="145"/>
      <c r="H700" s="146"/>
      <c r="I700" s="145"/>
      <c r="J700" s="146"/>
      <c r="K700" s="145"/>
      <c r="L700" s="145"/>
      <c r="M700" s="145"/>
      <c r="N700" s="145"/>
      <c r="O700" s="145"/>
      <c r="P700" s="35"/>
      <c r="Q700" s="36"/>
    </row>
    <row r="701" spans="1:17" ht="9.75">
      <c r="A701" s="35"/>
      <c r="B701" s="145"/>
      <c r="C701" s="145"/>
      <c r="D701" s="146"/>
      <c r="E701" s="145"/>
      <c r="F701" s="146"/>
      <c r="G701" s="145"/>
      <c r="H701" s="146"/>
      <c r="I701" s="145"/>
      <c r="J701" s="146"/>
      <c r="K701" s="145"/>
      <c r="L701" s="145"/>
      <c r="M701" s="145"/>
      <c r="N701" s="145"/>
      <c r="O701" s="145"/>
      <c r="P701" s="35"/>
      <c r="Q701" s="36"/>
    </row>
    <row r="702" spans="1:17" ht="9.75">
      <c r="A702" s="35"/>
      <c r="B702" s="145"/>
      <c r="C702" s="145"/>
      <c r="D702" s="146"/>
      <c r="E702" s="145"/>
      <c r="F702" s="146"/>
      <c r="G702" s="145"/>
      <c r="H702" s="146"/>
      <c r="I702" s="145"/>
      <c r="J702" s="146"/>
      <c r="K702" s="145"/>
      <c r="L702" s="145"/>
      <c r="M702" s="145"/>
      <c r="N702" s="145"/>
      <c r="O702" s="145"/>
      <c r="P702" s="35"/>
      <c r="Q702" s="36"/>
    </row>
    <row r="703" spans="1:17" ht="9.75">
      <c r="A703" s="35"/>
      <c r="B703" s="145"/>
      <c r="C703" s="145"/>
      <c r="D703" s="146"/>
      <c r="E703" s="145"/>
      <c r="F703" s="146"/>
      <c r="G703" s="145"/>
      <c r="H703" s="146"/>
      <c r="I703" s="145"/>
      <c r="J703" s="146"/>
      <c r="K703" s="145"/>
      <c r="L703" s="145"/>
      <c r="M703" s="145"/>
      <c r="N703" s="145"/>
      <c r="O703" s="145"/>
      <c r="P703" s="35"/>
      <c r="Q703" s="36"/>
    </row>
    <row r="704" spans="1:17" ht="9.75">
      <c r="A704" s="35"/>
      <c r="B704" s="145"/>
      <c r="C704" s="145"/>
      <c r="D704" s="146"/>
      <c r="E704" s="145"/>
      <c r="F704" s="146"/>
      <c r="G704" s="145"/>
      <c r="H704" s="146"/>
      <c r="I704" s="145"/>
      <c r="J704" s="146"/>
      <c r="K704" s="145"/>
      <c r="L704" s="145"/>
      <c r="M704" s="145"/>
      <c r="N704" s="145"/>
      <c r="O704" s="145"/>
      <c r="P704" s="35"/>
      <c r="Q704" s="36"/>
    </row>
    <row r="705" spans="1:17" ht="9.75">
      <c r="A705" s="35"/>
      <c r="B705" s="145"/>
      <c r="C705" s="145"/>
      <c r="D705" s="146"/>
      <c r="E705" s="145"/>
      <c r="F705" s="146"/>
      <c r="G705" s="145"/>
      <c r="H705" s="146"/>
      <c r="I705" s="145"/>
      <c r="J705" s="146"/>
      <c r="K705" s="145"/>
      <c r="L705" s="145"/>
      <c r="M705" s="145"/>
      <c r="N705" s="145"/>
      <c r="O705" s="145"/>
      <c r="P705" s="35"/>
      <c r="Q705" s="36"/>
    </row>
    <row r="706" spans="1:17" ht="9.75">
      <c r="A706" s="35"/>
      <c r="B706" s="145"/>
      <c r="C706" s="145"/>
      <c r="D706" s="146"/>
      <c r="E706" s="145"/>
      <c r="F706" s="146"/>
      <c r="G706" s="145"/>
      <c r="H706" s="146"/>
      <c r="I706" s="145"/>
      <c r="J706" s="146"/>
      <c r="K706" s="145"/>
      <c r="L706" s="145"/>
      <c r="M706" s="145"/>
      <c r="N706" s="145"/>
      <c r="O706" s="145"/>
      <c r="P706" s="35"/>
      <c r="Q706" s="36"/>
    </row>
    <row r="707" spans="1:17" ht="9.75">
      <c r="A707" s="35"/>
      <c r="B707" s="145"/>
      <c r="C707" s="145"/>
      <c r="D707" s="146"/>
      <c r="E707" s="145"/>
      <c r="F707" s="146"/>
      <c r="G707" s="145"/>
      <c r="H707" s="146"/>
      <c r="I707" s="145"/>
      <c r="J707" s="146"/>
      <c r="K707" s="145"/>
      <c r="L707" s="145"/>
      <c r="M707" s="145"/>
      <c r="N707" s="145"/>
      <c r="O707" s="145"/>
      <c r="P707" s="35"/>
      <c r="Q707" s="36"/>
    </row>
    <row r="708" spans="1:17" ht="9.75">
      <c r="A708" s="35"/>
      <c r="B708" s="145"/>
      <c r="C708" s="145"/>
      <c r="D708" s="146"/>
      <c r="E708" s="145"/>
      <c r="F708" s="146"/>
      <c r="G708" s="145"/>
      <c r="H708" s="146"/>
      <c r="I708" s="145"/>
      <c r="J708" s="146"/>
      <c r="K708" s="145"/>
      <c r="L708" s="145"/>
      <c r="M708" s="145"/>
      <c r="N708" s="145"/>
      <c r="O708" s="145"/>
      <c r="P708" s="35"/>
      <c r="Q708" s="36"/>
    </row>
    <row r="709" spans="1:17" ht="9.75">
      <c r="A709" s="35"/>
      <c r="B709" s="145"/>
      <c r="C709" s="145"/>
      <c r="D709" s="146"/>
      <c r="E709" s="145"/>
      <c r="F709" s="146"/>
      <c r="G709" s="145"/>
      <c r="H709" s="146"/>
      <c r="I709" s="145"/>
      <c r="J709" s="146"/>
      <c r="K709" s="145"/>
      <c r="L709" s="145"/>
      <c r="M709" s="145"/>
      <c r="N709" s="145"/>
      <c r="O709" s="145"/>
      <c r="P709" s="35"/>
      <c r="Q709" s="36"/>
    </row>
    <row r="710" spans="1:17" ht="9.75">
      <c r="A710" s="35"/>
      <c r="B710" s="145"/>
      <c r="C710" s="145"/>
      <c r="D710" s="146"/>
      <c r="E710" s="145"/>
      <c r="F710" s="146"/>
      <c r="G710" s="145"/>
      <c r="H710" s="146"/>
      <c r="I710" s="145"/>
      <c r="J710" s="146"/>
      <c r="K710" s="145"/>
      <c r="L710" s="145"/>
      <c r="M710" s="145"/>
      <c r="N710" s="145"/>
      <c r="O710" s="145"/>
      <c r="P710" s="35"/>
      <c r="Q710" s="36"/>
    </row>
    <row r="711" spans="1:17" ht="9.75">
      <c r="A711" s="35"/>
      <c r="B711" s="145"/>
      <c r="C711" s="145"/>
      <c r="D711" s="146"/>
      <c r="E711" s="145"/>
      <c r="F711" s="146"/>
      <c r="G711" s="145"/>
      <c r="H711" s="146"/>
      <c r="I711" s="145"/>
      <c r="J711" s="146"/>
      <c r="K711" s="145"/>
      <c r="L711" s="145"/>
      <c r="M711" s="145"/>
      <c r="N711" s="145"/>
      <c r="O711" s="145"/>
      <c r="P711" s="35"/>
      <c r="Q711" s="36"/>
    </row>
    <row r="712" spans="1:17" ht="9.75">
      <c r="A712" s="35"/>
      <c r="B712" s="145"/>
      <c r="C712" s="145"/>
      <c r="D712" s="146"/>
      <c r="E712" s="145"/>
      <c r="F712" s="146"/>
      <c r="G712" s="145"/>
      <c r="H712" s="146"/>
      <c r="I712" s="145"/>
      <c r="J712" s="146"/>
      <c r="K712" s="145"/>
      <c r="L712" s="145"/>
      <c r="M712" s="145"/>
      <c r="N712" s="145"/>
      <c r="O712" s="145"/>
      <c r="P712" s="35"/>
      <c r="Q712" s="36"/>
    </row>
    <row r="713" spans="1:17" ht="9.75">
      <c r="A713" s="35"/>
      <c r="B713" s="145"/>
      <c r="C713" s="145"/>
      <c r="D713" s="146"/>
      <c r="E713" s="145"/>
      <c r="F713" s="146"/>
      <c r="G713" s="145"/>
      <c r="H713" s="146"/>
      <c r="I713" s="145"/>
      <c r="J713" s="146"/>
      <c r="K713" s="145"/>
      <c r="L713" s="145"/>
      <c r="M713" s="145"/>
      <c r="N713" s="145"/>
      <c r="O713" s="145"/>
      <c r="P713" s="35"/>
      <c r="Q713" s="36"/>
    </row>
    <row r="714" spans="1:17" ht="9.75">
      <c r="A714" s="35"/>
      <c r="B714" s="145"/>
      <c r="C714" s="145"/>
      <c r="D714" s="146"/>
      <c r="E714" s="145"/>
      <c r="F714" s="146"/>
      <c r="G714" s="145"/>
      <c r="H714" s="146"/>
      <c r="I714" s="145"/>
      <c r="J714" s="146"/>
      <c r="K714" s="145"/>
      <c r="L714" s="145"/>
      <c r="M714" s="145"/>
      <c r="N714" s="145"/>
      <c r="O714" s="145"/>
      <c r="P714" s="35"/>
      <c r="Q714" s="36"/>
    </row>
    <row r="715" spans="1:17" ht="9.75">
      <c r="A715" s="35"/>
      <c r="B715" s="145"/>
      <c r="C715" s="35"/>
      <c r="D715" s="146"/>
      <c r="E715" s="145"/>
      <c r="F715" s="146"/>
      <c r="G715" s="145"/>
      <c r="H715" s="146"/>
      <c r="I715" s="145"/>
      <c r="J715" s="146"/>
      <c r="K715" s="145"/>
      <c r="L715" s="145"/>
      <c r="M715" s="145"/>
      <c r="N715" s="145"/>
      <c r="O715" s="145"/>
      <c r="P715" s="35"/>
      <c r="Q715" s="36"/>
    </row>
    <row r="716" spans="1:17" ht="9.75">
      <c r="A716" s="35"/>
      <c r="B716" s="145"/>
      <c r="C716" s="145"/>
      <c r="D716" s="146"/>
      <c r="E716" s="145"/>
      <c r="F716" s="146"/>
      <c r="G716" s="145"/>
      <c r="H716" s="146"/>
      <c r="I716" s="145"/>
      <c r="J716" s="146"/>
      <c r="K716" s="145"/>
      <c r="L716" s="145"/>
      <c r="M716" s="145"/>
      <c r="N716" s="145"/>
      <c r="O716" s="145"/>
      <c r="P716" s="35"/>
      <c r="Q716" s="36"/>
    </row>
    <row r="717" spans="1:17" ht="9.75">
      <c r="A717" s="35"/>
      <c r="B717" s="145"/>
      <c r="C717" s="145"/>
      <c r="D717" s="146"/>
      <c r="E717" s="145"/>
      <c r="F717" s="146"/>
      <c r="G717" s="145"/>
      <c r="H717" s="146"/>
      <c r="I717" s="145"/>
      <c r="J717" s="146"/>
      <c r="K717" s="145"/>
      <c r="L717" s="145"/>
      <c r="M717" s="145"/>
      <c r="N717" s="145"/>
      <c r="O717" s="145"/>
      <c r="P717" s="35"/>
      <c r="Q717" s="36"/>
    </row>
    <row r="718" spans="1:17" ht="9.75">
      <c r="A718" s="35"/>
      <c r="B718" s="145"/>
      <c r="C718" s="145"/>
      <c r="D718" s="146"/>
      <c r="E718" s="145"/>
      <c r="F718" s="146"/>
      <c r="G718" s="145"/>
      <c r="H718" s="146"/>
      <c r="I718" s="145"/>
      <c r="J718" s="146"/>
      <c r="K718" s="145"/>
      <c r="L718" s="145"/>
      <c r="M718" s="145"/>
      <c r="N718" s="145"/>
      <c r="O718" s="145"/>
      <c r="P718" s="35"/>
      <c r="Q718" s="36"/>
    </row>
    <row r="719" spans="1:17" ht="9.75">
      <c r="A719" s="35"/>
      <c r="B719" s="145"/>
      <c r="C719" s="145"/>
      <c r="D719" s="146"/>
      <c r="E719" s="145"/>
      <c r="F719" s="146"/>
      <c r="G719" s="145"/>
      <c r="H719" s="146"/>
      <c r="I719" s="145"/>
      <c r="J719" s="146"/>
      <c r="K719" s="145"/>
      <c r="L719" s="145"/>
      <c r="M719" s="145"/>
      <c r="N719" s="145"/>
      <c r="O719" s="145"/>
      <c r="P719" s="35"/>
      <c r="Q719" s="36"/>
    </row>
    <row r="720" spans="1:17" ht="9.75">
      <c r="A720" s="35"/>
      <c r="B720" s="145"/>
      <c r="C720" s="145"/>
      <c r="D720" s="146"/>
      <c r="E720" s="145"/>
      <c r="F720" s="146"/>
      <c r="G720" s="145"/>
      <c r="H720" s="146"/>
      <c r="I720" s="145"/>
      <c r="J720" s="146"/>
      <c r="K720" s="145"/>
      <c r="L720" s="145"/>
      <c r="M720" s="145"/>
      <c r="N720" s="145"/>
      <c r="O720" s="145"/>
      <c r="P720" s="35"/>
      <c r="Q720" s="36"/>
    </row>
    <row r="721" spans="1:17" ht="9.75">
      <c r="A721" s="35"/>
      <c r="B721" s="145"/>
      <c r="C721" s="145"/>
      <c r="D721" s="146"/>
      <c r="E721" s="145"/>
      <c r="F721" s="146"/>
      <c r="G721" s="145"/>
      <c r="H721" s="146"/>
      <c r="I721" s="145"/>
      <c r="J721" s="146"/>
      <c r="K721" s="145"/>
      <c r="L721" s="145"/>
      <c r="M721" s="145"/>
      <c r="N721" s="145"/>
      <c r="O721" s="145"/>
      <c r="P721" s="35"/>
      <c r="Q721" s="36"/>
    </row>
    <row r="722" spans="1:17" ht="9.75">
      <c r="A722" s="35"/>
      <c r="B722" s="145"/>
      <c r="C722" s="145"/>
      <c r="D722" s="146"/>
      <c r="E722" s="145"/>
      <c r="F722" s="146"/>
      <c r="G722" s="145"/>
      <c r="H722" s="146"/>
      <c r="I722" s="145"/>
      <c r="J722" s="146"/>
      <c r="K722" s="145"/>
      <c r="L722" s="145"/>
      <c r="M722" s="145"/>
      <c r="N722" s="145"/>
      <c r="O722" s="145"/>
      <c r="P722" s="35"/>
      <c r="Q722" s="36"/>
    </row>
    <row r="723" spans="1:17" ht="9.75">
      <c r="A723" s="35"/>
      <c r="B723" s="145"/>
      <c r="C723" s="145"/>
      <c r="D723" s="146"/>
      <c r="E723" s="145"/>
      <c r="F723" s="146"/>
      <c r="G723" s="145"/>
      <c r="H723" s="146"/>
      <c r="I723" s="145"/>
      <c r="J723" s="146"/>
      <c r="K723" s="145"/>
      <c r="L723" s="145"/>
      <c r="M723" s="145"/>
      <c r="N723" s="145"/>
      <c r="O723" s="145"/>
      <c r="P723" s="35"/>
      <c r="Q723" s="36"/>
    </row>
    <row r="724" spans="1:17" ht="9.75">
      <c r="A724" s="35"/>
      <c r="B724" s="145"/>
      <c r="C724" s="145"/>
      <c r="D724" s="146"/>
      <c r="E724" s="145"/>
      <c r="F724" s="146"/>
      <c r="G724" s="145"/>
      <c r="H724" s="146"/>
      <c r="I724" s="145"/>
      <c r="J724" s="146"/>
      <c r="K724" s="145"/>
      <c r="L724" s="145"/>
      <c r="M724" s="145"/>
      <c r="N724" s="145"/>
      <c r="O724" s="145"/>
      <c r="P724" s="35"/>
      <c r="Q724" s="36"/>
    </row>
    <row r="725" spans="1:17" ht="9.75">
      <c r="A725" s="35"/>
      <c r="B725" s="145"/>
      <c r="C725" s="145"/>
      <c r="D725" s="146"/>
      <c r="E725" s="145"/>
      <c r="F725" s="146"/>
      <c r="G725" s="145"/>
      <c r="H725" s="146"/>
      <c r="I725" s="145"/>
      <c r="J725" s="146"/>
      <c r="K725" s="145"/>
      <c r="L725" s="145"/>
      <c r="M725" s="145"/>
      <c r="N725" s="145"/>
      <c r="O725" s="145"/>
      <c r="P725" s="35"/>
      <c r="Q725" s="36"/>
    </row>
    <row r="726" spans="1:17" ht="9.75">
      <c r="A726" s="35"/>
      <c r="B726" s="145"/>
      <c r="C726" s="145"/>
      <c r="D726" s="146"/>
      <c r="E726" s="145"/>
      <c r="F726" s="146"/>
      <c r="G726" s="145"/>
      <c r="H726" s="146"/>
      <c r="I726" s="145"/>
      <c r="J726" s="146"/>
      <c r="K726" s="145"/>
      <c r="L726" s="145"/>
      <c r="M726" s="145"/>
      <c r="N726" s="145"/>
      <c r="O726" s="145"/>
      <c r="P726" s="35"/>
      <c r="Q726" s="36"/>
    </row>
    <row r="727" spans="1:17" ht="9.75">
      <c r="A727" s="35"/>
      <c r="B727" s="145"/>
      <c r="C727" s="35"/>
      <c r="D727" s="146"/>
      <c r="E727" s="145"/>
      <c r="F727" s="146"/>
      <c r="G727" s="145"/>
      <c r="H727" s="146"/>
      <c r="I727" s="145"/>
      <c r="J727" s="146"/>
      <c r="K727" s="145"/>
      <c r="L727" s="145"/>
      <c r="M727" s="145"/>
      <c r="N727" s="145"/>
      <c r="O727" s="145"/>
      <c r="P727" s="35"/>
      <c r="Q727" s="36"/>
    </row>
    <row r="728" spans="1:17" ht="9.75">
      <c r="A728" s="35"/>
      <c r="B728" s="145"/>
      <c r="C728" s="145"/>
      <c r="D728" s="146"/>
      <c r="E728" s="145"/>
      <c r="F728" s="146"/>
      <c r="G728" s="145"/>
      <c r="H728" s="146"/>
      <c r="I728" s="145"/>
      <c r="J728" s="146"/>
      <c r="K728" s="145"/>
      <c r="L728" s="145"/>
      <c r="M728" s="145"/>
      <c r="N728" s="145"/>
      <c r="O728" s="145"/>
      <c r="P728" s="35"/>
      <c r="Q728" s="36"/>
    </row>
    <row r="729" spans="1:17" ht="9.75">
      <c r="A729" s="35"/>
      <c r="B729" s="145"/>
      <c r="C729" s="145"/>
      <c r="D729" s="146"/>
      <c r="E729" s="145"/>
      <c r="F729" s="146"/>
      <c r="G729" s="145"/>
      <c r="H729" s="146"/>
      <c r="I729" s="145"/>
      <c r="J729" s="146"/>
      <c r="K729" s="145"/>
      <c r="L729" s="145"/>
      <c r="M729" s="145"/>
      <c r="N729" s="145"/>
      <c r="O729" s="145"/>
      <c r="P729" s="35"/>
      <c r="Q729" s="36"/>
    </row>
    <row r="730" spans="1:17" ht="9.75">
      <c r="A730" s="35"/>
      <c r="B730" s="145"/>
      <c r="C730" s="145"/>
      <c r="D730" s="146"/>
      <c r="E730" s="145"/>
      <c r="F730" s="146"/>
      <c r="G730" s="145"/>
      <c r="H730" s="146"/>
      <c r="I730" s="145"/>
      <c r="J730" s="146"/>
      <c r="K730" s="145"/>
      <c r="L730" s="145"/>
      <c r="M730" s="145"/>
      <c r="N730" s="145"/>
      <c r="O730" s="145"/>
      <c r="P730" s="35"/>
      <c r="Q730" s="36"/>
    </row>
    <row r="731" spans="1:17" ht="9.75">
      <c r="A731" s="35"/>
      <c r="B731" s="145"/>
      <c r="C731" s="145"/>
      <c r="D731" s="146"/>
      <c r="E731" s="145"/>
      <c r="F731" s="146"/>
      <c r="G731" s="145"/>
      <c r="H731" s="146"/>
      <c r="I731" s="145"/>
      <c r="J731" s="146"/>
      <c r="K731" s="145"/>
      <c r="L731" s="145"/>
      <c r="M731" s="145"/>
      <c r="N731" s="145"/>
      <c r="O731" s="145"/>
      <c r="P731" s="35"/>
      <c r="Q731" s="36"/>
    </row>
    <row r="732" spans="1:17" ht="9.75">
      <c r="A732" s="35"/>
      <c r="B732" s="145"/>
      <c r="C732" s="145"/>
      <c r="D732" s="146"/>
      <c r="E732" s="145"/>
      <c r="F732" s="146"/>
      <c r="G732" s="145"/>
      <c r="H732" s="146"/>
      <c r="I732" s="145"/>
      <c r="J732" s="146"/>
      <c r="K732" s="145"/>
      <c r="L732" s="145"/>
      <c r="M732" s="145"/>
      <c r="N732" s="145"/>
      <c r="O732" s="145"/>
      <c r="P732" s="35"/>
      <c r="Q732" s="36"/>
    </row>
    <row r="733" spans="1:17" ht="9.75">
      <c r="A733" s="35"/>
      <c r="B733" s="145"/>
      <c r="C733" s="145"/>
      <c r="D733" s="146"/>
      <c r="E733" s="145"/>
      <c r="F733" s="146"/>
      <c r="G733" s="145"/>
      <c r="H733" s="146"/>
      <c r="I733" s="145"/>
      <c r="J733" s="146"/>
      <c r="K733" s="145"/>
      <c r="L733" s="145"/>
      <c r="M733" s="145"/>
      <c r="N733" s="145"/>
      <c r="O733" s="145"/>
      <c r="P733" s="35"/>
      <c r="Q733" s="36"/>
    </row>
    <row r="734" spans="1:17" ht="9.75">
      <c r="A734" s="35"/>
      <c r="B734" s="145"/>
      <c r="C734" s="145"/>
      <c r="D734" s="146"/>
      <c r="E734" s="145"/>
      <c r="F734" s="146"/>
      <c r="G734" s="145"/>
      <c r="H734" s="146"/>
      <c r="I734" s="145"/>
      <c r="J734" s="146"/>
      <c r="K734" s="145"/>
      <c r="L734" s="145"/>
      <c r="M734" s="145"/>
      <c r="N734" s="145"/>
      <c r="O734" s="145"/>
      <c r="P734" s="35"/>
      <c r="Q734" s="36"/>
    </row>
    <row r="735" spans="1:17" ht="9.75">
      <c r="A735" s="35"/>
      <c r="B735" s="145"/>
      <c r="C735" s="145"/>
      <c r="D735" s="146"/>
      <c r="E735" s="145"/>
      <c r="F735" s="146"/>
      <c r="G735" s="145"/>
      <c r="H735" s="146"/>
      <c r="I735" s="145"/>
      <c r="J735" s="146"/>
      <c r="K735" s="145"/>
      <c r="L735" s="145"/>
      <c r="M735" s="145"/>
      <c r="N735" s="145"/>
      <c r="O735" s="145"/>
      <c r="P735" s="35"/>
      <c r="Q735" s="36"/>
    </row>
    <row r="736" spans="1:17" ht="9.75">
      <c r="A736" s="35"/>
      <c r="B736" s="145"/>
      <c r="C736" s="145"/>
      <c r="D736" s="146"/>
      <c r="E736" s="145"/>
      <c r="F736" s="146"/>
      <c r="G736" s="145"/>
      <c r="H736" s="146"/>
      <c r="I736" s="145"/>
      <c r="J736" s="146"/>
      <c r="K736" s="145"/>
      <c r="L736" s="145"/>
      <c r="M736" s="145"/>
      <c r="N736" s="145"/>
      <c r="O736" s="145"/>
      <c r="P736" s="35"/>
      <c r="Q736" s="36"/>
    </row>
    <row r="737" spans="1:17" ht="9.75">
      <c r="A737" s="35"/>
      <c r="B737" s="145"/>
      <c r="C737" s="145"/>
      <c r="D737" s="146"/>
      <c r="E737" s="145"/>
      <c r="F737" s="146"/>
      <c r="G737" s="145"/>
      <c r="H737" s="146"/>
      <c r="I737" s="145"/>
      <c r="J737" s="146"/>
      <c r="K737" s="145"/>
      <c r="L737" s="145"/>
      <c r="M737" s="145"/>
      <c r="N737" s="145"/>
      <c r="O737" s="145"/>
      <c r="P737" s="35"/>
      <c r="Q737" s="36"/>
    </row>
    <row r="738" spans="1:17" ht="9.75">
      <c r="A738" s="35"/>
      <c r="B738" s="145"/>
      <c r="C738" s="145"/>
      <c r="D738" s="146"/>
      <c r="E738" s="145"/>
      <c r="F738" s="146"/>
      <c r="G738" s="145"/>
      <c r="H738" s="146"/>
      <c r="I738" s="145"/>
      <c r="J738" s="146"/>
      <c r="K738" s="145"/>
      <c r="L738" s="145"/>
      <c r="M738" s="145"/>
      <c r="N738" s="145"/>
      <c r="O738" s="145"/>
      <c r="P738" s="35"/>
      <c r="Q738" s="36"/>
    </row>
    <row r="739" spans="1:17" ht="9.75">
      <c r="A739" s="35"/>
      <c r="B739" s="145"/>
      <c r="C739" s="145"/>
      <c r="D739" s="146"/>
      <c r="E739" s="145"/>
      <c r="F739" s="146"/>
      <c r="G739" s="145"/>
      <c r="H739" s="146"/>
      <c r="I739" s="145"/>
      <c r="J739" s="146"/>
      <c r="K739" s="145"/>
      <c r="L739" s="145"/>
      <c r="M739" s="145"/>
      <c r="N739" s="145"/>
      <c r="O739" s="145"/>
      <c r="P739" s="35"/>
      <c r="Q739" s="36"/>
    </row>
    <row r="740" spans="1:17" ht="9.75">
      <c r="A740" s="35"/>
      <c r="B740" s="145"/>
      <c r="C740" s="145"/>
      <c r="D740" s="146"/>
      <c r="E740" s="145"/>
      <c r="F740" s="146"/>
      <c r="G740" s="145"/>
      <c r="H740" s="146"/>
      <c r="I740" s="145"/>
      <c r="J740" s="146"/>
      <c r="K740" s="145"/>
      <c r="L740" s="145"/>
      <c r="M740" s="145"/>
      <c r="N740" s="145"/>
      <c r="O740" s="145"/>
      <c r="P740" s="35"/>
      <c r="Q740" s="36"/>
    </row>
    <row r="741" spans="1:17" ht="9.75">
      <c r="A741" s="35"/>
      <c r="B741" s="145"/>
      <c r="C741" s="145"/>
      <c r="D741" s="146"/>
      <c r="E741" s="145"/>
      <c r="F741" s="146"/>
      <c r="G741" s="145"/>
      <c r="H741" s="146"/>
      <c r="I741" s="145"/>
      <c r="J741" s="146"/>
      <c r="K741" s="145"/>
      <c r="L741" s="145"/>
      <c r="M741" s="145"/>
      <c r="N741" s="145"/>
      <c r="O741" s="145"/>
      <c r="P741" s="35"/>
      <c r="Q741" s="36"/>
    </row>
    <row r="742" spans="1:17" ht="9.75">
      <c r="A742" s="35"/>
      <c r="B742" s="145"/>
      <c r="C742" s="145"/>
      <c r="D742" s="146"/>
      <c r="E742" s="145"/>
      <c r="F742" s="146"/>
      <c r="G742" s="145"/>
      <c r="H742" s="146"/>
      <c r="I742" s="145"/>
      <c r="J742" s="146"/>
      <c r="K742" s="145"/>
      <c r="L742" s="145"/>
      <c r="M742" s="145"/>
      <c r="N742" s="145"/>
      <c r="O742" s="145"/>
      <c r="P742" s="35"/>
      <c r="Q742" s="36"/>
    </row>
    <row r="743" spans="1:17" ht="9.75">
      <c r="A743" s="35"/>
      <c r="B743" s="145"/>
      <c r="C743" s="145"/>
      <c r="D743" s="146"/>
      <c r="E743" s="145"/>
      <c r="F743" s="146"/>
      <c r="G743" s="145"/>
      <c r="H743" s="146"/>
      <c r="I743" s="145"/>
      <c r="J743" s="146"/>
      <c r="K743" s="145"/>
      <c r="L743" s="145"/>
      <c r="M743" s="145"/>
      <c r="N743" s="145"/>
      <c r="O743" s="145"/>
      <c r="P743" s="35"/>
      <c r="Q743" s="36"/>
    </row>
    <row r="744" spans="1:17" ht="9.75">
      <c r="A744" s="35"/>
      <c r="B744" s="145"/>
      <c r="C744" s="145"/>
      <c r="D744" s="146"/>
      <c r="E744" s="145"/>
      <c r="F744" s="146"/>
      <c r="G744" s="145"/>
      <c r="H744" s="146"/>
      <c r="I744" s="145"/>
      <c r="J744" s="146"/>
      <c r="K744" s="145"/>
      <c r="L744" s="145"/>
      <c r="M744" s="145"/>
      <c r="N744" s="145"/>
      <c r="O744" s="145"/>
      <c r="P744" s="35"/>
      <c r="Q744" s="36"/>
    </row>
    <row r="745" spans="1:17" ht="9.75">
      <c r="A745" s="35"/>
      <c r="B745" s="145"/>
      <c r="C745" s="145"/>
      <c r="D745" s="146"/>
      <c r="E745" s="145"/>
      <c r="F745" s="146"/>
      <c r="G745" s="145"/>
      <c r="H745" s="146"/>
      <c r="I745" s="145"/>
      <c r="J745" s="146"/>
      <c r="K745" s="145"/>
      <c r="L745" s="145"/>
      <c r="M745" s="145"/>
      <c r="N745" s="145"/>
      <c r="O745" s="145"/>
      <c r="P745" s="35"/>
      <c r="Q745" s="36"/>
    </row>
    <row r="746" spans="1:17" ht="9.75">
      <c r="A746" s="35"/>
      <c r="B746" s="145"/>
      <c r="C746" s="145"/>
      <c r="D746" s="146"/>
      <c r="E746" s="145"/>
      <c r="F746" s="146"/>
      <c r="G746" s="145"/>
      <c r="H746" s="146"/>
      <c r="I746" s="145"/>
      <c r="J746" s="146"/>
      <c r="K746" s="145"/>
      <c r="L746" s="145"/>
      <c r="M746" s="145"/>
      <c r="N746" s="145"/>
      <c r="O746" s="145"/>
      <c r="P746" s="35"/>
      <c r="Q746" s="36"/>
    </row>
    <row r="747" spans="1:17" ht="9.75">
      <c r="A747" s="35"/>
      <c r="B747" s="145"/>
      <c r="C747" s="145"/>
      <c r="D747" s="146"/>
      <c r="E747" s="145"/>
      <c r="F747" s="146"/>
      <c r="G747" s="145"/>
      <c r="H747" s="146"/>
      <c r="I747" s="145"/>
      <c r="J747" s="146"/>
      <c r="K747" s="145"/>
      <c r="L747" s="145"/>
      <c r="M747" s="145"/>
      <c r="N747" s="145"/>
      <c r="O747" s="145"/>
      <c r="P747" s="35"/>
      <c r="Q747" s="36"/>
    </row>
    <row r="748" spans="1:17" ht="9.75">
      <c r="A748" s="35"/>
      <c r="B748" s="145"/>
      <c r="C748" s="145"/>
      <c r="D748" s="146"/>
      <c r="E748" s="145"/>
      <c r="F748" s="146"/>
      <c r="G748" s="145"/>
      <c r="H748" s="146"/>
      <c r="I748" s="145"/>
      <c r="J748" s="146"/>
      <c r="K748" s="145"/>
      <c r="L748" s="145"/>
      <c r="M748" s="145"/>
      <c r="N748" s="145"/>
      <c r="O748" s="145"/>
      <c r="P748" s="35"/>
      <c r="Q748" s="36"/>
    </row>
    <row r="749" spans="1:17" ht="9.75">
      <c r="A749" s="35"/>
      <c r="B749" s="145"/>
      <c r="C749" s="145"/>
      <c r="D749" s="146"/>
      <c r="E749" s="145"/>
      <c r="F749" s="146"/>
      <c r="G749" s="145"/>
      <c r="H749" s="146"/>
      <c r="I749" s="145"/>
      <c r="J749" s="146"/>
      <c r="K749" s="145"/>
      <c r="L749" s="145"/>
      <c r="M749" s="145"/>
      <c r="N749" s="145"/>
      <c r="O749" s="145"/>
      <c r="P749" s="35"/>
      <c r="Q749" s="36"/>
    </row>
    <row r="750" spans="1:17" ht="9.75">
      <c r="A750" s="35"/>
      <c r="B750" s="145"/>
      <c r="C750" s="145"/>
      <c r="D750" s="146"/>
      <c r="E750" s="145"/>
      <c r="F750" s="146"/>
      <c r="G750" s="145"/>
      <c r="H750" s="146"/>
      <c r="I750" s="145"/>
      <c r="J750" s="146"/>
      <c r="K750" s="145"/>
      <c r="L750" s="145"/>
      <c r="M750" s="145"/>
      <c r="N750" s="145"/>
      <c r="O750" s="145"/>
      <c r="P750" s="35"/>
      <c r="Q750" s="36"/>
    </row>
    <row r="751" spans="1:17" ht="9.75">
      <c r="A751" s="35"/>
      <c r="B751" s="145"/>
      <c r="C751" s="145"/>
      <c r="D751" s="146"/>
      <c r="E751" s="145"/>
      <c r="F751" s="146"/>
      <c r="G751" s="145"/>
      <c r="H751" s="146"/>
      <c r="I751" s="145"/>
      <c r="J751" s="146"/>
      <c r="K751" s="145"/>
      <c r="L751" s="145"/>
      <c r="M751" s="145"/>
      <c r="N751" s="145"/>
      <c r="O751" s="145"/>
      <c r="P751" s="35"/>
      <c r="Q751" s="36"/>
    </row>
    <row r="752" spans="1:17" ht="9.75">
      <c r="A752" s="35"/>
      <c r="B752" s="145"/>
      <c r="C752" s="145"/>
      <c r="D752" s="146"/>
      <c r="E752" s="145"/>
      <c r="F752" s="146"/>
      <c r="G752" s="145"/>
      <c r="H752" s="146"/>
      <c r="I752" s="145"/>
      <c r="J752" s="146"/>
      <c r="K752" s="145"/>
      <c r="L752" s="145"/>
      <c r="M752" s="145"/>
      <c r="N752" s="145"/>
      <c r="O752" s="145"/>
      <c r="P752" s="35"/>
      <c r="Q752" s="36"/>
    </row>
    <row r="753" spans="1:17" ht="9.75">
      <c r="A753" s="35"/>
      <c r="B753" s="145"/>
      <c r="C753" s="145"/>
      <c r="D753" s="146"/>
      <c r="E753" s="145"/>
      <c r="F753" s="146"/>
      <c r="G753" s="145"/>
      <c r="H753" s="146"/>
      <c r="I753" s="145"/>
      <c r="J753" s="146"/>
      <c r="K753" s="145"/>
      <c r="L753" s="145"/>
      <c r="M753" s="145"/>
      <c r="N753" s="145"/>
      <c r="O753" s="145"/>
      <c r="P753" s="35"/>
      <c r="Q753" s="36"/>
    </row>
    <row r="754" spans="1:17" ht="9.75">
      <c r="A754" s="35"/>
      <c r="B754" s="145"/>
      <c r="C754" s="145"/>
      <c r="D754" s="146"/>
      <c r="E754" s="145"/>
      <c r="F754" s="146"/>
      <c r="G754" s="145"/>
      <c r="H754" s="146"/>
      <c r="I754" s="145"/>
      <c r="J754" s="146"/>
      <c r="K754" s="145"/>
      <c r="L754" s="145"/>
      <c r="M754" s="145"/>
      <c r="N754" s="145"/>
      <c r="O754" s="145"/>
      <c r="P754" s="35"/>
      <c r="Q754" s="36"/>
    </row>
    <row r="755" spans="1:17" ht="9.75">
      <c r="A755" s="35"/>
      <c r="B755" s="145"/>
      <c r="C755" s="145"/>
      <c r="D755" s="146"/>
      <c r="E755" s="145"/>
      <c r="F755" s="146"/>
      <c r="G755" s="145"/>
      <c r="H755" s="146"/>
      <c r="I755" s="145"/>
      <c r="J755" s="146"/>
      <c r="K755" s="145"/>
      <c r="L755" s="145"/>
      <c r="M755" s="145"/>
      <c r="N755" s="145"/>
      <c r="O755" s="145"/>
      <c r="P755" s="35"/>
      <c r="Q755" s="36"/>
    </row>
    <row r="756" spans="1:17" ht="9.75">
      <c r="A756" s="35"/>
      <c r="B756" s="145"/>
      <c r="C756" s="145"/>
      <c r="D756" s="146"/>
      <c r="E756" s="145"/>
      <c r="F756" s="146"/>
      <c r="G756" s="145"/>
      <c r="H756" s="146"/>
      <c r="I756" s="145"/>
      <c r="J756" s="146"/>
      <c r="K756" s="145"/>
      <c r="L756" s="145"/>
      <c r="M756" s="145"/>
      <c r="N756" s="145"/>
      <c r="O756" s="145"/>
      <c r="P756" s="35"/>
      <c r="Q756" s="36"/>
    </row>
    <row r="757" spans="1:17" ht="9.75">
      <c r="A757" s="35"/>
      <c r="B757" s="145"/>
      <c r="C757" s="145"/>
      <c r="D757" s="146"/>
      <c r="E757" s="145"/>
      <c r="F757" s="146"/>
      <c r="G757" s="145"/>
      <c r="H757" s="146"/>
      <c r="I757" s="145"/>
      <c r="J757" s="146"/>
      <c r="K757" s="145"/>
      <c r="L757" s="145"/>
      <c r="M757" s="145"/>
      <c r="N757" s="145"/>
      <c r="O757" s="145"/>
      <c r="P757" s="35"/>
      <c r="Q757" s="36"/>
    </row>
    <row r="758" spans="1:17" ht="9.75">
      <c r="A758" s="35"/>
      <c r="B758" s="145"/>
      <c r="C758" s="145"/>
      <c r="D758" s="146"/>
      <c r="E758" s="145"/>
      <c r="F758" s="146"/>
      <c r="G758" s="145"/>
      <c r="H758" s="146"/>
      <c r="I758" s="145"/>
      <c r="J758" s="146"/>
      <c r="K758" s="145"/>
      <c r="L758" s="145"/>
      <c r="M758" s="145"/>
      <c r="N758" s="145"/>
      <c r="O758" s="145"/>
      <c r="P758" s="35"/>
      <c r="Q758" s="36"/>
    </row>
    <row r="759" spans="1:17" ht="9.75">
      <c r="A759" s="35"/>
      <c r="B759" s="145"/>
      <c r="C759" s="145"/>
      <c r="D759" s="146"/>
      <c r="E759" s="145"/>
      <c r="F759" s="146"/>
      <c r="G759" s="145"/>
      <c r="H759" s="146"/>
      <c r="I759" s="145"/>
      <c r="J759" s="146"/>
      <c r="K759" s="145"/>
      <c r="L759" s="145"/>
      <c r="M759" s="145"/>
      <c r="N759" s="145"/>
      <c r="O759" s="145"/>
      <c r="P759" s="35"/>
      <c r="Q759" s="36"/>
    </row>
    <row r="760" spans="1:17" ht="9.75">
      <c r="A760" s="35"/>
      <c r="B760" s="145"/>
      <c r="C760" s="145"/>
      <c r="D760" s="146"/>
      <c r="E760" s="145"/>
      <c r="F760" s="146"/>
      <c r="G760" s="145"/>
      <c r="H760" s="146"/>
      <c r="I760" s="145"/>
      <c r="J760" s="146"/>
      <c r="K760" s="145"/>
      <c r="L760" s="145"/>
      <c r="M760" s="145"/>
      <c r="N760" s="145"/>
      <c r="O760" s="145"/>
      <c r="P760" s="35"/>
      <c r="Q760" s="36"/>
    </row>
    <row r="761" spans="1:17" ht="9.75">
      <c r="A761" s="35"/>
      <c r="B761" s="145"/>
      <c r="C761" s="145"/>
      <c r="D761" s="146"/>
      <c r="E761" s="145"/>
      <c r="F761" s="146"/>
      <c r="G761" s="145"/>
      <c r="H761" s="146"/>
      <c r="I761" s="145"/>
      <c r="J761" s="146"/>
      <c r="K761" s="145"/>
      <c r="L761" s="145"/>
      <c r="M761" s="145"/>
      <c r="N761" s="145"/>
      <c r="O761" s="145"/>
      <c r="P761" s="35"/>
      <c r="Q761" s="36"/>
    </row>
    <row r="762" spans="1:17" ht="9.75">
      <c r="A762" s="35"/>
      <c r="B762" s="145"/>
      <c r="C762" s="145"/>
      <c r="D762" s="146"/>
      <c r="E762" s="145"/>
      <c r="F762" s="146"/>
      <c r="G762" s="145"/>
      <c r="H762" s="146"/>
      <c r="I762" s="145"/>
      <c r="J762" s="146"/>
      <c r="K762" s="145"/>
      <c r="L762" s="145"/>
      <c r="M762" s="145"/>
      <c r="N762" s="145"/>
      <c r="O762" s="145"/>
      <c r="P762" s="35"/>
      <c r="Q762" s="36"/>
    </row>
    <row r="763" spans="1:17" ht="9.75">
      <c r="A763" s="35"/>
      <c r="B763" s="145"/>
      <c r="C763" s="145"/>
      <c r="D763" s="146"/>
      <c r="E763" s="145"/>
      <c r="F763" s="146"/>
      <c r="G763" s="145"/>
      <c r="H763" s="146"/>
      <c r="I763" s="145"/>
      <c r="J763" s="146"/>
      <c r="K763" s="145"/>
      <c r="L763" s="145"/>
      <c r="M763" s="145"/>
      <c r="N763" s="145"/>
      <c r="O763" s="145"/>
      <c r="P763" s="35"/>
      <c r="Q763" s="36"/>
    </row>
    <row r="764" spans="1:17" ht="9.75">
      <c r="A764" s="35"/>
      <c r="B764" s="145"/>
      <c r="C764" s="145"/>
      <c r="D764" s="146"/>
      <c r="E764" s="145"/>
      <c r="F764" s="146"/>
      <c r="G764" s="145"/>
      <c r="H764" s="146"/>
      <c r="I764" s="145"/>
      <c r="J764" s="146"/>
      <c r="K764" s="145"/>
      <c r="L764" s="145"/>
      <c r="M764" s="145"/>
      <c r="N764" s="145"/>
      <c r="O764" s="145"/>
      <c r="P764" s="35"/>
      <c r="Q764" s="36"/>
    </row>
    <row r="765" spans="1:17" ht="9.75">
      <c r="A765" s="35"/>
      <c r="B765" s="145"/>
      <c r="C765" s="145"/>
      <c r="D765" s="146"/>
      <c r="E765" s="145"/>
      <c r="F765" s="146"/>
      <c r="G765" s="145"/>
      <c r="H765" s="146"/>
      <c r="I765" s="145"/>
      <c r="J765" s="146"/>
      <c r="K765" s="145"/>
      <c r="L765" s="145"/>
      <c r="M765" s="145"/>
      <c r="N765" s="145"/>
      <c r="O765" s="145"/>
      <c r="P765" s="35"/>
      <c r="Q765" s="36"/>
    </row>
    <row r="766" spans="1:17" ht="9.75">
      <c r="A766" s="35"/>
      <c r="B766" s="145"/>
      <c r="C766" s="145"/>
      <c r="D766" s="146"/>
      <c r="E766" s="145"/>
      <c r="F766" s="146"/>
      <c r="G766" s="145"/>
      <c r="H766" s="146"/>
      <c r="I766" s="145"/>
      <c r="J766" s="146"/>
      <c r="K766" s="145"/>
      <c r="L766" s="145"/>
      <c r="M766" s="145"/>
      <c r="N766" s="145"/>
      <c r="O766" s="145"/>
      <c r="P766" s="35"/>
      <c r="Q766" s="36"/>
    </row>
    <row r="767" spans="1:17" ht="9.75">
      <c r="A767" s="35"/>
      <c r="B767" s="145"/>
      <c r="C767" s="35"/>
      <c r="D767" s="146"/>
      <c r="E767" s="145"/>
      <c r="F767" s="146"/>
      <c r="G767" s="145"/>
      <c r="H767" s="146"/>
      <c r="I767" s="145"/>
      <c r="J767" s="146"/>
      <c r="K767" s="145"/>
      <c r="L767" s="145"/>
      <c r="M767" s="145"/>
      <c r="N767" s="145"/>
      <c r="O767" s="145"/>
      <c r="P767" s="145"/>
      <c r="Q767" s="36"/>
    </row>
    <row r="768" spans="1:17" ht="9.75">
      <c r="A768" s="35"/>
      <c r="B768" s="145"/>
      <c r="C768" s="35"/>
      <c r="D768" s="146"/>
      <c r="E768" s="145"/>
      <c r="F768" s="146"/>
      <c r="G768" s="145"/>
      <c r="H768" s="146"/>
      <c r="I768" s="145"/>
      <c r="J768" s="146"/>
      <c r="K768" s="145"/>
      <c r="L768" s="145"/>
      <c r="M768" s="145"/>
      <c r="N768" s="145"/>
      <c r="O768" s="145"/>
      <c r="P768" s="145"/>
      <c r="Q768" s="146"/>
    </row>
    <row r="769" spans="1:17" ht="9.75">
      <c r="A769" s="35"/>
      <c r="B769" s="145"/>
      <c r="C769" s="35"/>
      <c r="D769" s="146"/>
      <c r="E769" s="145"/>
      <c r="F769" s="146"/>
      <c r="G769" s="145"/>
      <c r="H769" s="146"/>
      <c r="I769" s="145"/>
      <c r="J769" s="146"/>
      <c r="K769" s="145"/>
      <c r="L769" s="145"/>
      <c r="M769" s="145"/>
      <c r="N769" s="145"/>
      <c r="O769" s="145"/>
      <c r="P769" s="145"/>
      <c r="Q769" s="36"/>
    </row>
    <row r="770" spans="1:17" ht="9.75">
      <c r="A770" s="35"/>
      <c r="B770" s="145"/>
      <c r="C770" s="145"/>
      <c r="D770" s="146"/>
      <c r="E770" s="145"/>
      <c r="F770" s="146"/>
      <c r="G770" s="145"/>
      <c r="H770" s="146"/>
      <c r="I770" s="145"/>
      <c r="J770" s="146"/>
      <c r="K770" s="145"/>
      <c r="L770" s="145"/>
      <c r="M770" s="145"/>
      <c r="N770" s="145"/>
      <c r="O770" s="145"/>
      <c r="P770" s="35"/>
      <c r="Q770" s="36"/>
    </row>
    <row r="771" spans="1:17" ht="9.75">
      <c r="A771" s="35"/>
      <c r="B771" s="145"/>
      <c r="C771" s="35"/>
      <c r="D771" s="146"/>
      <c r="E771" s="145"/>
      <c r="F771" s="146"/>
      <c r="G771" s="145"/>
      <c r="H771" s="146"/>
      <c r="I771" s="145"/>
      <c r="J771" s="146"/>
      <c r="K771" s="145"/>
      <c r="L771" s="145"/>
      <c r="M771" s="145"/>
      <c r="N771" s="145"/>
      <c r="O771" s="145"/>
      <c r="P771" s="35"/>
      <c r="Q771" s="36"/>
    </row>
    <row r="772" spans="1:17" ht="9.75">
      <c r="A772" s="35"/>
      <c r="B772" s="145"/>
      <c r="C772" s="145"/>
      <c r="D772" s="146"/>
      <c r="E772" s="145"/>
      <c r="F772" s="146"/>
      <c r="G772" s="145"/>
      <c r="H772" s="146"/>
      <c r="I772" s="145"/>
      <c r="J772" s="146"/>
      <c r="K772" s="145"/>
      <c r="L772" s="145"/>
      <c r="M772" s="145"/>
      <c r="N772" s="145"/>
      <c r="O772" s="145"/>
      <c r="P772" s="35"/>
      <c r="Q772" s="36"/>
    </row>
    <row r="773" spans="1:17" ht="9.75">
      <c r="A773" s="35"/>
      <c r="B773" s="145"/>
      <c r="C773" s="145"/>
      <c r="D773" s="146"/>
      <c r="E773" s="145"/>
      <c r="F773" s="146"/>
      <c r="G773" s="145"/>
      <c r="H773" s="146"/>
      <c r="I773" s="145"/>
      <c r="J773" s="146"/>
      <c r="K773" s="145"/>
      <c r="L773" s="145"/>
      <c r="M773" s="145"/>
      <c r="N773" s="145"/>
      <c r="O773" s="145"/>
      <c r="P773" s="35"/>
      <c r="Q773" s="36"/>
    </row>
    <row r="774" spans="1:17" ht="9.75">
      <c r="A774" s="35"/>
      <c r="B774" s="145"/>
      <c r="C774" s="35"/>
      <c r="D774" s="146"/>
      <c r="E774" s="145"/>
      <c r="F774" s="146"/>
      <c r="G774" s="145"/>
      <c r="H774" s="146"/>
      <c r="I774" s="145"/>
      <c r="J774" s="146"/>
      <c r="K774" s="145"/>
      <c r="L774" s="145"/>
      <c r="M774" s="145"/>
      <c r="N774" s="145"/>
      <c r="O774" s="145"/>
      <c r="P774" s="35"/>
      <c r="Q774" s="36"/>
    </row>
    <row r="775" spans="1:17" ht="9.75">
      <c r="A775" s="35"/>
      <c r="B775" s="145"/>
      <c r="C775" s="145"/>
      <c r="D775" s="146"/>
      <c r="E775" s="145"/>
      <c r="F775" s="146"/>
      <c r="G775" s="145"/>
      <c r="H775" s="146"/>
      <c r="I775" s="145"/>
      <c r="J775" s="146"/>
      <c r="K775" s="145"/>
      <c r="L775" s="145"/>
      <c r="M775" s="145"/>
      <c r="N775" s="145"/>
      <c r="O775" s="145"/>
      <c r="P775" s="35"/>
      <c r="Q775" s="36"/>
    </row>
    <row r="776" spans="1:17" ht="9.75">
      <c r="A776" s="35"/>
      <c r="B776" s="145"/>
      <c r="C776" s="145"/>
      <c r="D776" s="146"/>
      <c r="E776" s="145"/>
      <c r="F776" s="146"/>
      <c r="G776" s="145"/>
      <c r="H776" s="146"/>
      <c r="I776" s="145"/>
      <c r="J776" s="146"/>
      <c r="K776" s="145"/>
      <c r="L776" s="145"/>
      <c r="M776" s="145"/>
      <c r="N776" s="145"/>
      <c r="O776" s="145"/>
      <c r="P776" s="35"/>
      <c r="Q776" s="36"/>
    </row>
    <row r="777" spans="1:17" ht="9.75">
      <c r="A777" s="35"/>
      <c r="B777" s="145"/>
      <c r="C777" s="145"/>
      <c r="D777" s="146"/>
      <c r="E777" s="145"/>
      <c r="F777" s="146"/>
      <c r="G777" s="145"/>
      <c r="H777" s="146"/>
      <c r="I777" s="145"/>
      <c r="J777" s="146"/>
      <c r="K777" s="145"/>
      <c r="L777" s="145"/>
      <c r="M777" s="145"/>
      <c r="N777" s="145"/>
      <c r="O777" s="145"/>
      <c r="P777" s="35"/>
      <c r="Q777" s="36"/>
    </row>
    <row r="778" spans="1:17" ht="9.75">
      <c r="A778" s="35"/>
      <c r="B778" s="145"/>
      <c r="C778" s="145"/>
      <c r="D778" s="146"/>
      <c r="E778" s="145"/>
      <c r="F778" s="146"/>
      <c r="G778" s="145"/>
      <c r="H778" s="146"/>
      <c r="I778" s="145"/>
      <c r="J778" s="146"/>
      <c r="K778" s="145"/>
      <c r="L778" s="145"/>
      <c r="M778" s="35"/>
      <c r="N778" s="35"/>
      <c r="O778" s="35"/>
      <c r="P778" s="35"/>
      <c r="Q778" s="36"/>
    </row>
    <row r="779" spans="1:17" ht="9.75">
      <c r="A779" s="35"/>
      <c r="B779" s="145"/>
      <c r="C779" s="145"/>
      <c r="D779" s="146"/>
      <c r="E779" s="145"/>
      <c r="F779" s="146"/>
      <c r="G779" s="145"/>
      <c r="H779" s="146"/>
      <c r="I779" s="145"/>
      <c r="J779" s="146"/>
      <c r="K779" s="145"/>
      <c r="L779" s="145"/>
      <c r="M779" s="145"/>
      <c r="N779" s="145"/>
      <c r="O779" s="35"/>
      <c r="P779" s="35"/>
      <c r="Q779" s="36"/>
    </row>
    <row r="780" spans="1:17" ht="9.75">
      <c r="A780" s="35"/>
      <c r="B780" s="145"/>
      <c r="C780" s="145"/>
      <c r="D780" s="146"/>
      <c r="E780" s="145"/>
      <c r="F780" s="146"/>
      <c r="G780" s="145"/>
      <c r="H780" s="146"/>
      <c r="I780" s="145"/>
      <c r="J780" s="146"/>
      <c r="K780" s="145"/>
      <c r="L780" s="145"/>
      <c r="M780" s="35"/>
      <c r="N780" s="35"/>
      <c r="O780" s="35"/>
      <c r="P780" s="145"/>
      <c r="Q780" s="36"/>
    </row>
    <row r="781" spans="1:17" ht="9.75">
      <c r="A781" s="35"/>
      <c r="B781" s="145"/>
      <c r="C781" s="145"/>
      <c r="D781" s="146"/>
      <c r="E781" s="145"/>
      <c r="F781" s="146"/>
      <c r="G781" s="145"/>
      <c r="H781" s="146"/>
      <c r="I781" s="145"/>
      <c r="J781" s="146"/>
      <c r="K781" s="145"/>
      <c r="L781" s="145"/>
      <c r="M781" s="35"/>
      <c r="N781" s="35"/>
      <c r="O781" s="35"/>
      <c r="P781" s="35"/>
      <c r="Q781" s="36"/>
    </row>
    <row r="782" spans="1:17" ht="9.75">
      <c r="A782" s="35"/>
      <c r="B782" s="145"/>
      <c r="C782" s="145"/>
      <c r="D782" s="146"/>
      <c r="E782" s="145"/>
      <c r="F782" s="146"/>
      <c r="G782" s="145"/>
      <c r="H782" s="146"/>
      <c r="I782" s="145"/>
      <c r="J782" s="146"/>
      <c r="K782" s="145"/>
      <c r="L782" s="145"/>
      <c r="M782" s="35"/>
      <c r="N782" s="35"/>
      <c r="O782" s="35"/>
      <c r="P782" s="35"/>
      <c r="Q782" s="36"/>
    </row>
    <row r="783" spans="1:17" ht="9.75">
      <c r="A783" s="35"/>
      <c r="B783" s="145"/>
      <c r="C783" s="145"/>
      <c r="D783" s="146"/>
      <c r="E783" s="145"/>
      <c r="F783" s="146"/>
      <c r="G783" s="145"/>
      <c r="H783" s="146"/>
      <c r="I783" s="145"/>
      <c r="J783" s="146"/>
      <c r="K783" s="145"/>
      <c r="L783" s="145"/>
      <c r="M783" s="35"/>
      <c r="N783" s="35"/>
      <c r="O783" s="35"/>
      <c r="P783" s="35"/>
      <c r="Q783" s="36"/>
    </row>
    <row r="784" spans="1:17" ht="9.75">
      <c r="A784" s="35"/>
      <c r="B784" s="145"/>
      <c r="C784" s="145"/>
      <c r="D784" s="146"/>
      <c r="E784" s="145"/>
      <c r="F784" s="146"/>
      <c r="G784" s="145"/>
      <c r="H784" s="146"/>
      <c r="I784" s="145"/>
      <c r="J784" s="146"/>
      <c r="K784" s="145"/>
      <c r="L784" s="145"/>
      <c r="M784" s="35"/>
      <c r="N784" s="35"/>
      <c r="O784" s="35"/>
      <c r="P784" s="35"/>
      <c r="Q784" s="36"/>
    </row>
    <row r="785" spans="1:17" ht="9.75">
      <c r="A785" s="35"/>
      <c r="B785" s="145"/>
      <c r="C785" s="145"/>
      <c r="D785" s="146"/>
      <c r="E785" s="145"/>
      <c r="F785" s="146"/>
      <c r="G785" s="145"/>
      <c r="H785" s="146"/>
      <c r="I785" s="145"/>
      <c r="J785" s="146"/>
      <c r="K785" s="145"/>
      <c r="L785" s="145"/>
      <c r="M785" s="35"/>
      <c r="N785" s="35"/>
      <c r="O785" s="35"/>
      <c r="P785" s="35"/>
      <c r="Q785" s="36"/>
    </row>
    <row r="786" spans="1:17" ht="9.75">
      <c r="A786" s="35"/>
      <c r="B786" s="145"/>
      <c r="C786" s="145"/>
      <c r="D786" s="146"/>
      <c r="E786" s="145"/>
      <c r="F786" s="146"/>
      <c r="G786" s="145"/>
      <c r="H786" s="146"/>
      <c r="I786" s="145"/>
      <c r="J786" s="146"/>
      <c r="K786" s="145"/>
      <c r="L786" s="145"/>
      <c r="M786" s="35"/>
      <c r="N786" s="35"/>
      <c r="O786" s="35"/>
      <c r="P786" s="35"/>
      <c r="Q786" s="36"/>
    </row>
    <row r="787" spans="1:17" ht="9.75">
      <c r="A787" s="35"/>
      <c r="B787" s="145"/>
      <c r="C787" s="145"/>
      <c r="D787" s="146"/>
      <c r="E787" s="145"/>
      <c r="F787" s="146"/>
      <c r="G787" s="145"/>
      <c r="H787" s="146"/>
      <c r="I787" s="145"/>
      <c r="J787" s="146"/>
      <c r="K787" s="145"/>
      <c r="L787" s="145"/>
      <c r="M787" s="35"/>
      <c r="N787" s="35"/>
      <c r="O787" s="35"/>
      <c r="P787" s="35"/>
      <c r="Q787" s="36"/>
    </row>
    <row r="788" spans="1:17" ht="9.75">
      <c r="A788" s="35"/>
      <c r="B788" s="145"/>
      <c r="C788" s="145"/>
      <c r="D788" s="146"/>
      <c r="E788" s="145"/>
      <c r="F788" s="146"/>
      <c r="G788" s="145"/>
      <c r="H788" s="146"/>
      <c r="I788" s="145"/>
      <c r="J788" s="146"/>
      <c r="K788" s="145"/>
      <c r="L788" s="145"/>
      <c r="M788" s="35"/>
      <c r="N788" s="35"/>
      <c r="O788" s="35"/>
      <c r="P788" s="35"/>
      <c r="Q788" s="36"/>
    </row>
    <row r="789" spans="1:17" ht="9.75">
      <c r="A789" s="35"/>
      <c r="B789" s="145"/>
      <c r="C789" s="145"/>
      <c r="D789" s="146"/>
      <c r="E789" s="145"/>
      <c r="F789" s="146"/>
      <c r="G789" s="145"/>
      <c r="H789" s="146"/>
      <c r="I789" s="145"/>
      <c r="J789" s="146"/>
      <c r="K789" s="145"/>
      <c r="L789" s="145"/>
      <c r="M789" s="35"/>
      <c r="N789" s="35"/>
      <c r="O789" s="35"/>
      <c r="P789" s="35"/>
      <c r="Q789" s="36"/>
    </row>
    <row r="790" spans="1:17" ht="9.75">
      <c r="A790" s="35"/>
      <c r="B790" s="145"/>
      <c r="C790" s="145"/>
      <c r="D790" s="146"/>
      <c r="E790" s="145"/>
      <c r="F790" s="146"/>
      <c r="G790" s="145"/>
      <c r="H790" s="146"/>
      <c r="I790" s="145"/>
      <c r="J790" s="146"/>
      <c r="K790" s="145"/>
      <c r="L790" s="145"/>
      <c r="M790" s="35"/>
      <c r="N790" s="35"/>
      <c r="O790" s="35"/>
      <c r="P790" s="35"/>
      <c r="Q790" s="36"/>
    </row>
    <row r="791" spans="1:17" ht="9.75">
      <c r="A791" s="35"/>
      <c r="B791" s="145"/>
      <c r="C791" s="145"/>
      <c r="D791" s="146"/>
      <c r="E791" s="145"/>
      <c r="F791" s="146"/>
      <c r="G791" s="145"/>
      <c r="H791" s="146"/>
      <c r="I791" s="145"/>
      <c r="J791" s="146"/>
      <c r="K791" s="145"/>
      <c r="L791" s="145"/>
      <c r="M791" s="35"/>
      <c r="N791" s="35"/>
      <c r="O791" s="35"/>
      <c r="P791" s="35"/>
      <c r="Q791" s="36"/>
    </row>
    <row r="792" spans="1:17" ht="9.75">
      <c r="A792" s="35"/>
      <c r="B792" s="145"/>
      <c r="C792" s="145"/>
      <c r="D792" s="146"/>
      <c r="E792" s="145"/>
      <c r="F792" s="146"/>
      <c r="G792" s="145"/>
      <c r="H792" s="146"/>
      <c r="I792" s="35"/>
      <c r="J792" s="146"/>
      <c r="K792" s="35"/>
      <c r="L792" s="35"/>
      <c r="M792" s="35"/>
      <c r="N792" s="35"/>
      <c r="O792" s="35"/>
      <c r="P792" s="35"/>
      <c r="Q792" s="36"/>
    </row>
    <row r="793" spans="1:17" ht="9.75">
      <c r="A793" s="35"/>
      <c r="B793" s="145"/>
      <c r="C793" s="145"/>
      <c r="D793" s="146"/>
      <c r="E793" s="145"/>
      <c r="F793" s="146"/>
      <c r="G793" s="145"/>
      <c r="H793" s="146"/>
      <c r="I793" s="145"/>
      <c r="J793" s="146"/>
      <c r="K793" s="145"/>
      <c r="L793" s="145"/>
      <c r="M793" s="35"/>
      <c r="N793" s="35"/>
      <c r="O793" s="35"/>
      <c r="P793" s="35"/>
      <c r="Q793" s="36"/>
    </row>
    <row r="794" spans="1:17" ht="9.75">
      <c r="A794" s="35"/>
      <c r="B794" s="145"/>
      <c r="C794" s="145"/>
      <c r="D794" s="146"/>
      <c r="E794" s="145"/>
      <c r="F794" s="146"/>
      <c r="G794" s="35"/>
      <c r="H794" s="146"/>
      <c r="I794" s="35"/>
      <c r="J794" s="146"/>
      <c r="K794" s="35"/>
      <c r="L794" s="35"/>
      <c r="M794" s="35"/>
      <c r="N794" s="35"/>
      <c r="O794" s="35"/>
      <c r="P794" s="35"/>
      <c r="Q794" s="36"/>
    </row>
    <row r="795" spans="1:17" ht="9.75">
      <c r="A795" s="35"/>
      <c r="B795" s="145"/>
      <c r="C795" s="145"/>
      <c r="D795" s="146"/>
      <c r="E795" s="145"/>
      <c r="F795" s="146"/>
      <c r="G795" s="35"/>
      <c r="H795" s="146"/>
      <c r="I795" s="35"/>
      <c r="J795" s="146"/>
      <c r="K795" s="145"/>
      <c r="L795" s="35"/>
      <c r="M795" s="145"/>
      <c r="N795" s="145"/>
      <c r="O795" s="145"/>
      <c r="P795" s="145"/>
      <c r="Q795" s="146"/>
    </row>
    <row r="796" spans="1:17" ht="9.75">
      <c r="A796" s="35"/>
      <c r="B796" s="145"/>
      <c r="C796" s="145"/>
      <c r="D796" s="146"/>
      <c r="E796" s="145"/>
      <c r="F796" s="146"/>
      <c r="G796" s="35"/>
      <c r="H796" s="146"/>
      <c r="I796" s="35"/>
      <c r="J796" s="146"/>
      <c r="K796" s="145"/>
      <c r="L796" s="35"/>
      <c r="M796" s="35"/>
      <c r="N796" s="35"/>
      <c r="O796" s="35"/>
      <c r="P796" s="145"/>
      <c r="Q796" s="36"/>
    </row>
    <row r="797" spans="1:17" ht="9.75">
      <c r="A797" s="35"/>
      <c r="B797" s="145"/>
      <c r="C797" s="145"/>
      <c r="D797" s="146"/>
      <c r="E797" s="145"/>
      <c r="F797" s="146"/>
      <c r="G797" s="35"/>
      <c r="H797" s="146"/>
      <c r="I797" s="35"/>
      <c r="J797" s="146"/>
      <c r="K797" s="35"/>
      <c r="L797" s="35"/>
      <c r="M797" s="35"/>
      <c r="N797" s="35"/>
      <c r="O797" s="35"/>
      <c r="P797" s="35"/>
      <c r="Q797" s="36"/>
    </row>
    <row r="798" spans="1:17" ht="9.75">
      <c r="A798" s="35"/>
      <c r="B798" s="145"/>
      <c r="C798" s="145"/>
      <c r="D798" s="146"/>
      <c r="E798" s="145"/>
      <c r="F798" s="146"/>
      <c r="G798" s="35"/>
      <c r="H798" s="146"/>
      <c r="I798" s="35"/>
      <c r="J798" s="146"/>
      <c r="K798" s="35"/>
      <c r="L798" s="35"/>
      <c r="M798" s="35"/>
      <c r="N798" s="35"/>
      <c r="O798" s="35"/>
      <c r="P798" s="35"/>
      <c r="Q798" s="36"/>
    </row>
    <row r="799" spans="1:17" ht="9.75">
      <c r="A799" s="35"/>
      <c r="B799" s="145"/>
      <c r="C799" s="145"/>
      <c r="D799" s="146"/>
      <c r="E799" s="145"/>
      <c r="F799" s="146"/>
      <c r="G799" s="35"/>
      <c r="H799" s="146"/>
      <c r="I799" s="35"/>
      <c r="J799" s="146"/>
      <c r="K799" s="35"/>
      <c r="L799" s="35"/>
      <c r="M799" s="35"/>
      <c r="N799" s="35"/>
      <c r="O799" s="35"/>
      <c r="P799" s="35"/>
      <c r="Q799" s="36"/>
    </row>
    <row r="800" spans="1:17" ht="9.75">
      <c r="A800" s="35"/>
      <c r="B800" s="145"/>
      <c r="C800" s="145"/>
      <c r="D800" s="146"/>
      <c r="E800" s="145"/>
      <c r="F800" s="146"/>
      <c r="G800" s="35"/>
      <c r="H800" s="146"/>
      <c r="I800" s="35"/>
      <c r="J800" s="146"/>
      <c r="K800" s="35"/>
      <c r="L800" s="35"/>
      <c r="M800" s="35"/>
      <c r="N800" s="35"/>
      <c r="O800" s="35"/>
      <c r="P800" s="35"/>
      <c r="Q800" s="36"/>
    </row>
    <row r="801" spans="1:17" ht="9.75">
      <c r="A801" s="35"/>
      <c r="B801" s="145"/>
      <c r="C801" s="145"/>
      <c r="D801" s="146"/>
      <c r="E801" s="145"/>
      <c r="F801" s="146"/>
      <c r="G801" s="35"/>
      <c r="H801" s="146"/>
      <c r="I801" s="35"/>
      <c r="J801" s="146"/>
      <c r="K801" s="35"/>
      <c r="L801" s="35"/>
      <c r="M801" s="35"/>
      <c r="N801" s="35"/>
      <c r="O801" s="35"/>
      <c r="P801" s="35"/>
      <c r="Q801" s="36"/>
    </row>
    <row r="802" spans="1:17" ht="9.75">
      <c r="A802" s="35"/>
      <c r="B802" s="145"/>
      <c r="C802" s="145"/>
      <c r="D802" s="146"/>
      <c r="E802" s="145"/>
      <c r="F802" s="146"/>
      <c r="G802" s="35"/>
      <c r="H802" s="146"/>
      <c r="I802" s="35"/>
      <c r="J802" s="146"/>
      <c r="K802" s="35"/>
      <c r="L802" s="35"/>
      <c r="M802" s="35"/>
      <c r="N802" s="35"/>
      <c r="O802" s="35"/>
      <c r="P802" s="35"/>
      <c r="Q802" s="36"/>
    </row>
    <row r="803" spans="1:17" ht="9.75">
      <c r="A803" s="35"/>
      <c r="B803" s="145"/>
      <c r="C803" s="145"/>
      <c r="D803" s="146"/>
      <c r="E803" s="145"/>
      <c r="F803" s="146"/>
      <c r="G803" s="35"/>
      <c r="H803" s="146"/>
      <c r="I803" s="35"/>
      <c r="J803" s="146"/>
      <c r="K803" s="35"/>
      <c r="L803" s="35"/>
      <c r="M803" s="35"/>
      <c r="N803" s="35"/>
      <c r="O803" s="35"/>
      <c r="P803" s="35"/>
      <c r="Q803" s="36"/>
    </row>
    <row r="804" spans="1:17" ht="9.75">
      <c r="A804" s="35"/>
      <c r="B804" s="145"/>
      <c r="C804" s="145"/>
      <c r="D804" s="146"/>
      <c r="E804" s="145"/>
      <c r="F804" s="146"/>
      <c r="G804" s="35"/>
      <c r="H804" s="146"/>
      <c r="I804" s="35"/>
      <c r="J804" s="146"/>
      <c r="K804" s="35"/>
      <c r="L804" s="35"/>
      <c r="M804" s="35"/>
      <c r="N804" s="35"/>
      <c r="O804" s="35"/>
      <c r="P804" s="35"/>
      <c r="Q804" s="36"/>
    </row>
    <row r="805" spans="1:17" ht="9.75">
      <c r="A805" s="35"/>
      <c r="B805" s="145"/>
      <c r="C805" s="145"/>
      <c r="D805" s="146"/>
      <c r="E805" s="145"/>
      <c r="F805" s="146"/>
      <c r="G805" s="35"/>
      <c r="H805" s="146"/>
      <c r="I805" s="35"/>
      <c r="J805" s="146"/>
      <c r="K805" s="35"/>
      <c r="L805" s="35"/>
      <c r="M805" s="35"/>
      <c r="N805" s="35"/>
      <c r="O805" s="35"/>
      <c r="P805" s="35"/>
      <c r="Q805" s="36"/>
    </row>
    <row r="806" spans="1:17" ht="9.75">
      <c r="A806" s="35"/>
      <c r="B806" s="145"/>
      <c r="C806" s="145"/>
      <c r="D806" s="146"/>
      <c r="E806" s="145"/>
      <c r="F806" s="146"/>
      <c r="G806" s="35"/>
      <c r="H806" s="146"/>
      <c r="I806" s="35"/>
      <c r="J806" s="146"/>
      <c r="K806" s="35"/>
      <c r="L806" s="35"/>
      <c r="M806" s="35"/>
      <c r="N806" s="35"/>
      <c r="O806" s="35"/>
      <c r="P806" s="35"/>
      <c r="Q806" s="36"/>
    </row>
    <row r="807" spans="1:17" ht="9.75">
      <c r="A807" s="35"/>
      <c r="B807" s="145"/>
      <c r="C807" s="145"/>
      <c r="D807" s="146"/>
      <c r="E807" s="145"/>
      <c r="F807" s="146"/>
      <c r="G807" s="35"/>
      <c r="H807" s="146"/>
      <c r="I807" s="35"/>
      <c r="J807" s="146"/>
      <c r="K807" s="35"/>
      <c r="L807" s="35"/>
      <c r="M807" s="35"/>
      <c r="N807" s="35"/>
      <c r="O807" s="35"/>
      <c r="P807" s="35"/>
      <c r="Q807" s="36"/>
    </row>
    <row r="808" spans="1:17" ht="9.75">
      <c r="A808" s="35"/>
      <c r="B808" s="145"/>
      <c r="C808" s="145"/>
      <c r="D808" s="146"/>
      <c r="E808" s="145"/>
      <c r="F808" s="146"/>
      <c r="G808" s="35"/>
      <c r="H808" s="146"/>
      <c r="I808" s="35"/>
      <c r="J808" s="146"/>
      <c r="K808" s="35"/>
      <c r="L808" s="35"/>
      <c r="M808" s="35"/>
      <c r="N808" s="35"/>
      <c r="O808" s="35"/>
      <c r="P808" s="35"/>
      <c r="Q808" s="36"/>
    </row>
    <row r="809" spans="1:17" ht="9.75">
      <c r="A809" s="35"/>
      <c r="B809" s="145"/>
      <c r="C809" s="145"/>
      <c r="D809" s="146"/>
      <c r="E809" s="145"/>
      <c r="F809" s="146"/>
      <c r="G809" s="35"/>
      <c r="H809" s="146"/>
      <c r="I809" s="35"/>
      <c r="J809" s="146"/>
      <c r="K809" s="35"/>
      <c r="L809" s="35"/>
      <c r="M809" s="35"/>
      <c r="N809" s="35"/>
      <c r="O809" s="35"/>
      <c r="P809" s="35"/>
      <c r="Q809" s="36"/>
    </row>
    <row r="810" spans="1:17" ht="9.75">
      <c r="A810" s="35"/>
      <c r="B810" s="145"/>
      <c r="C810" s="145"/>
      <c r="D810" s="146"/>
      <c r="E810" s="35"/>
      <c r="F810" s="146"/>
      <c r="G810" s="35"/>
      <c r="H810" s="146"/>
      <c r="I810" s="35"/>
      <c r="J810" s="146"/>
      <c r="K810" s="35"/>
      <c r="L810" s="35"/>
      <c r="M810" s="35"/>
      <c r="N810" s="35"/>
      <c r="O810" s="35"/>
      <c r="P810" s="35"/>
      <c r="Q810" s="36"/>
    </row>
    <row r="811" spans="1:17" ht="9.75">
      <c r="A811" s="35"/>
      <c r="B811" s="35"/>
      <c r="C811" s="35"/>
      <c r="D811" s="146"/>
      <c r="E811" s="35"/>
      <c r="F811" s="146"/>
      <c r="G811" s="35"/>
      <c r="H811" s="146"/>
      <c r="I811" s="35"/>
      <c r="J811" s="35"/>
      <c r="K811" s="35"/>
      <c r="L811" s="35"/>
      <c r="M811" s="35"/>
      <c r="N811" s="35"/>
      <c r="O811" s="35"/>
      <c r="P811" s="35"/>
      <c r="Q811" s="36"/>
    </row>
    <row r="812" spans="1:17" ht="9.75">
      <c r="A812" s="35"/>
      <c r="B812" s="35"/>
      <c r="C812" s="35"/>
      <c r="D812" s="36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6"/>
    </row>
    <row r="813" spans="1:17" ht="9.75">
      <c r="A813" s="35"/>
      <c r="B813" s="35"/>
      <c r="C813" s="35"/>
      <c r="D813" s="36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6"/>
    </row>
    <row r="814" spans="1:17" ht="9.75">
      <c r="A814" s="35"/>
      <c r="B814" s="35"/>
      <c r="C814" s="35"/>
      <c r="D814" s="36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6"/>
    </row>
    <row r="815" spans="1:17" ht="9.75">
      <c r="A815" s="35"/>
      <c r="B815" s="35"/>
      <c r="C815" s="35"/>
      <c r="D815" s="36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6"/>
    </row>
    <row r="816" spans="1:17" ht="9.75">
      <c r="A816" s="35"/>
      <c r="B816" s="35"/>
      <c r="C816" s="35"/>
      <c r="D816" s="36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6"/>
    </row>
    <row r="817" spans="1:17" ht="9.75">
      <c r="A817" s="35"/>
      <c r="B817" s="35"/>
      <c r="C817" s="35"/>
      <c r="D817" s="36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6"/>
    </row>
    <row r="818" spans="1:17" ht="9.75">
      <c r="A818" s="35"/>
      <c r="B818" s="35"/>
      <c r="C818" s="35"/>
      <c r="D818" s="36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6"/>
    </row>
    <row r="819" spans="1:17" ht="9.75">
      <c r="A819" s="35"/>
      <c r="B819" s="35"/>
      <c r="C819" s="35"/>
      <c r="D819" s="36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6"/>
    </row>
    <row r="820" spans="1:17" ht="9.75">
      <c r="A820" s="35"/>
      <c r="B820" s="35"/>
      <c r="C820" s="35"/>
      <c r="D820" s="36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6"/>
    </row>
    <row r="821" spans="1:17" ht="9.75">
      <c r="A821" s="35"/>
      <c r="B821" s="35"/>
      <c r="C821" s="35"/>
      <c r="D821" s="36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6"/>
    </row>
    <row r="822" spans="1:17" ht="9.75">
      <c r="A822" s="35"/>
      <c r="B822" s="35"/>
      <c r="C822" s="35"/>
      <c r="D822" s="36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6"/>
    </row>
    <row r="823" spans="1:17" ht="9.75">
      <c r="A823" s="35"/>
      <c r="B823" s="35"/>
      <c r="C823" s="35"/>
      <c r="D823" s="36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6"/>
    </row>
    <row r="824" spans="1:17" ht="9.75">
      <c r="A824" s="35"/>
      <c r="B824" s="35"/>
      <c r="C824" s="35"/>
      <c r="D824" s="36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6"/>
    </row>
    <row r="825" spans="1:17" ht="9.75">
      <c r="A825" s="35"/>
      <c r="B825" s="35"/>
      <c r="C825" s="35"/>
      <c r="D825" s="36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6"/>
    </row>
    <row r="826" spans="1:17" ht="9.75">
      <c r="A826" s="35"/>
      <c r="B826" s="35"/>
      <c r="C826" s="35"/>
      <c r="D826" s="36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6"/>
    </row>
    <row r="827" spans="1:17" ht="9.75">
      <c r="A827" s="35"/>
      <c r="B827" s="35"/>
      <c r="C827" s="35"/>
      <c r="D827" s="36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6"/>
    </row>
    <row r="828" spans="1:17" ht="9.75">
      <c r="A828" s="35"/>
      <c r="B828" s="35"/>
      <c r="C828" s="35"/>
      <c r="D828" s="36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6"/>
    </row>
    <row r="829" spans="1:17" ht="9.75">
      <c r="A829" s="35"/>
      <c r="B829" s="35"/>
      <c r="C829" s="35"/>
      <c r="D829" s="36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6"/>
    </row>
    <row r="830" spans="1:17" ht="9.75">
      <c r="A830" s="35"/>
      <c r="B830" s="35"/>
      <c r="C830" s="35"/>
      <c r="D830" s="36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6"/>
    </row>
    <row r="831" spans="1:17" ht="9.75">
      <c r="A831" s="35"/>
      <c r="B831" s="35"/>
      <c r="C831" s="35"/>
      <c r="D831" s="36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6"/>
    </row>
    <row r="832" spans="1:17" ht="9.75">
      <c r="A832" s="35"/>
      <c r="B832" s="35"/>
      <c r="C832" s="35"/>
      <c r="D832" s="36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6"/>
    </row>
    <row r="833" spans="1:17" ht="9.75">
      <c r="A833" s="35"/>
      <c r="B833" s="35"/>
      <c r="C833" s="35"/>
      <c r="D833" s="36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6"/>
    </row>
    <row r="834" spans="1:17" ht="9.75">
      <c r="A834" s="35"/>
      <c r="B834" s="35"/>
      <c r="C834" s="35"/>
      <c r="D834" s="36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6"/>
    </row>
    <row r="835" spans="1:17" ht="9.75">
      <c r="A835" s="35"/>
      <c r="B835" s="35"/>
      <c r="C835" s="35"/>
      <c r="D835" s="36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6"/>
    </row>
    <row r="836" spans="1:17" ht="9.75">
      <c r="A836" s="35"/>
      <c r="B836" s="35"/>
      <c r="C836" s="35"/>
      <c r="D836" s="36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6"/>
    </row>
    <row r="837" spans="1:17" ht="9.75">
      <c r="A837" s="35"/>
      <c r="B837" s="35"/>
      <c r="C837" s="35"/>
      <c r="D837" s="36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6"/>
    </row>
    <row r="838" spans="1:17" ht="9.75">
      <c r="A838" s="35"/>
      <c r="B838" s="35"/>
      <c r="C838" s="35"/>
      <c r="D838" s="36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6"/>
    </row>
    <row r="839" spans="1:17" ht="9.75">
      <c r="A839" s="35"/>
      <c r="B839" s="35"/>
      <c r="C839" s="35"/>
      <c r="D839" s="36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6"/>
    </row>
    <row r="840" spans="1:17" ht="9.75">
      <c r="A840" s="35"/>
      <c r="B840" s="35"/>
      <c r="C840" s="35"/>
      <c r="D840" s="36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6"/>
    </row>
    <row r="841" spans="1:17" ht="9.75">
      <c r="A841" s="35"/>
      <c r="B841" s="35"/>
      <c r="C841" s="35"/>
      <c r="D841" s="36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6"/>
    </row>
    <row r="842" spans="1:17" ht="9.75">
      <c r="A842" s="35"/>
      <c r="B842" s="35"/>
      <c r="C842" s="35"/>
      <c r="D842" s="36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6"/>
    </row>
    <row r="843" spans="1:17" ht="9.75">
      <c r="A843" s="35"/>
      <c r="B843" s="35"/>
      <c r="C843" s="35"/>
      <c r="D843" s="36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6"/>
    </row>
    <row r="844" spans="1:17" ht="9.75">
      <c r="A844" s="35"/>
      <c r="B844" s="35"/>
      <c r="C844" s="35"/>
      <c r="D844" s="36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6"/>
    </row>
    <row r="845" spans="1:17" ht="9.75">
      <c r="A845" s="35"/>
      <c r="B845" s="35"/>
      <c r="C845" s="35"/>
      <c r="D845" s="36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6"/>
    </row>
    <row r="846" spans="1:17" ht="9.75">
      <c r="A846" s="35"/>
      <c r="B846" s="35"/>
      <c r="C846" s="35"/>
      <c r="D846" s="36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6"/>
    </row>
    <row r="847" spans="1:17" ht="9.75">
      <c r="A847" s="35"/>
      <c r="B847" s="35"/>
      <c r="C847" s="35"/>
      <c r="D847" s="36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6"/>
    </row>
    <row r="848" spans="1:17" ht="9.75">
      <c r="A848" s="35"/>
      <c r="B848" s="35"/>
      <c r="C848" s="35"/>
      <c r="D848" s="36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6"/>
    </row>
    <row r="849" spans="1:17" ht="9.75">
      <c r="A849" s="35"/>
      <c r="B849" s="35"/>
      <c r="C849" s="35"/>
      <c r="D849" s="36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6"/>
    </row>
    <row r="850" spans="1:17" ht="9.75">
      <c r="A850" s="35"/>
      <c r="B850" s="35"/>
      <c r="C850" s="35"/>
      <c r="D850" s="36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6"/>
    </row>
    <row r="851" spans="1:17" ht="9.75">
      <c r="A851" s="35"/>
      <c r="B851" s="35"/>
      <c r="C851" s="35"/>
      <c r="D851" s="36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6"/>
    </row>
    <row r="852" spans="1:17" ht="9.75">
      <c r="A852" s="35"/>
      <c r="B852" s="35"/>
      <c r="C852" s="35"/>
      <c r="D852" s="36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6"/>
    </row>
    <row r="853" spans="1:17" ht="9.75">
      <c r="A853" s="35"/>
      <c r="B853" s="35"/>
      <c r="C853" s="35"/>
      <c r="D853" s="36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6"/>
    </row>
    <row r="854" spans="1:17" ht="9.75">
      <c r="A854" s="35"/>
      <c r="B854" s="35"/>
      <c r="C854" s="35"/>
      <c r="D854" s="36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6"/>
    </row>
    <row r="855" spans="1:17" ht="9.75">
      <c r="A855" s="35"/>
      <c r="B855" s="35"/>
      <c r="C855" s="35"/>
      <c r="D855" s="36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6"/>
    </row>
    <row r="856" spans="1:17" ht="9.75">
      <c r="A856" s="35"/>
      <c r="B856" s="35"/>
      <c r="C856" s="35"/>
      <c r="D856" s="36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6"/>
    </row>
    <row r="857" spans="1:17" ht="9.75">
      <c r="A857" s="35"/>
      <c r="B857" s="35"/>
      <c r="C857" s="35"/>
      <c r="D857" s="36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6"/>
    </row>
    <row r="858" spans="1:17" ht="9.75">
      <c r="A858" s="35"/>
      <c r="B858" s="35"/>
      <c r="C858" s="35"/>
      <c r="D858" s="36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6"/>
    </row>
    <row r="859" spans="1:17" ht="9.75">
      <c r="A859" s="35"/>
      <c r="B859" s="35"/>
      <c r="C859" s="35"/>
      <c r="D859" s="36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6"/>
    </row>
    <row r="860" spans="1:17" ht="9.75">
      <c r="A860" s="35"/>
      <c r="B860" s="35"/>
      <c r="C860" s="35"/>
      <c r="D860" s="36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6"/>
    </row>
    <row r="861" spans="1:17" ht="9.75">
      <c r="A861" s="35"/>
      <c r="B861" s="35"/>
      <c r="C861" s="35"/>
      <c r="D861" s="36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6"/>
    </row>
    <row r="862" spans="1:17" ht="9.75">
      <c r="A862" s="35"/>
      <c r="B862" s="35"/>
      <c r="C862" s="35"/>
      <c r="D862" s="36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6"/>
    </row>
    <row r="863" spans="1:17" ht="9.75">
      <c r="A863" s="35"/>
      <c r="B863" s="35"/>
      <c r="C863" s="35"/>
      <c r="D863" s="36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6"/>
    </row>
    <row r="864" spans="1:17" ht="9.75">
      <c r="A864" s="35"/>
      <c r="B864" s="35"/>
      <c r="C864" s="35"/>
      <c r="D864" s="36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</row>
    <row r="865" spans="1:17" ht="9.75">
      <c r="A865" s="35"/>
      <c r="B865" s="35"/>
      <c r="C865" s="35"/>
      <c r="D865" s="36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</row>
    <row r="866" spans="1:17" ht="9.75">
      <c r="A866" s="35"/>
      <c r="B866" s="35"/>
      <c r="C866" s="35"/>
      <c r="D866" s="36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</row>
    <row r="867" spans="1:17" ht="9.75">
      <c r="A867" s="35"/>
      <c r="B867" s="35"/>
      <c r="C867" s="35"/>
      <c r="D867" s="36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</row>
    <row r="868" spans="1:17" ht="9.75">
      <c r="A868" s="35"/>
      <c r="B868" s="35"/>
      <c r="C868" s="35"/>
      <c r="D868" s="36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</row>
    <row r="869" spans="1:17" ht="9.75">
      <c r="A869" s="35"/>
      <c r="B869" s="35"/>
      <c r="C869" s="35"/>
      <c r="D869" s="36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</row>
    <row r="870" spans="1:17" ht="9.75">
      <c r="A870" s="35"/>
      <c r="B870" s="35"/>
      <c r="C870" s="35"/>
      <c r="D870" s="36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</row>
    <row r="871" spans="1:17" ht="9.75">
      <c r="A871" s="35"/>
      <c r="B871" s="35"/>
      <c r="C871" s="35"/>
      <c r="D871" s="36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</row>
    <row r="872" spans="1:17" ht="9.75">
      <c r="A872" s="35"/>
      <c r="B872" s="35"/>
      <c r="C872" s="35"/>
      <c r="D872" s="36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</row>
    <row r="873" spans="1:17" ht="9.75">
      <c r="A873" s="35"/>
      <c r="B873" s="35"/>
      <c r="C873" s="35"/>
      <c r="D873" s="36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</row>
    <row r="874" spans="1:17" ht="9.75">
      <c r="A874" s="35"/>
      <c r="B874" s="35"/>
      <c r="C874" s="35"/>
      <c r="D874" s="36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</row>
    <row r="875" spans="1:17" ht="9.75">
      <c r="A875" s="35"/>
      <c r="B875" s="35"/>
      <c r="C875" s="35"/>
      <c r="D875" s="36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</row>
    <row r="876" spans="1:17" ht="9.75">
      <c r="A876" s="35"/>
      <c r="B876" s="35"/>
      <c r="C876" s="35"/>
      <c r="D876" s="36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</row>
    <row r="877" spans="1:17" ht="9.75">
      <c r="A877" s="35"/>
      <c r="B877" s="35"/>
      <c r="C877" s="35"/>
      <c r="D877" s="36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</row>
    <row r="878" spans="1:17" ht="9.75">
      <c r="A878" s="35"/>
      <c r="B878" s="35"/>
      <c r="C878" s="35"/>
      <c r="D878" s="36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</row>
    <row r="879" spans="1:17" ht="9.75">
      <c r="A879" s="35"/>
      <c r="B879" s="35"/>
      <c r="C879" s="35"/>
      <c r="D879" s="36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</row>
    <row r="880" spans="1:17" ht="9.75">
      <c r="A880" s="35"/>
      <c r="B880" s="35"/>
      <c r="C880" s="35"/>
      <c r="D880" s="36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</row>
    <row r="881" spans="1:17" ht="9.75">
      <c r="A881" s="35"/>
      <c r="B881" s="35"/>
      <c r="C881" s="35"/>
      <c r="D881" s="36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</row>
    <row r="882" spans="1:17" ht="9.75">
      <c r="A882" s="35"/>
      <c r="B882" s="35"/>
      <c r="C882" s="35"/>
      <c r="D882" s="36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</row>
    <row r="883" spans="1:17" ht="9.75">
      <c r="A883" s="35"/>
      <c r="B883" s="35"/>
      <c r="C883" s="35"/>
      <c r="D883" s="36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</row>
    <row r="884" spans="1:17" ht="9.75">
      <c r="A884" s="35"/>
      <c r="B884" s="35"/>
      <c r="C884" s="35"/>
      <c r="D884" s="36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</row>
    <row r="885" spans="1:17" ht="9.75">
      <c r="A885" s="35"/>
      <c r="B885" s="35"/>
      <c r="C885" s="35"/>
      <c r="D885" s="36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</row>
    <row r="886" spans="1:17" ht="9.75">
      <c r="A886" s="35"/>
      <c r="B886" s="35"/>
      <c r="C886" s="35"/>
      <c r="D886" s="36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</row>
    <row r="887" spans="1:17" ht="9.75">
      <c r="A887" s="35"/>
      <c r="B887" s="35"/>
      <c r="C887" s="35"/>
      <c r="D887" s="36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</row>
    <row r="888" spans="1:17" ht="9.75">
      <c r="A888" s="35"/>
      <c r="B888" s="35"/>
      <c r="C888" s="35"/>
      <c r="D888" s="36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</row>
    <row r="889" spans="1:17" ht="9.75">
      <c r="A889" s="35"/>
      <c r="B889" s="35"/>
      <c r="C889" s="35"/>
      <c r="D889" s="36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</row>
    <row r="890" spans="1:17" ht="9.75">
      <c r="A890" s="35"/>
      <c r="B890" s="35"/>
      <c r="C890" s="35"/>
      <c r="D890" s="36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</row>
    <row r="891" spans="1:17" ht="9.75">
      <c r="A891" s="35"/>
      <c r="B891" s="35"/>
      <c r="C891" s="35"/>
      <c r="D891" s="36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</row>
    <row r="892" spans="1:17" ht="9.75">
      <c r="A892" s="35"/>
      <c r="B892" s="35"/>
      <c r="C892" s="35"/>
      <c r="D892" s="36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</row>
    <row r="893" spans="1:17" ht="9.75">
      <c r="A893" s="35"/>
      <c r="B893" s="35"/>
      <c r="C893" s="35"/>
      <c r="D893" s="36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</row>
    <row r="894" spans="1:17" ht="9.75">
      <c r="A894" s="35"/>
      <c r="B894" s="35"/>
      <c r="C894" s="35"/>
      <c r="D894" s="36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</row>
    <row r="895" spans="1:17" ht="9.75">
      <c r="A895" s="35"/>
      <c r="B895" s="35"/>
      <c r="C895" s="35"/>
      <c r="D895" s="36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</row>
    <row r="896" spans="1:17" ht="9.75">
      <c r="A896" s="35"/>
      <c r="B896" s="35"/>
      <c r="C896" s="35"/>
      <c r="D896" s="36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</row>
    <row r="897" spans="1:17" ht="9.75">
      <c r="A897" s="35"/>
      <c r="B897" s="35"/>
      <c r="C897" s="35"/>
      <c r="D897" s="36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</row>
    <row r="898" spans="1:17" ht="9.75">
      <c r="A898" s="35"/>
      <c r="B898" s="35"/>
      <c r="C898" s="35"/>
      <c r="D898" s="36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</row>
    <row r="899" spans="1:17" ht="9.75">
      <c r="A899" s="35"/>
      <c r="B899" s="35"/>
      <c r="C899" s="35"/>
      <c r="D899" s="36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</row>
    <row r="900" spans="1:17" ht="9.75">
      <c r="A900" s="35"/>
      <c r="B900" s="35"/>
      <c r="C900" s="35"/>
      <c r="D900" s="36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</row>
    <row r="901" spans="1:17" ht="9.75">
      <c r="A901" s="35"/>
      <c r="B901" s="35"/>
      <c r="C901" s="35"/>
      <c r="D901" s="36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</row>
    <row r="902" spans="1:17" ht="9.75">
      <c r="A902" s="35"/>
      <c r="B902" s="35"/>
      <c r="C902" s="35"/>
      <c r="D902" s="36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</row>
    <row r="903" spans="1:17" ht="9.7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</row>
    <row r="904" spans="1:17" ht="9.7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</row>
    <row r="905" spans="1:17" ht="9.7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</row>
    <row r="906" spans="1:17" ht="9.7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</row>
    <row r="907" spans="1:17" ht="9.7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</row>
    <row r="908" spans="1:17" ht="9.7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</row>
    <row r="909" spans="1:17" ht="9.7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</row>
    <row r="910" spans="1:17" ht="9.7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</row>
    <row r="911" spans="1:17" ht="9.7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</row>
    <row r="912" spans="1:17" ht="9.7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</row>
    <row r="913" spans="1:17" ht="9.7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</row>
    <row r="914" spans="1:17" ht="9.7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</row>
    <row r="915" spans="1:17" ht="9.7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</row>
    <row r="916" spans="1:17" ht="9.7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</row>
    <row r="917" spans="1:17" ht="9.7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</row>
    <row r="918" spans="1:17" ht="9.7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</row>
    <row r="919" spans="1:17" ht="9.7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</row>
    <row r="920" spans="1:17" ht="9.7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</row>
    <row r="921" spans="1:17" ht="9.7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</row>
    <row r="922" spans="1:17" ht="9.7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</row>
    <row r="923" spans="1:17" ht="9.7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</row>
    <row r="924" spans="1:17" ht="9.7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</row>
    <row r="925" spans="1:17" ht="9.7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</row>
    <row r="926" spans="1:17" ht="9.7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</row>
    <row r="927" spans="1:17" ht="9.7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</row>
    <row r="928" spans="1:17" ht="9.7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</row>
    <row r="929" spans="1:17" ht="9.7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</row>
    <row r="930" spans="1:17" ht="9.7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</row>
    <row r="931" spans="1:17" ht="9.7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</row>
    <row r="932" spans="1:17" ht="9.7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</row>
    <row r="933" spans="1:17" ht="9.7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</row>
    <row r="934" spans="1:17" ht="9.7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</row>
    <row r="935" spans="1:17" ht="9.7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</row>
    <row r="936" spans="1:17" ht="9.7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</row>
    <row r="937" spans="1:17" ht="9.7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</row>
    <row r="938" spans="1:17" ht="9.7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</row>
    <row r="939" spans="1:17" ht="9.7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</row>
    <row r="940" spans="1:17" ht="9.7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</row>
    <row r="941" spans="1:17" ht="9.7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</row>
    <row r="942" spans="1:17" ht="9.7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</row>
    <row r="943" spans="1:17" ht="9.7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</row>
    <row r="944" spans="1:17" ht="9.7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</row>
    <row r="945" spans="1:17" ht="9.7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</row>
    <row r="946" spans="1:17" ht="9.7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</row>
    <row r="947" spans="1:17" ht="9.7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</row>
    <row r="948" spans="1:17" ht="9.7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</row>
    <row r="949" spans="1:17" ht="9.7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</row>
    <row r="950" spans="1:17" ht="9.7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</row>
    <row r="951" spans="1:17" ht="9.7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</row>
    <row r="952" spans="1:17" ht="9.7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</row>
    <row r="953" spans="1:17" ht="9.7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</row>
    <row r="954" spans="1:17" ht="9.7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</row>
    <row r="955" spans="1:17" ht="9.7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</row>
    <row r="956" spans="1:17" ht="9.7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</row>
    <row r="957" spans="1:17" ht="9.7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</row>
    <row r="958" spans="1:17" ht="9.7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</row>
    <row r="959" spans="1:17" ht="9.7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</row>
    <row r="960" spans="1:17" ht="9.7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</row>
    <row r="961" spans="1:17" ht="9.7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</row>
    <row r="962" spans="1:17" ht="9.7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</row>
    <row r="963" spans="1:17" ht="9.7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</row>
    <row r="964" spans="1:17" ht="9.7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</row>
    <row r="965" spans="1:17" ht="9.7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</row>
    <row r="966" spans="1:17" ht="9.7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</row>
    <row r="967" spans="1:17" ht="9.7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</row>
    <row r="968" spans="1:17" ht="9.7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</row>
    <row r="969" spans="1:17" ht="9.7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</row>
    <row r="970" spans="1:17" ht="9.7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</row>
    <row r="971" spans="1:17" ht="9.7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</row>
    <row r="972" spans="1:17" ht="9.7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</row>
    <row r="973" spans="1:17" ht="9.7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</row>
    <row r="974" spans="1:17" ht="9.7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</row>
    <row r="975" spans="1:17" ht="9.7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</row>
    <row r="976" spans="1:17" ht="9.7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</row>
    <row r="977" spans="1:17" ht="9.7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</row>
    <row r="978" spans="1:17" ht="9.7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</row>
    <row r="979" spans="1:17" ht="9.7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</row>
    <row r="980" spans="1:17" ht="9.7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</row>
    <row r="981" spans="1:17" ht="9.7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</row>
    <row r="982" spans="1:17" ht="9.7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</row>
    <row r="983" spans="1:17" ht="9.7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</row>
    <row r="984" spans="1:17" ht="9.7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</row>
    <row r="985" spans="1:17" ht="9.7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</row>
    <row r="986" spans="1:17" ht="9.7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</row>
    <row r="987" spans="1:17" ht="9.7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</row>
    <row r="988" spans="1:17" ht="9.7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</row>
    <row r="989" spans="1:17" ht="9.7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</row>
    <row r="990" spans="1:17" ht="9.7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</row>
    <row r="991" spans="1:17" ht="9.7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</row>
    <row r="992" spans="1:17" ht="9.7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</row>
    <row r="993" spans="1:17" ht="9.7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</row>
    <row r="994" spans="1:17" ht="9.7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</row>
    <row r="995" spans="1:17" ht="9.7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</row>
    <row r="996" spans="1:17" ht="9.7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</row>
    <row r="997" spans="1:17" ht="9.7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</row>
    <row r="998" spans="1:17" ht="9.7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</row>
    <row r="999" spans="1:17" ht="9.7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</row>
    <row r="1000" spans="1:17" ht="9.7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</row>
    <row r="1001" spans="1:17" ht="9.7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</row>
    <row r="1002" spans="1:17" ht="9.7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</row>
    <row r="1003" spans="1:17" ht="9.7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</row>
    <row r="1004" spans="1:17" ht="9.7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</row>
    <row r="1005" spans="1:17" ht="9.7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</row>
    <row r="1006" spans="1:17" ht="9.7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</row>
    <row r="1007" spans="1:17" ht="9.7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</row>
    <row r="1008" spans="1:17" ht="9.7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</row>
    <row r="1009" spans="1:17" ht="9.7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</row>
    <row r="1010" spans="1:17" ht="9.7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</row>
    <row r="1011" spans="1:17" ht="9.7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</row>
    <row r="1012" spans="1:17" ht="9.7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</row>
    <row r="1013" spans="1:17" ht="9.7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</row>
    <row r="1014" spans="1:17" ht="9.7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</row>
    <row r="1015" spans="1:17" ht="9.7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</row>
    <row r="1016" spans="1:17" ht="9.7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</row>
    <row r="1017" spans="1:17" ht="9.7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</row>
    <row r="1018" spans="1:17" ht="9.7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</row>
    <row r="1019" spans="1:17" ht="9.7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</row>
    <row r="1020" spans="1:17" ht="9.7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</row>
    <row r="1021" spans="1:17" ht="9.7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</row>
    <row r="1022" spans="1:17" ht="9.7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</row>
    <row r="1023" spans="1:17" ht="9.7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</row>
    <row r="1024" spans="1:17" ht="9.7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</row>
    <row r="1025" spans="1:17" ht="9.7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</row>
    <row r="1026" spans="1:17" ht="9.7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</row>
    <row r="1027" spans="1:17" ht="9.7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</row>
    <row r="1028" spans="1:17" ht="9.7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</row>
    <row r="1029" spans="1:17" ht="9.7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</row>
    <row r="1030" spans="1:17" ht="9.7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</row>
    <row r="1031" spans="1:17" ht="9.7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</row>
    <row r="1032" spans="1:17" ht="9.7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</row>
  </sheetData>
  <printOptions/>
  <pageMargins left="0.25" right="0.25" top="0.75" bottom="0.5" header="0.5" footer="0.5"/>
  <pageSetup horizontalDpi="600" verticalDpi="600" orientation="landscape" r:id="rId3"/>
  <headerFooter alignWithMargins="0">
    <oddHeader>&amp;C&amp;RSREB-State Data Exchange</oddHeader>
    <oddFooter>&amp;C&amp;RAugust 1998</oddFooter>
  </headerFooter>
  <rowBreaks count="7" manualBreakCount="7">
    <brk id="54" max="255" man="1"/>
    <brk id="55" max="255" man="1"/>
    <brk id="110" max="255" man="1"/>
    <brk id="165" max="255" man="1"/>
    <brk id="218" max="255" man="1"/>
    <brk id="270" max="255" man="1"/>
    <brk id="322" max="255" man="1"/>
  </rowBreaks>
  <colBreaks count="1" manualBreakCount="1">
    <brk id="1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E296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sheetData>
    <row r="1" spans="1:5" ht="12.75">
      <c r="A1" s="20" t="s">
        <v>61</v>
      </c>
      <c r="B1" s="20"/>
      <c r="C1" s="2" t="s">
        <v>975</v>
      </c>
      <c r="D1" s="2"/>
      <c r="E1" s="2"/>
    </row>
    <row r="2" spans="1:5" ht="12.75">
      <c r="A2" s="2"/>
      <c r="B2" s="2" t="s">
        <v>875</v>
      </c>
      <c r="C2" s="2" t="s">
        <v>976</v>
      </c>
      <c r="D2" s="2"/>
      <c r="E2" s="2"/>
    </row>
    <row r="3" spans="1:5" ht="12.75">
      <c r="A3" s="2"/>
      <c r="B3" s="2"/>
      <c r="C3" s="291" t="s">
        <v>977</v>
      </c>
      <c r="D3" s="291" t="s">
        <v>977</v>
      </c>
      <c r="E3" s="291" t="s">
        <v>977</v>
      </c>
    </row>
    <row r="4" spans="1:5" ht="12.75">
      <c r="A4" s="2" t="s">
        <v>61</v>
      </c>
      <c r="B4" s="2"/>
      <c r="C4" s="2" t="s">
        <v>978</v>
      </c>
      <c r="D4" s="2"/>
      <c r="E4" s="2" t="s">
        <v>979</v>
      </c>
    </row>
    <row r="5" spans="1:5" ht="12.75">
      <c r="A5" s="2"/>
      <c r="B5" s="2"/>
      <c r="C5" s="122" t="s">
        <v>980</v>
      </c>
      <c r="D5" s="122" t="s">
        <v>981</v>
      </c>
      <c r="E5" s="122" t="s">
        <v>980</v>
      </c>
    </row>
    <row r="7" spans="1:5" ht="12.75">
      <c r="A7" s="2"/>
      <c r="B7" s="2" t="s">
        <v>982</v>
      </c>
      <c r="C7" s="20">
        <f>SUM('SCH Database'!J7:J8)</f>
        <v>991976</v>
      </c>
      <c r="D7" s="291" t="s">
        <v>983</v>
      </c>
      <c r="E7" s="20">
        <f>SUM('SCH Database'!T7:T8)</f>
        <v>138609</v>
      </c>
    </row>
    <row r="8" spans="1:5" ht="12.75">
      <c r="A8" s="2"/>
      <c r="B8" s="2" t="s">
        <v>984</v>
      </c>
      <c r="C8" s="20">
        <f>'SCH Database'!J9</f>
        <v>274570</v>
      </c>
      <c r="D8" s="291" t="s">
        <v>983</v>
      </c>
      <c r="E8" s="20">
        <f>SUM('SCH Database'!T9)</f>
        <v>40860</v>
      </c>
    </row>
    <row r="9" spans="1:5" ht="12.75">
      <c r="A9" s="2"/>
      <c r="B9" s="2" t="s">
        <v>985</v>
      </c>
      <c r="C9" s="20">
        <f>SUM('SCH Database'!J10:J13)</f>
        <v>669296</v>
      </c>
      <c r="D9" s="291" t="s">
        <v>983</v>
      </c>
      <c r="E9" s="20">
        <f>SUM('SCH Database'!T10:T13)</f>
        <v>83508</v>
      </c>
    </row>
    <row r="10" spans="1:5" ht="12.75">
      <c r="A10" s="2"/>
      <c r="B10" s="2" t="s">
        <v>986</v>
      </c>
      <c r="C10" s="20">
        <f>SUM('SCH Database'!J14:J17)</f>
        <v>430249</v>
      </c>
      <c r="D10" s="291" t="s">
        <v>983</v>
      </c>
      <c r="E10" s="20">
        <f>SUM('SCH Database'!T14:T17)</f>
        <v>60040</v>
      </c>
    </row>
    <row r="11" spans="1:5" ht="12.75">
      <c r="A11" s="2"/>
      <c r="B11" s="2" t="s">
        <v>987</v>
      </c>
      <c r="C11" s="20">
        <f>SUM('SCH Database'!J18:J21)</f>
        <v>385600</v>
      </c>
      <c r="D11" s="291" t="s">
        <v>983</v>
      </c>
      <c r="E11" s="20">
        <f>SUM('SCH Database'!T18:T21)</f>
        <v>36120</v>
      </c>
    </row>
    <row r="12" spans="1:5" ht="12.75">
      <c r="A12" s="2"/>
      <c r="B12" s="2" t="s">
        <v>988</v>
      </c>
      <c r="C12" s="20">
        <f>'SCH Database'!J22</f>
        <v>80909</v>
      </c>
      <c r="D12" s="291" t="s">
        <v>983</v>
      </c>
      <c r="E12" s="20">
        <f>'SCH Database'!T49</f>
        <v>0</v>
      </c>
    </row>
    <row r="13" spans="1:5" ht="12.75">
      <c r="A13" s="2"/>
      <c r="B13" s="2" t="s">
        <v>989</v>
      </c>
      <c r="C13" s="20">
        <v>0</v>
      </c>
      <c r="D13" s="20">
        <v>0</v>
      </c>
      <c r="E13" s="291" t="s">
        <v>983</v>
      </c>
    </row>
    <row r="14" spans="1:5" ht="12.75">
      <c r="A14" s="2"/>
      <c r="B14" s="2" t="s">
        <v>990</v>
      </c>
      <c r="C14" s="20">
        <f>SUM('SCH Database'!J23:J44)</f>
        <v>1842777.0631</v>
      </c>
      <c r="D14" s="20"/>
      <c r="E14" s="2"/>
    </row>
    <row r="15" spans="1:5" ht="12.75">
      <c r="A15" s="2"/>
      <c r="B15" s="2" t="s">
        <v>991</v>
      </c>
      <c r="C15" s="20">
        <f>SUM('SCH Database'!J45:J54)</f>
        <v>231966.93110000002</v>
      </c>
      <c r="D15" s="20">
        <v>0</v>
      </c>
      <c r="E15" s="291" t="s">
        <v>983</v>
      </c>
    </row>
    <row r="16" spans="1:5" ht="12.75">
      <c r="A16" s="2"/>
      <c r="B16" s="2" t="s">
        <v>992</v>
      </c>
      <c r="C16" s="20"/>
      <c r="D16" s="291" t="s">
        <v>983</v>
      </c>
      <c r="E16" s="20"/>
    </row>
    <row r="17" spans="1:5" ht="12.75">
      <c r="A17" s="2"/>
      <c r="B17" s="2"/>
      <c r="C17" s="20"/>
      <c r="D17" s="20"/>
      <c r="E17" s="20"/>
    </row>
    <row r="18" spans="1:5" ht="12.75">
      <c r="A18" s="2"/>
      <c r="B18" s="2" t="s">
        <v>993</v>
      </c>
      <c r="C18" s="2">
        <f>SUM(C7:C15)</f>
        <v>4907343.9942</v>
      </c>
      <c r="D18" s="2">
        <f>SUM(D7:D16)</f>
        <v>0</v>
      </c>
      <c r="E18" s="2">
        <f>SUM(E7:E16)</f>
        <v>359137</v>
      </c>
    </row>
    <row r="19" spans="1:5" ht="12.75">
      <c r="A19" s="2"/>
      <c r="B19" s="291" t="s">
        <v>977</v>
      </c>
      <c r="C19" s="291" t="s">
        <v>977</v>
      </c>
      <c r="D19" s="291" t="s">
        <v>977</v>
      </c>
      <c r="E19" s="291" t="s">
        <v>977</v>
      </c>
    </row>
    <row r="20" spans="1:5" ht="12.75">
      <c r="A20" s="2"/>
      <c r="B20" s="2" t="s">
        <v>875</v>
      </c>
      <c r="C20" s="2"/>
      <c r="D20" s="2"/>
      <c r="E20" s="2"/>
    </row>
    <row r="21" spans="1:5" ht="12.75">
      <c r="A21" s="20" t="s">
        <v>111</v>
      </c>
      <c r="B21" s="20"/>
      <c r="C21" s="2" t="s">
        <v>975</v>
      </c>
      <c r="D21" s="2"/>
      <c r="E21" s="2"/>
    </row>
    <row r="22" spans="1:5" ht="12.75">
      <c r="A22" s="2"/>
      <c r="B22" s="2" t="s">
        <v>875</v>
      </c>
      <c r="C22" s="2" t="s">
        <v>976</v>
      </c>
      <c r="D22" s="2"/>
      <c r="E22" s="2"/>
    </row>
    <row r="23" spans="1:5" ht="12.75">
      <c r="A23" s="2"/>
      <c r="B23" s="2"/>
      <c r="C23" s="291" t="s">
        <v>977</v>
      </c>
      <c r="D23" s="291" t="s">
        <v>977</v>
      </c>
      <c r="E23" s="291" t="s">
        <v>977</v>
      </c>
    </row>
    <row r="24" spans="1:5" ht="12.75">
      <c r="A24" s="2"/>
      <c r="B24" s="2"/>
      <c r="C24" s="2" t="s">
        <v>978</v>
      </c>
      <c r="D24" s="2"/>
      <c r="E24" s="2" t="s">
        <v>979</v>
      </c>
    </row>
    <row r="25" spans="1:5" ht="12.75">
      <c r="A25" s="2"/>
      <c r="B25" s="2"/>
      <c r="C25" s="122" t="s">
        <v>980</v>
      </c>
      <c r="D25" s="122" t="s">
        <v>981</v>
      </c>
      <c r="E25" s="122" t="s">
        <v>980</v>
      </c>
    </row>
    <row r="26" spans="1:5" ht="12.75">
      <c r="A26" s="2"/>
      <c r="B26" s="2"/>
      <c r="C26" s="2"/>
      <c r="D26" s="2"/>
      <c r="E26" s="2"/>
    </row>
    <row r="27" spans="1:5" ht="12.75">
      <c r="A27" s="2" t="s">
        <v>111</v>
      </c>
      <c r="B27" s="2" t="s">
        <v>982</v>
      </c>
      <c r="C27" s="20">
        <f>'SCH Database'!J55</f>
        <v>331240</v>
      </c>
      <c r="D27" s="291" t="s">
        <v>983</v>
      </c>
      <c r="E27" s="20">
        <f>'SCH Database'!T55</f>
        <v>52714</v>
      </c>
    </row>
    <row r="28" spans="1:5" ht="12.75">
      <c r="A28" s="2"/>
      <c r="B28" s="2" t="s">
        <v>984</v>
      </c>
      <c r="C28" s="20">
        <v>0</v>
      </c>
      <c r="D28" s="291" t="s">
        <v>983</v>
      </c>
      <c r="E28" s="20">
        <v>0</v>
      </c>
    </row>
    <row r="29" spans="1:5" ht="12.75">
      <c r="A29" s="2"/>
      <c r="B29" s="2" t="s">
        <v>985</v>
      </c>
      <c r="C29" s="20">
        <f>SUM('SCH Database'!J56:J58)</f>
        <v>660468</v>
      </c>
      <c r="D29" s="291" t="s">
        <v>983</v>
      </c>
      <c r="E29" s="20">
        <f>SUM('SCH Database'!T56:T58)</f>
        <v>70573</v>
      </c>
    </row>
    <row r="30" spans="1:5" ht="12.75">
      <c r="A30" s="2"/>
      <c r="B30" s="2" t="s">
        <v>986</v>
      </c>
      <c r="C30" s="2">
        <v>0</v>
      </c>
      <c r="D30" s="291" t="s">
        <v>983</v>
      </c>
      <c r="E30" s="20">
        <v>0</v>
      </c>
    </row>
    <row r="31" spans="1:5" ht="12.75">
      <c r="A31" s="2"/>
      <c r="B31" s="2" t="s">
        <v>987</v>
      </c>
      <c r="C31" s="20">
        <f>SUM('SCH Database'!J59:J60)</f>
        <v>210992</v>
      </c>
      <c r="D31" s="291" t="s">
        <v>983</v>
      </c>
      <c r="E31" s="20">
        <f>SUM('SCH Database'!T59:T60)</f>
        <v>7054</v>
      </c>
    </row>
    <row r="32" spans="1:5" ht="12.75">
      <c r="A32" s="2"/>
      <c r="B32" s="2" t="s">
        <v>988</v>
      </c>
      <c r="C32" s="20">
        <f>SUM('SCH Database'!J61:J63)</f>
        <v>217003</v>
      </c>
      <c r="D32" s="291" t="s">
        <v>983</v>
      </c>
      <c r="E32" s="20">
        <f>SUM('SCH Database'!T61:T63)</f>
        <v>4938</v>
      </c>
    </row>
    <row r="33" spans="1:5" ht="12.75">
      <c r="A33" s="2"/>
      <c r="B33" s="2" t="s">
        <v>994</v>
      </c>
      <c r="C33" s="20">
        <f>SUM('SCH Database'!J64:J85)</f>
        <v>594497</v>
      </c>
      <c r="D33" s="20">
        <v>0</v>
      </c>
      <c r="E33" s="291" t="s">
        <v>983</v>
      </c>
    </row>
    <row r="34" spans="1:5" ht="12.75">
      <c r="A34" s="2"/>
      <c r="B34" s="2" t="s">
        <v>991</v>
      </c>
      <c r="C34" s="192" t="s">
        <v>995</v>
      </c>
      <c r="D34" s="193"/>
      <c r="E34" s="291" t="s">
        <v>983</v>
      </c>
    </row>
    <row r="35" spans="1:5" ht="12.75">
      <c r="A35" s="2"/>
      <c r="B35" s="2" t="s">
        <v>992</v>
      </c>
      <c r="C35" s="20">
        <f>'SCH Database'!J86</f>
        <v>6115</v>
      </c>
      <c r="D35" s="291" t="s">
        <v>983</v>
      </c>
      <c r="E35" s="20">
        <f>'SCH Database'!T86</f>
        <v>18925</v>
      </c>
    </row>
    <row r="36" spans="1:5" ht="12.75">
      <c r="A36" s="2"/>
      <c r="B36" s="2"/>
      <c r="C36" s="2"/>
      <c r="D36" s="2"/>
      <c r="E36" s="2"/>
    </row>
    <row r="37" spans="1:5" ht="12.75">
      <c r="A37" s="2"/>
      <c r="B37" s="2" t="s">
        <v>993</v>
      </c>
      <c r="C37" s="2">
        <f>SUM(C27:C35)</f>
        <v>2020315</v>
      </c>
      <c r="D37" s="2">
        <f>SUM(D27:D35)</f>
        <v>0</v>
      </c>
      <c r="E37" s="2">
        <f>SUM(E27:E35)</f>
        <v>154204</v>
      </c>
    </row>
    <row r="38" spans="1:5" ht="12.75">
      <c r="A38" s="2"/>
      <c r="B38" s="291" t="s">
        <v>977</v>
      </c>
      <c r="C38" s="291" t="s">
        <v>977</v>
      </c>
      <c r="D38" s="291" t="s">
        <v>977</v>
      </c>
      <c r="E38" s="291" t="s">
        <v>977</v>
      </c>
    </row>
    <row r="39" spans="1:5" ht="12.75">
      <c r="A39" s="2"/>
      <c r="B39" s="2" t="s">
        <v>875</v>
      </c>
      <c r="C39" s="2"/>
      <c r="D39" s="2"/>
      <c r="E39" s="2"/>
    </row>
    <row r="40" spans="1:5" ht="12.75">
      <c r="A40" s="20" t="s">
        <v>144</v>
      </c>
      <c r="B40" s="20"/>
      <c r="C40" s="2" t="s">
        <v>975</v>
      </c>
      <c r="D40" s="2"/>
      <c r="E40" s="2"/>
    </row>
    <row r="41" spans="1:5" ht="12.75">
      <c r="A41" s="2"/>
      <c r="B41" s="2" t="s">
        <v>875</v>
      </c>
      <c r="C41" s="2" t="s">
        <v>976</v>
      </c>
      <c r="D41" s="2"/>
      <c r="E41" s="2"/>
    </row>
    <row r="42" spans="1:5" ht="12.75">
      <c r="A42" s="2"/>
      <c r="B42" s="2"/>
      <c r="C42" s="291" t="s">
        <v>977</v>
      </c>
      <c r="D42" s="291" t="s">
        <v>977</v>
      </c>
      <c r="E42" s="291" t="s">
        <v>977</v>
      </c>
    </row>
    <row r="43" spans="1:5" ht="12.75">
      <c r="A43" s="2" t="s">
        <v>144</v>
      </c>
      <c r="B43" s="2"/>
      <c r="C43" s="2" t="s">
        <v>978</v>
      </c>
      <c r="D43" s="2"/>
      <c r="E43" s="2" t="s">
        <v>979</v>
      </c>
    </row>
    <row r="44" spans="1:5" ht="12.75">
      <c r="A44" s="2"/>
      <c r="B44" s="2" t="s">
        <v>875</v>
      </c>
      <c r="C44" s="122" t="s">
        <v>980</v>
      </c>
      <c r="D44" s="122" t="s">
        <v>981</v>
      </c>
      <c r="E44" s="122" t="s">
        <v>980</v>
      </c>
    </row>
    <row r="45" spans="1:5" ht="12.75">
      <c r="A45" s="2"/>
      <c r="B45" s="2"/>
      <c r="C45" s="2"/>
      <c r="D45" s="2"/>
      <c r="E45" s="2"/>
    </row>
    <row r="46" spans="1:5" ht="12.75">
      <c r="A46" s="2"/>
      <c r="B46" s="2" t="s">
        <v>982</v>
      </c>
      <c r="C46" s="20">
        <f>SUM('SCH Database'!J87:J89)</f>
        <v>2075059.3</v>
      </c>
      <c r="D46" s="291" t="s">
        <v>983</v>
      </c>
      <c r="E46" s="20">
        <f>SUM('SCH Database'!T87:T89)</f>
        <v>380826</v>
      </c>
    </row>
    <row r="47" spans="1:5" ht="12.75">
      <c r="A47" s="2"/>
      <c r="B47" s="2" t="s">
        <v>984</v>
      </c>
      <c r="C47" s="20">
        <f>SUM('SCH Database'!J90:J91)</f>
        <v>903757</v>
      </c>
      <c r="D47" s="291" t="s">
        <v>983</v>
      </c>
      <c r="E47" s="20">
        <f>SUM('SCH Database'!T90:T91)</f>
        <v>112689</v>
      </c>
    </row>
    <row r="48" spans="1:5" ht="12.75">
      <c r="A48" s="2"/>
      <c r="B48" s="2" t="s">
        <v>985</v>
      </c>
      <c r="C48" s="20">
        <f>SUM('SCH Database'!J92:J93)</f>
        <v>696932</v>
      </c>
      <c r="D48" s="291" t="s">
        <v>983</v>
      </c>
      <c r="E48" s="20">
        <f>SUM('SCH Database'!T92:T93)</f>
        <v>105254</v>
      </c>
    </row>
    <row r="49" spans="1:5" ht="12.75">
      <c r="A49" s="2"/>
      <c r="B49" s="2" t="s">
        <v>986</v>
      </c>
      <c r="C49" s="20">
        <f>SUM('SCH Database'!J94:J95)</f>
        <v>466274</v>
      </c>
      <c r="D49" s="291" t="s">
        <v>983</v>
      </c>
      <c r="E49" s="20">
        <f>SUM('SCH Database'!T94:T95)</f>
        <v>41072</v>
      </c>
    </row>
    <row r="50" spans="1:5" ht="12.75">
      <c r="A50" s="2"/>
      <c r="B50" s="2" t="s">
        <v>987</v>
      </c>
      <c r="C50" s="20"/>
      <c r="D50" s="291" t="s">
        <v>983</v>
      </c>
      <c r="E50" s="20"/>
    </row>
    <row r="51" spans="1:5" ht="12.75">
      <c r="A51" s="2"/>
      <c r="B51" s="2" t="s">
        <v>988</v>
      </c>
      <c r="C51" s="20"/>
      <c r="D51" s="291" t="s">
        <v>983</v>
      </c>
      <c r="E51" s="20"/>
    </row>
    <row r="52" spans="1:5" ht="12.75">
      <c r="A52" s="2"/>
      <c r="B52" s="2" t="s">
        <v>994</v>
      </c>
      <c r="C52" s="20">
        <f>SUM('SCH Database'!J99:J126)</f>
        <v>5420460</v>
      </c>
      <c r="D52" s="20">
        <f>SUM('SCH Database'!O99:O126)</f>
        <v>49945425</v>
      </c>
      <c r="E52" s="291" t="s">
        <v>983</v>
      </c>
    </row>
    <row r="53" spans="1:5" ht="12.75">
      <c r="A53" s="2"/>
      <c r="B53" s="2" t="s">
        <v>991</v>
      </c>
      <c r="C53" s="20">
        <v>0</v>
      </c>
      <c r="D53" s="20">
        <v>0</v>
      </c>
      <c r="E53" s="291" t="s">
        <v>983</v>
      </c>
    </row>
    <row r="54" spans="1:5" ht="12.75">
      <c r="A54" s="2"/>
      <c r="B54" s="2" t="s">
        <v>992</v>
      </c>
      <c r="C54" s="20">
        <v>0</v>
      </c>
      <c r="D54" s="291" t="s">
        <v>983</v>
      </c>
      <c r="E54" s="20"/>
    </row>
    <row r="55" spans="1:5" ht="12.75">
      <c r="A55" s="2"/>
      <c r="B55" s="2"/>
      <c r="C55" s="2"/>
      <c r="D55" s="2"/>
      <c r="E55" s="2"/>
    </row>
    <row r="56" spans="1:5" ht="12.75">
      <c r="A56" s="2"/>
      <c r="B56" s="2" t="s">
        <v>993</v>
      </c>
      <c r="C56" s="2">
        <f>SUM(C46:C54)</f>
        <v>9562482.3</v>
      </c>
      <c r="D56" s="2">
        <f>SUM(D46:D54)</f>
        <v>49945425</v>
      </c>
      <c r="E56" s="2">
        <f>SUM(E46:E54)</f>
        <v>639841</v>
      </c>
    </row>
    <row r="57" spans="1:5" ht="12.75">
      <c r="A57" s="2"/>
      <c r="B57" s="291" t="s">
        <v>977</v>
      </c>
      <c r="C57" s="291" t="s">
        <v>977</v>
      </c>
      <c r="D57" s="291" t="s">
        <v>977</v>
      </c>
      <c r="E57" s="291" t="s">
        <v>977</v>
      </c>
    </row>
    <row r="58" spans="1:5" ht="12.75">
      <c r="A58" s="2"/>
      <c r="B58" s="2" t="s">
        <v>875</v>
      </c>
      <c r="C58" s="123"/>
      <c r="D58" s="2"/>
      <c r="E58" s="2"/>
    </row>
    <row r="59" spans="1:5" ht="12.75">
      <c r="A59" s="20" t="s">
        <v>195</v>
      </c>
      <c r="B59" s="20"/>
      <c r="C59" s="2" t="s">
        <v>975</v>
      </c>
      <c r="D59" s="2"/>
      <c r="E59" s="2"/>
    </row>
    <row r="60" spans="1:5" ht="12.75">
      <c r="A60" s="2"/>
      <c r="B60" s="2" t="s">
        <v>875</v>
      </c>
      <c r="C60" s="2" t="s">
        <v>976</v>
      </c>
      <c r="D60" s="2"/>
      <c r="E60" s="2"/>
    </row>
    <row r="61" spans="1:5" ht="12.75">
      <c r="A61" s="2"/>
      <c r="B61" s="2"/>
      <c r="C61" s="291" t="s">
        <v>977</v>
      </c>
      <c r="D61" s="291" t="s">
        <v>977</v>
      </c>
      <c r="E61" s="291" t="s">
        <v>977</v>
      </c>
    </row>
    <row r="62" spans="1:5" ht="12.75">
      <c r="A62" s="2"/>
      <c r="B62" s="2"/>
      <c r="C62" s="2" t="s">
        <v>978</v>
      </c>
      <c r="D62" s="2"/>
      <c r="E62" s="2" t="s">
        <v>979</v>
      </c>
    </row>
    <row r="63" spans="1:5" ht="12.75">
      <c r="A63" s="2"/>
      <c r="B63" s="2" t="s">
        <v>875</v>
      </c>
      <c r="C63" s="122" t="s">
        <v>980</v>
      </c>
      <c r="D63" s="122" t="s">
        <v>981</v>
      </c>
      <c r="E63" s="122" t="s">
        <v>980</v>
      </c>
    </row>
    <row r="64" spans="1:5" ht="12.75">
      <c r="A64" s="2"/>
      <c r="B64" s="2"/>
      <c r="C64" s="2"/>
      <c r="D64" s="2"/>
      <c r="E64" s="2"/>
    </row>
    <row r="65" spans="1:5" ht="12.75">
      <c r="A65" s="2" t="s">
        <v>195</v>
      </c>
      <c r="B65" s="2" t="s">
        <v>982</v>
      </c>
      <c r="C65" s="20">
        <f>SUM('SCH Database'!J127:J128)</f>
        <v>1658527</v>
      </c>
      <c r="D65" s="291" t="s">
        <v>983</v>
      </c>
      <c r="E65" s="20">
        <f>SUM('SCH Database'!T127:T128)</f>
        <v>469103</v>
      </c>
    </row>
    <row r="66" spans="1:5" ht="12.75">
      <c r="A66" s="2"/>
      <c r="B66" s="2" t="s">
        <v>984</v>
      </c>
      <c r="C66" s="20">
        <f>'SCH Database'!J129</f>
        <v>452366</v>
      </c>
      <c r="D66" s="291" t="s">
        <v>983</v>
      </c>
      <c r="E66" s="20">
        <f>'SCH Database'!T129</f>
        <v>156150</v>
      </c>
    </row>
    <row r="67" spans="1:5" ht="12.75">
      <c r="A67" s="2"/>
      <c r="B67" s="2" t="s">
        <v>985</v>
      </c>
      <c r="C67" s="20">
        <f>'SCH Database'!J130</f>
        <v>579674</v>
      </c>
      <c r="D67" s="291" t="s">
        <v>983</v>
      </c>
      <c r="E67" s="20">
        <f>'SCH Database'!T130</f>
        <v>45471</v>
      </c>
    </row>
    <row r="68" spans="1:5" ht="12.75">
      <c r="A68" s="2"/>
      <c r="B68" s="2" t="s">
        <v>986</v>
      </c>
      <c r="C68" s="20">
        <f>SUM('SCH Database'!J131:J134)</f>
        <v>970111</v>
      </c>
      <c r="D68" s="291" t="s">
        <v>983</v>
      </c>
      <c r="E68" s="20">
        <f>SUM('SCH Database'!T131:T134)</f>
        <v>148219</v>
      </c>
    </row>
    <row r="69" spans="1:5" ht="12.75">
      <c r="A69" s="2"/>
      <c r="B69" s="2" t="s">
        <v>987</v>
      </c>
      <c r="C69" s="20">
        <f>SUM('SCH Database'!J135:J140)</f>
        <v>1161635</v>
      </c>
      <c r="D69" s="291" t="s">
        <v>983</v>
      </c>
      <c r="E69" s="20">
        <f>SUM('SCH Database'!T135:T140)</f>
        <v>102506</v>
      </c>
    </row>
    <row r="70" spans="1:5" ht="12.75">
      <c r="A70" s="2"/>
      <c r="B70" s="2" t="s">
        <v>988</v>
      </c>
      <c r="C70" s="20">
        <f>SUM('SCH Database'!J141:J143)</f>
        <v>491972</v>
      </c>
      <c r="D70" s="291" t="s">
        <v>983</v>
      </c>
      <c r="E70" s="20">
        <f>SUM('SCH Database'!T141:T143)</f>
        <v>11821</v>
      </c>
    </row>
    <row r="71" spans="1:5" ht="12.75">
      <c r="A71" s="2"/>
      <c r="B71" s="2" t="s">
        <v>994</v>
      </c>
      <c r="C71" s="20">
        <f>SUM('SCH Database'!J144:J158)</f>
        <v>1557280</v>
      </c>
      <c r="D71" s="20">
        <v>0</v>
      </c>
      <c r="E71" s="291" t="s">
        <v>983</v>
      </c>
    </row>
    <row r="72" spans="1:5" ht="12.75">
      <c r="A72" s="2"/>
      <c r="B72" s="2" t="s">
        <v>991</v>
      </c>
      <c r="C72" s="20">
        <f>SUM('SCH Database'!J161:J193)</f>
        <v>1598581.9000000001</v>
      </c>
      <c r="D72" s="20">
        <v>0</v>
      </c>
      <c r="E72" s="291" t="s">
        <v>983</v>
      </c>
    </row>
    <row r="73" spans="1:5" ht="12.75">
      <c r="A73" s="2"/>
      <c r="B73" s="2" t="s">
        <v>992</v>
      </c>
      <c r="C73" s="20">
        <f>SUM('SCH Database'!J159:J160)</f>
        <v>179105</v>
      </c>
      <c r="D73" s="291" t="s">
        <v>983</v>
      </c>
      <c r="E73" s="20">
        <f>SUM('SCH Database'!T159:T160)</f>
        <v>0</v>
      </c>
    </row>
    <row r="74" spans="1:5" ht="12.75">
      <c r="A74" s="2"/>
      <c r="B74" s="2"/>
      <c r="C74" s="20"/>
      <c r="D74" s="20"/>
      <c r="E74" s="20"/>
    </row>
    <row r="75" spans="1:5" ht="12.75">
      <c r="A75" s="2"/>
      <c r="B75" s="2" t="s">
        <v>993</v>
      </c>
      <c r="C75" s="2">
        <f>SUM(C65:C73)</f>
        <v>8649251.9</v>
      </c>
      <c r="D75" s="2">
        <f>SUM(D65:D73)</f>
        <v>0</v>
      </c>
      <c r="E75" s="2">
        <f>SUM(E65:E73)</f>
        <v>933270</v>
      </c>
    </row>
    <row r="76" spans="1:5" ht="12.75">
      <c r="A76" s="2"/>
      <c r="B76" s="291" t="s">
        <v>977</v>
      </c>
      <c r="C76" s="291" t="s">
        <v>977</v>
      </c>
      <c r="D76" s="291" t="s">
        <v>977</v>
      </c>
      <c r="E76" s="291" t="s">
        <v>977</v>
      </c>
    </row>
    <row r="77" spans="1:5" ht="12.75">
      <c r="A77" s="2"/>
      <c r="B77" s="2" t="s">
        <v>875</v>
      </c>
      <c r="C77" s="2"/>
      <c r="D77" s="2"/>
      <c r="E77" s="2"/>
    </row>
    <row r="78" spans="1:5" ht="12.75">
      <c r="A78" s="20" t="s">
        <v>305</v>
      </c>
      <c r="B78" s="20"/>
      <c r="C78" s="2" t="s">
        <v>975</v>
      </c>
      <c r="D78" s="2"/>
      <c r="E78" s="2"/>
    </row>
    <row r="79" spans="1:5" ht="12.75">
      <c r="A79" s="2"/>
      <c r="B79" s="2" t="s">
        <v>875</v>
      </c>
      <c r="C79" s="2" t="s">
        <v>976</v>
      </c>
      <c r="D79" s="2"/>
      <c r="E79" s="2"/>
    </row>
    <row r="80" spans="1:5" ht="12.75">
      <c r="A80" s="2"/>
      <c r="B80" s="2"/>
      <c r="C80" s="291" t="s">
        <v>977</v>
      </c>
      <c r="D80" s="291" t="s">
        <v>977</v>
      </c>
      <c r="E80" s="291" t="s">
        <v>977</v>
      </c>
    </row>
    <row r="81" spans="1:5" ht="12.75">
      <c r="A81" s="2"/>
      <c r="B81" s="2"/>
      <c r="C81" s="2" t="s">
        <v>978</v>
      </c>
      <c r="D81" s="2"/>
      <c r="E81" s="2" t="s">
        <v>979</v>
      </c>
    </row>
    <row r="82" spans="1:5" ht="12.75">
      <c r="A82" s="2"/>
      <c r="B82" s="2"/>
      <c r="C82" s="122" t="s">
        <v>980</v>
      </c>
      <c r="D82" s="122" t="s">
        <v>981</v>
      </c>
      <c r="E82" s="122" t="s">
        <v>980</v>
      </c>
    </row>
    <row r="83" spans="1:5" ht="12.75">
      <c r="A83" s="2"/>
      <c r="B83" s="2"/>
      <c r="C83" s="2"/>
      <c r="D83" s="2"/>
      <c r="E83" s="2"/>
    </row>
    <row r="84" spans="1:5" ht="12.75">
      <c r="A84" s="2" t="s">
        <v>305</v>
      </c>
      <c r="B84" s="2" t="s">
        <v>982</v>
      </c>
      <c r="C84" s="20">
        <f>'SCH Database'!J194</f>
        <v>458338</v>
      </c>
      <c r="D84" s="291" t="s">
        <v>983</v>
      </c>
      <c r="E84" s="20">
        <f>'SCH Database'!T194</f>
        <v>76868</v>
      </c>
    </row>
    <row r="85" spans="1:5" ht="12.75">
      <c r="A85" s="2"/>
      <c r="B85" s="2" t="s">
        <v>984</v>
      </c>
      <c r="C85" s="20">
        <f>'SCH Database'!J195</f>
        <v>336154</v>
      </c>
      <c r="D85" s="291" t="s">
        <v>983</v>
      </c>
      <c r="E85" s="20">
        <f>'SCH Database'!T195</f>
        <v>72601</v>
      </c>
    </row>
    <row r="86" spans="1:5" ht="12.75">
      <c r="A86" s="2"/>
      <c r="B86" s="2" t="s">
        <v>985</v>
      </c>
      <c r="C86" s="20">
        <f>SUM('SCH Database'!J196:J198)</f>
        <v>878787</v>
      </c>
      <c r="D86" s="291" t="s">
        <v>983</v>
      </c>
      <c r="E86" s="20">
        <f>SUM('SCH Database'!T196:T198)</f>
        <v>85645</v>
      </c>
    </row>
    <row r="87" spans="1:5" ht="12.75">
      <c r="A87" s="2"/>
      <c r="B87" s="2" t="s">
        <v>986</v>
      </c>
      <c r="C87" s="20">
        <f>'SCH Database'!J199</f>
        <v>189744</v>
      </c>
      <c r="D87" s="291" t="s">
        <v>983</v>
      </c>
      <c r="E87" s="20">
        <f>'SCH Database'!T199</f>
        <v>22284</v>
      </c>
    </row>
    <row r="88" spans="1:5" ht="12.75">
      <c r="A88" s="2"/>
      <c r="B88" s="2" t="s">
        <v>987</v>
      </c>
      <c r="C88" s="20">
        <f>'SCH Database'!J200</f>
        <v>240679</v>
      </c>
      <c r="D88" s="291" t="s">
        <v>983</v>
      </c>
      <c r="E88" s="20">
        <f>'SCH Database'!T200</f>
        <v>19832</v>
      </c>
    </row>
    <row r="89" spans="1:5" ht="12.75">
      <c r="A89" s="2"/>
      <c r="B89" s="2" t="s">
        <v>988</v>
      </c>
      <c r="C89" s="20">
        <f>'SCH Database'!J201</f>
        <v>61958</v>
      </c>
      <c r="D89" s="291" t="s">
        <v>983</v>
      </c>
      <c r="E89" s="20">
        <f>'SCH Database'!T201</f>
        <v>1239</v>
      </c>
    </row>
    <row r="90" spans="1:5" ht="12.75">
      <c r="A90" s="2"/>
      <c r="B90" s="2" t="s">
        <v>994</v>
      </c>
      <c r="C90" s="20">
        <f>'SCH Database'!J202</f>
        <v>834591</v>
      </c>
      <c r="D90" s="20">
        <v>0</v>
      </c>
      <c r="E90" s="291" t="s">
        <v>983</v>
      </c>
    </row>
    <row r="91" spans="1:5" ht="12.75">
      <c r="A91" s="2"/>
      <c r="B91" s="2" t="s">
        <v>991</v>
      </c>
      <c r="C91" s="193"/>
      <c r="D91" s="193"/>
      <c r="E91" s="291" t="s">
        <v>983</v>
      </c>
    </row>
    <row r="92" spans="1:5" ht="12.75">
      <c r="A92" s="2"/>
      <c r="B92" s="2" t="s">
        <v>992</v>
      </c>
      <c r="C92" s="20"/>
      <c r="D92" s="291" t="s">
        <v>983</v>
      </c>
      <c r="E92" s="20"/>
    </row>
    <row r="93" spans="1:5" ht="12.75">
      <c r="A93" s="2"/>
      <c r="B93" s="2"/>
      <c r="C93" s="20"/>
      <c r="D93" s="2"/>
      <c r="E93" s="20"/>
    </row>
    <row r="94" spans="1:5" ht="12.75">
      <c r="A94" s="2"/>
      <c r="B94" s="2" t="s">
        <v>993</v>
      </c>
      <c r="C94" s="2">
        <f>SUM(C84:C90)</f>
        <v>3000251</v>
      </c>
      <c r="D94" s="2"/>
      <c r="E94" s="2"/>
    </row>
    <row r="95" spans="1:5" ht="12.75">
      <c r="A95" s="2"/>
      <c r="B95" s="291" t="s">
        <v>977</v>
      </c>
      <c r="C95" s="291" t="s">
        <v>977</v>
      </c>
      <c r="D95" s="291" t="s">
        <v>977</v>
      </c>
      <c r="E95" s="291" t="s">
        <v>977</v>
      </c>
    </row>
    <row r="96" spans="1:5" ht="12.75">
      <c r="A96" s="2"/>
      <c r="B96" s="2" t="s">
        <v>875</v>
      </c>
      <c r="C96" s="2"/>
      <c r="D96" s="2"/>
      <c r="E96" s="2"/>
    </row>
    <row r="97" spans="1:5" ht="12.75">
      <c r="A97" s="20" t="s">
        <v>315</v>
      </c>
      <c r="B97" s="20"/>
      <c r="C97" s="2" t="s">
        <v>975</v>
      </c>
      <c r="D97" s="2"/>
      <c r="E97" s="2"/>
    </row>
    <row r="98" spans="1:5" ht="12.75">
      <c r="A98" s="2"/>
      <c r="B98" s="2" t="s">
        <v>875</v>
      </c>
      <c r="C98" s="2" t="s">
        <v>976</v>
      </c>
      <c r="D98" s="2"/>
      <c r="E98" s="2"/>
    </row>
    <row r="99" spans="1:5" ht="12.75">
      <c r="A99" s="2"/>
      <c r="B99" s="2"/>
      <c r="C99" s="291" t="s">
        <v>977</v>
      </c>
      <c r="D99" s="291" t="s">
        <v>977</v>
      </c>
      <c r="E99" s="291" t="s">
        <v>977</v>
      </c>
    </row>
    <row r="100" spans="1:5" ht="12.75">
      <c r="A100" s="2" t="s">
        <v>315</v>
      </c>
      <c r="B100" s="2"/>
      <c r="C100" s="2" t="s">
        <v>978</v>
      </c>
      <c r="D100" s="2"/>
      <c r="E100" s="2" t="s">
        <v>979</v>
      </c>
    </row>
    <row r="101" spans="1:5" ht="12.75">
      <c r="A101" s="2"/>
      <c r="B101" s="2"/>
      <c r="C101" s="122" t="s">
        <v>980</v>
      </c>
      <c r="D101" s="122" t="s">
        <v>981</v>
      </c>
      <c r="E101" s="122" t="s">
        <v>980</v>
      </c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 t="s">
        <v>982</v>
      </c>
      <c r="C103" s="194">
        <f>'SCH Database'!J203</f>
        <v>601862</v>
      </c>
      <c r="D103" s="292" t="s">
        <v>983</v>
      </c>
      <c r="E103" s="194">
        <f>'SCH Database'!T203</f>
        <v>100233</v>
      </c>
    </row>
    <row r="104" spans="1:5" ht="12.75">
      <c r="A104" s="2"/>
      <c r="B104" s="2" t="s">
        <v>984</v>
      </c>
      <c r="C104" s="194">
        <f>SUM('SCH Database'!J204:J205)</f>
        <v>690141</v>
      </c>
      <c r="D104" s="292" t="s">
        <v>983</v>
      </c>
      <c r="E104" s="194">
        <f>SUM('SCH Database'!T204:T205)</f>
        <v>86120</v>
      </c>
    </row>
    <row r="105" spans="1:5" ht="12.75">
      <c r="A105" s="2"/>
      <c r="B105" s="2" t="s">
        <v>985</v>
      </c>
      <c r="C105" s="194">
        <f>SUM('SCH Database'!J206:J209)</f>
        <v>1013414</v>
      </c>
      <c r="D105" s="292" t="s">
        <v>983</v>
      </c>
      <c r="E105" s="194">
        <f>SUM('SCH Database'!T206:T209)</f>
        <v>87962</v>
      </c>
    </row>
    <row r="106" spans="1:5" ht="12.75">
      <c r="A106" s="2"/>
      <c r="B106" s="2" t="s">
        <v>986</v>
      </c>
      <c r="C106" s="194">
        <f>SUM('SCH Database'!J210:J212)</f>
        <v>802278</v>
      </c>
      <c r="D106" s="292" t="s">
        <v>983</v>
      </c>
      <c r="E106" s="194">
        <f>SUM('SCH Database'!T210:T212)</f>
        <v>50206</v>
      </c>
    </row>
    <row r="107" spans="1:5" ht="12.75">
      <c r="A107" s="2"/>
      <c r="B107" s="2" t="s">
        <v>987</v>
      </c>
      <c r="C107" s="194">
        <f>SUM('SCH Database'!J213:J215)</f>
        <v>369073</v>
      </c>
      <c r="D107" s="292" t="s">
        <v>983</v>
      </c>
      <c r="E107" s="194">
        <f>SUM('SCH Database'!T213:T215)</f>
        <v>28095</v>
      </c>
    </row>
    <row r="108" spans="1:5" ht="12.75">
      <c r="A108" s="2"/>
      <c r="B108" s="2" t="s">
        <v>988</v>
      </c>
      <c r="C108" s="194"/>
      <c r="D108" s="292" t="s">
        <v>983</v>
      </c>
      <c r="E108" s="194"/>
    </row>
    <row r="109" spans="1:5" ht="12.75">
      <c r="A109" s="2"/>
      <c r="B109" s="2" t="s">
        <v>994</v>
      </c>
      <c r="C109" s="194">
        <f>SUM('SCH Database'!J216:J221)</f>
        <v>466636</v>
      </c>
      <c r="D109" s="194">
        <v>0</v>
      </c>
      <c r="E109" s="292" t="s">
        <v>983</v>
      </c>
    </row>
    <row r="110" spans="1:5" ht="12.75">
      <c r="A110" s="2"/>
      <c r="B110" s="2" t="s">
        <v>991</v>
      </c>
      <c r="C110" s="194">
        <f>SUM('SCH Database'!J224:J268)</f>
        <v>0</v>
      </c>
      <c r="D110" s="194">
        <f>SUM('SCH Database'!O224:O268)</f>
        <v>12330321</v>
      </c>
      <c r="E110" s="292" t="s">
        <v>983</v>
      </c>
    </row>
    <row r="111" spans="1:5" ht="12.75">
      <c r="A111" s="2"/>
      <c r="B111" s="2" t="s">
        <v>992</v>
      </c>
      <c r="C111" s="194"/>
      <c r="D111" s="292" t="s">
        <v>983</v>
      </c>
      <c r="E111" s="194">
        <f>'SCH Database'!T222</f>
        <v>19825</v>
      </c>
    </row>
    <row r="112" spans="1:5" ht="12.75">
      <c r="A112" s="2"/>
      <c r="B112" s="2"/>
      <c r="C112" s="20"/>
      <c r="D112" s="2"/>
      <c r="E112" s="20"/>
    </row>
    <row r="113" spans="1:5" ht="12.75">
      <c r="A113" s="2"/>
      <c r="B113" s="2" t="s">
        <v>993</v>
      </c>
      <c r="C113" s="2">
        <f>SUM(C103:C111)</f>
        <v>3943404</v>
      </c>
      <c r="D113" s="2">
        <f>SUM(D103:D111)</f>
        <v>12330321</v>
      </c>
      <c r="E113" s="2">
        <f>SUM(E103:E111)</f>
        <v>372441</v>
      </c>
    </row>
    <row r="114" spans="1:5" ht="12.75">
      <c r="A114" s="2"/>
      <c r="B114" s="291" t="s">
        <v>977</v>
      </c>
      <c r="C114" s="291" t="s">
        <v>977</v>
      </c>
      <c r="D114" s="291" t="s">
        <v>977</v>
      </c>
      <c r="E114" s="291" t="s">
        <v>977</v>
      </c>
    </row>
    <row r="115" spans="1:5" ht="12.75">
      <c r="A115" s="2"/>
      <c r="B115" s="2" t="s">
        <v>875</v>
      </c>
      <c r="C115" s="2"/>
      <c r="D115" s="2"/>
      <c r="E115" s="2"/>
    </row>
    <row r="116" spans="1:5" ht="12.75">
      <c r="A116" s="20" t="s">
        <v>402</v>
      </c>
      <c r="B116" s="20"/>
      <c r="C116" s="2" t="s">
        <v>975</v>
      </c>
      <c r="D116" s="2"/>
      <c r="E116" s="2"/>
    </row>
    <row r="117" spans="1:5" ht="12.75">
      <c r="A117" s="2"/>
      <c r="B117" s="2" t="s">
        <v>875</v>
      </c>
      <c r="C117" s="2" t="s">
        <v>976</v>
      </c>
      <c r="D117" s="2"/>
      <c r="E117" s="2"/>
    </row>
    <row r="118" spans="1:5" ht="12.75">
      <c r="A118" s="2"/>
      <c r="B118" s="2"/>
      <c r="C118" s="291" t="s">
        <v>977</v>
      </c>
      <c r="D118" s="291" t="s">
        <v>977</v>
      </c>
      <c r="E118" s="291" t="s">
        <v>977</v>
      </c>
    </row>
    <row r="119" spans="1:5" ht="12.75">
      <c r="A119" s="2" t="s">
        <v>402</v>
      </c>
      <c r="B119" s="2"/>
      <c r="C119" s="2" t="s">
        <v>978</v>
      </c>
      <c r="D119" s="2"/>
      <c r="E119" s="2" t="s">
        <v>979</v>
      </c>
    </row>
    <row r="120" spans="1:5" ht="12.75">
      <c r="A120" s="2"/>
      <c r="B120" s="2"/>
      <c r="C120" s="122" t="s">
        <v>980</v>
      </c>
      <c r="D120" s="122" t="s">
        <v>981</v>
      </c>
      <c r="E120" s="122" t="s">
        <v>980</v>
      </c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 t="s">
        <v>982</v>
      </c>
      <c r="C122" s="20">
        <f>'SCH Database'!J269</f>
        <v>687080</v>
      </c>
      <c r="D122" s="291" t="s">
        <v>983</v>
      </c>
      <c r="E122" s="20">
        <f>'SCH Database'!T269</f>
        <v>94165</v>
      </c>
    </row>
    <row r="123" spans="1:5" ht="12.75">
      <c r="A123" s="2"/>
      <c r="B123" s="2" t="s">
        <v>984</v>
      </c>
      <c r="C123" s="20">
        <f>'SCH Database'!J270</f>
        <v>223536</v>
      </c>
      <c r="D123" s="291" t="s">
        <v>983</v>
      </c>
      <c r="E123" s="20">
        <f>'SCH Database'!T270</f>
        <v>16561</v>
      </c>
    </row>
    <row r="124" spans="1:5" ht="12.75">
      <c r="A124" s="2"/>
      <c r="B124" s="2" t="s">
        <v>985</v>
      </c>
      <c r="C124" s="20">
        <v>0</v>
      </c>
      <c r="D124" s="291" t="s">
        <v>983</v>
      </c>
      <c r="E124" s="20">
        <v>0</v>
      </c>
    </row>
    <row r="125" spans="1:5" ht="12.75">
      <c r="A125" s="2"/>
      <c r="B125" s="2" t="s">
        <v>986</v>
      </c>
      <c r="C125" s="20">
        <f>SUM('SCH Database'!J271:J276)</f>
        <v>869215</v>
      </c>
      <c r="D125" s="291" t="s">
        <v>983</v>
      </c>
      <c r="E125" s="20">
        <f>SUM('SCH Database'!T271:T276)</f>
        <v>117216</v>
      </c>
    </row>
    <row r="126" spans="1:5" ht="12.75">
      <c r="A126" s="2"/>
      <c r="B126" s="2" t="s">
        <v>987</v>
      </c>
      <c r="C126" s="20">
        <f>SUM('SCH Database'!J277:J278)</f>
        <v>154081</v>
      </c>
      <c r="D126" s="291" t="s">
        <v>983</v>
      </c>
      <c r="E126" s="20">
        <f>SUM('SCH Database'!T277:T278)</f>
        <v>13498</v>
      </c>
    </row>
    <row r="127" spans="1:5" ht="12.75">
      <c r="A127" s="2"/>
      <c r="B127" s="2" t="s">
        <v>988</v>
      </c>
      <c r="C127" s="20">
        <f>'SCH Database'!J279</f>
        <v>48773</v>
      </c>
      <c r="D127" s="291" t="s">
        <v>983</v>
      </c>
      <c r="E127" s="20">
        <v>0</v>
      </c>
    </row>
    <row r="128" spans="1:5" ht="12.75">
      <c r="A128" s="2"/>
      <c r="B128" s="2" t="s">
        <v>994</v>
      </c>
      <c r="C128" s="20">
        <f>SUM('SCH Database'!J280:J297)</f>
        <v>1851863.5</v>
      </c>
      <c r="D128" s="20">
        <v>0</v>
      </c>
      <c r="E128" s="291" t="s">
        <v>983</v>
      </c>
    </row>
    <row r="129" spans="1:5" ht="12.75">
      <c r="A129" s="2"/>
      <c r="B129" s="2" t="s">
        <v>991</v>
      </c>
      <c r="C129" s="20">
        <v>0</v>
      </c>
      <c r="D129" s="20">
        <v>0</v>
      </c>
      <c r="E129" s="291" t="s">
        <v>983</v>
      </c>
    </row>
    <row r="130" spans="1:5" ht="12.75">
      <c r="A130" s="2"/>
      <c r="B130" s="2" t="s">
        <v>992</v>
      </c>
      <c r="C130" s="20">
        <f>'SCH Database'!J299</f>
        <v>148948</v>
      </c>
      <c r="D130" s="291" t="s">
        <v>983</v>
      </c>
      <c r="E130" s="20">
        <f>'SCH Database'!T299</f>
        <v>34199</v>
      </c>
    </row>
    <row r="131" spans="1:5" ht="12.75">
      <c r="A131" s="2"/>
      <c r="B131" s="2"/>
      <c r="C131" s="20"/>
      <c r="D131" s="2"/>
      <c r="E131" s="20"/>
    </row>
    <row r="132" spans="1:5" ht="12.75">
      <c r="A132" s="2"/>
      <c r="B132" s="2" t="s">
        <v>993</v>
      </c>
      <c r="C132" s="2">
        <f>SUM(C122:C130)</f>
        <v>3983496.5</v>
      </c>
      <c r="D132" s="2">
        <f>SUM(D122:D130)</f>
        <v>0</v>
      </c>
      <c r="E132" s="2">
        <f>SUM(E122:E130)</f>
        <v>275639</v>
      </c>
    </row>
    <row r="133" spans="1:5" ht="12.75">
      <c r="A133" s="2"/>
      <c r="B133" s="291" t="s">
        <v>977</v>
      </c>
      <c r="C133" s="291" t="s">
        <v>977</v>
      </c>
      <c r="D133" s="291" t="s">
        <v>977</v>
      </c>
      <c r="E133" s="291" t="s">
        <v>977</v>
      </c>
    </row>
    <row r="134" spans="1:5" ht="12.75">
      <c r="A134" s="2"/>
      <c r="B134" s="2" t="s">
        <v>875</v>
      </c>
      <c r="C134" s="2"/>
      <c r="D134" s="2"/>
      <c r="E134" s="2"/>
    </row>
    <row r="135" spans="1:5" ht="12.75">
      <c r="A135" s="20" t="s">
        <v>435</v>
      </c>
      <c r="B135" s="20"/>
      <c r="C135" s="2" t="s">
        <v>975</v>
      </c>
      <c r="D135" s="2"/>
      <c r="E135" s="2"/>
    </row>
    <row r="136" spans="1:5" ht="12.75">
      <c r="A136" s="2"/>
      <c r="B136" s="2" t="s">
        <v>875</v>
      </c>
      <c r="C136" s="2" t="s">
        <v>976</v>
      </c>
      <c r="D136" s="2"/>
      <c r="E136" s="2"/>
    </row>
    <row r="137" spans="1:5" ht="12.75">
      <c r="A137" s="2"/>
      <c r="B137" s="2"/>
      <c r="C137" s="291" t="s">
        <v>977</v>
      </c>
      <c r="D137" s="291" t="s">
        <v>977</v>
      </c>
      <c r="E137" s="291" t="s">
        <v>977</v>
      </c>
    </row>
    <row r="138" spans="1:5" ht="12.75">
      <c r="A138" s="2" t="s">
        <v>435</v>
      </c>
      <c r="B138" s="2"/>
      <c r="C138" s="2" t="s">
        <v>978</v>
      </c>
      <c r="D138" s="2"/>
      <c r="E138" s="2" t="s">
        <v>979</v>
      </c>
    </row>
    <row r="139" spans="1:5" ht="12.75">
      <c r="A139" s="2"/>
      <c r="B139" s="2"/>
      <c r="C139" s="122" t="s">
        <v>980</v>
      </c>
      <c r="D139" s="122" t="s">
        <v>981</v>
      </c>
      <c r="E139" s="122" t="s">
        <v>980</v>
      </c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 t="s">
        <v>982</v>
      </c>
      <c r="C141" s="20">
        <f>SUM('SCH Database'!J300)</f>
        <v>340778</v>
      </c>
      <c r="D141" s="291" t="s">
        <v>983</v>
      </c>
      <c r="E141" s="20">
        <f>SUM('SCH Database'!T300)</f>
        <v>49970</v>
      </c>
    </row>
    <row r="142" spans="1:5" ht="12.75">
      <c r="A142" s="2"/>
      <c r="B142" s="2" t="s">
        <v>984</v>
      </c>
      <c r="C142" s="20">
        <f>SUM('SCH Database'!J301:J302)</f>
        <v>580553</v>
      </c>
      <c r="D142" s="291" t="s">
        <v>983</v>
      </c>
      <c r="E142" s="20">
        <f>SUM('SCH Database'!T301:T302)</f>
        <v>120821</v>
      </c>
    </row>
    <row r="143" spans="1:5" ht="12.75">
      <c r="A143" s="2"/>
      <c r="B143" s="2" t="s">
        <v>985</v>
      </c>
      <c r="C143" s="20">
        <f>SUM('SCH Database'!J303)</f>
        <v>156979</v>
      </c>
      <c r="D143" s="291" t="s">
        <v>983</v>
      </c>
      <c r="E143" s="20">
        <f>SUM('SCH Database'!T303)</f>
        <v>16432</v>
      </c>
    </row>
    <row r="144" spans="1:5" ht="12.75">
      <c r="A144" s="2"/>
      <c r="B144" s="2" t="s">
        <v>986</v>
      </c>
      <c r="C144" s="20">
        <v>0</v>
      </c>
      <c r="D144" s="291" t="s">
        <v>983</v>
      </c>
      <c r="E144" s="20">
        <v>0</v>
      </c>
    </row>
    <row r="145" spans="1:5" ht="12.75">
      <c r="A145" s="2"/>
      <c r="B145" s="2" t="s">
        <v>987</v>
      </c>
      <c r="C145" s="20">
        <f>SUM('SCH Database'!J304:J305)</f>
        <v>188275</v>
      </c>
      <c r="D145" s="291" t="s">
        <v>983</v>
      </c>
      <c r="E145" s="20">
        <f>SUM('SCH Database'!T304:T305)</f>
        <v>16119</v>
      </c>
    </row>
    <row r="146" spans="1:5" ht="12.75">
      <c r="A146" s="2"/>
      <c r="B146" s="2" t="s">
        <v>988</v>
      </c>
      <c r="C146" s="20">
        <f>SUM('SCH Database'!J306:J307)</f>
        <v>138817</v>
      </c>
      <c r="D146" s="291" t="s">
        <v>983</v>
      </c>
      <c r="E146" s="20">
        <f>SUM('SCH Database'!T306:T307)</f>
        <v>4262</v>
      </c>
    </row>
    <row r="147" spans="1:5" ht="12.75">
      <c r="A147" s="2"/>
      <c r="B147" s="2" t="s">
        <v>994</v>
      </c>
      <c r="C147" s="20">
        <f>SUM('SCH Database'!J309:J323)</f>
        <v>612792</v>
      </c>
      <c r="D147" s="20">
        <v>0</v>
      </c>
      <c r="E147" s="291" t="s">
        <v>983</v>
      </c>
    </row>
    <row r="148" spans="1:5" ht="12.75">
      <c r="A148" s="2"/>
      <c r="B148" s="2" t="s">
        <v>991</v>
      </c>
      <c r="C148" s="20">
        <v>0</v>
      </c>
      <c r="D148" s="20">
        <v>0</v>
      </c>
      <c r="E148" s="291" t="s">
        <v>983</v>
      </c>
    </row>
    <row r="149" spans="1:5" ht="12.75">
      <c r="A149" s="2"/>
      <c r="B149" s="2" t="s">
        <v>992</v>
      </c>
      <c r="C149" s="20">
        <f>SUM('SCH Database'!J308)</f>
        <v>20749</v>
      </c>
      <c r="D149" s="291" t="s">
        <v>983</v>
      </c>
      <c r="E149" s="20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 t="s">
        <v>993</v>
      </c>
      <c r="C151" s="2">
        <f>SUM(C141:C149)</f>
        <v>2038943</v>
      </c>
      <c r="D151" s="2">
        <f>SUM(D141:D149)</f>
        <v>0</v>
      </c>
      <c r="E151" s="2">
        <f>SUM(E141:E149)</f>
        <v>207604</v>
      </c>
    </row>
    <row r="152" spans="1:5" ht="12.75">
      <c r="A152" s="2"/>
      <c r="B152" s="291" t="s">
        <v>977</v>
      </c>
      <c r="C152" s="291" t="s">
        <v>977</v>
      </c>
      <c r="D152" s="291" t="s">
        <v>977</v>
      </c>
      <c r="E152" s="291" t="s">
        <v>977</v>
      </c>
    </row>
    <row r="153" spans="1:5" ht="12.75">
      <c r="A153" s="2"/>
      <c r="B153" s="2" t="s">
        <v>875</v>
      </c>
      <c r="C153" s="20"/>
      <c r="D153" s="2"/>
      <c r="E153" s="20"/>
    </row>
    <row r="154" spans="1:5" ht="12.75">
      <c r="A154" s="20" t="s">
        <v>461</v>
      </c>
      <c r="B154" s="20"/>
      <c r="C154" s="2" t="s">
        <v>975</v>
      </c>
      <c r="D154" s="2"/>
      <c r="E154" s="2"/>
    </row>
    <row r="155" spans="1:5" ht="12.75">
      <c r="A155" s="2"/>
      <c r="B155" s="2" t="s">
        <v>875</v>
      </c>
      <c r="C155" s="2" t="s">
        <v>976</v>
      </c>
      <c r="D155" s="2"/>
      <c r="E155" s="2"/>
    </row>
    <row r="156" spans="1:5" ht="12.75">
      <c r="A156" s="2"/>
      <c r="B156" s="2"/>
      <c r="C156" s="291" t="s">
        <v>977</v>
      </c>
      <c r="D156" s="291" t="s">
        <v>977</v>
      </c>
      <c r="E156" s="291" t="s">
        <v>977</v>
      </c>
    </row>
    <row r="157" spans="1:5" ht="12.75">
      <c r="A157" s="2" t="s">
        <v>461</v>
      </c>
      <c r="B157" s="2"/>
      <c r="C157" s="2" t="s">
        <v>978</v>
      </c>
      <c r="D157" s="2"/>
      <c r="E157" s="2" t="s">
        <v>979</v>
      </c>
    </row>
    <row r="158" spans="1:5" ht="12.75">
      <c r="A158" s="2"/>
      <c r="B158" s="2"/>
      <c r="C158" s="122" t="s">
        <v>980</v>
      </c>
      <c r="D158" s="122" t="s">
        <v>981</v>
      </c>
      <c r="E158" s="122" t="s">
        <v>980</v>
      </c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 t="s">
        <v>982</v>
      </c>
      <c r="C160" s="20">
        <f>SUM('SCH Database'!J324:J325)</f>
        <v>1029972</v>
      </c>
      <c r="D160" s="291" t="s">
        <v>983</v>
      </c>
      <c r="E160" s="20">
        <f>SUM('SCH Database'!T324:T325)</f>
        <v>168015</v>
      </c>
    </row>
    <row r="161" spans="1:5" ht="12.75">
      <c r="A161" s="2"/>
      <c r="B161" s="2" t="s">
        <v>984</v>
      </c>
      <c r="C161" s="20">
        <f>'SCH Database'!J326</f>
        <v>267978</v>
      </c>
      <c r="D161" s="291" t="s">
        <v>983</v>
      </c>
      <c r="E161" s="20">
        <f>'SCH Database'!T326</f>
        <v>49014</v>
      </c>
    </row>
    <row r="162" spans="1:5" ht="12.75">
      <c r="A162" s="2"/>
      <c r="B162" s="2" t="s">
        <v>985</v>
      </c>
      <c r="C162" s="20">
        <f>SUM('SCH Database'!J327:J332)</f>
        <v>1596229</v>
      </c>
      <c r="D162" s="291" t="s">
        <v>983</v>
      </c>
      <c r="E162" s="20">
        <f>SUM('SCH Database'!T327:T332)</f>
        <v>164667</v>
      </c>
    </row>
    <row r="163" spans="1:5" ht="12.75">
      <c r="A163" s="2"/>
      <c r="B163" s="2" t="s">
        <v>986</v>
      </c>
      <c r="C163" s="20">
        <f>SUM('SCH Database'!J333:J334)</f>
        <v>346091</v>
      </c>
      <c r="D163" s="291" t="s">
        <v>983</v>
      </c>
      <c r="E163" s="20">
        <f>SUM('SCH Database'!T333:T334)</f>
        <v>16756</v>
      </c>
    </row>
    <row r="164" spans="1:5" ht="12.75">
      <c r="A164" s="2"/>
      <c r="B164" s="2" t="s">
        <v>987</v>
      </c>
      <c r="C164" s="20">
        <f>SUM('SCH Database'!J335)</f>
        <v>74116</v>
      </c>
      <c r="D164" s="291" t="s">
        <v>983</v>
      </c>
      <c r="E164" s="20">
        <f>'SCH Database'!T335</f>
        <v>3921</v>
      </c>
    </row>
    <row r="165" spans="1:5" ht="12.75">
      <c r="A165" s="2"/>
      <c r="B165" s="2" t="s">
        <v>988</v>
      </c>
      <c r="C165" s="20">
        <f>SUM('SCH Database'!J336:J338)</f>
        <v>213887</v>
      </c>
      <c r="D165" s="291" t="s">
        <v>983</v>
      </c>
      <c r="E165" s="20">
        <f>'SCH Database'!T337</f>
        <v>508</v>
      </c>
    </row>
    <row r="166" spans="1:5" ht="12.75">
      <c r="A166" s="2"/>
      <c r="B166" s="2" t="s">
        <v>994</v>
      </c>
      <c r="C166" s="20">
        <f>SUM('SCH Database'!J340:J397)</f>
        <v>4531948</v>
      </c>
      <c r="D166" s="2">
        <v>0</v>
      </c>
      <c r="E166" s="291" t="s">
        <v>983</v>
      </c>
    </row>
    <row r="167" spans="1:5" ht="12.75">
      <c r="A167" s="2"/>
      <c r="B167" s="2" t="s">
        <v>991</v>
      </c>
      <c r="C167" s="20">
        <v>0</v>
      </c>
      <c r="D167" s="20">
        <v>0</v>
      </c>
      <c r="E167" s="291" t="s">
        <v>983</v>
      </c>
    </row>
    <row r="168" spans="1:5" ht="12.75">
      <c r="A168" s="2"/>
      <c r="B168" s="2" t="s">
        <v>992</v>
      </c>
      <c r="C168" s="20">
        <f>'SCH Database'!J339</f>
        <v>35489</v>
      </c>
      <c r="D168" s="291" t="s">
        <v>983</v>
      </c>
      <c r="E168" s="20">
        <f>'SCH Database'!T339</f>
        <v>1175</v>
      </c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 t="s">
        <v>993</v>
      </c>
      <c r="C170" s="2">
        <f>SUM(C160:C168)</f>
        <v>8095710</v>
      </c>
      <c r="D170" s="2">
        <f>SUM(D160:D168)</f>
        <v>0</v>
      </c>
      <c r="E170" s="2">
        <f>SUM(E160:E168)</f>
        <v>404056</v>
      </c>
    </row>
    <row r="171" spans="1:5" ht="12.75">
      <c r="A171" s="2"/>
      <c r="B171" s="291" t="s">
        <v>977</v>
      </c>
      <c r="C171" s="291" t="s">
        <v>977</v>
      </c>
      <c r="D171" s="291" t="s">
        <v>977</v>
      </c>
      <c r="E171" s="291" t="s">
        <v>977</v>
      </c>
    </row>
    <row r="172" spans="1:5" ht="12.75">
      <c r="A172" s="2"/>
      <c r="B172" s="2"/>
      <c r="C172" s="2"/>
      <c r="D172" s="2"/>
      <c r="E172" s="2"/>
    </row>
    <row r="173" spans="1:5" ht="12.75">
      <c r="A173" s="20" t="s">
        <v>552</v>
      </c>
      <c r="B173" s="20"/>
      <c r="C173" s="2" t="s">
        <v>975</v>
      </c>
      <c r="D173" s="2"/>
      <c r="E173" s="2"/>
    </row>
    <row r="174" spans="1:5" ht="12.75">
      <c r="A174" s="2"/>
      <c r="B174" s="2" t="s">
        <v>875</v>
      </c>
      <c r="C174" s="2" t="s">
        <v>976</v>
      </c>
      <c r="D174" s="2"/>
      <c r="E174" s="2"/>
    </row>
    <row r="175" spans="1:5" ht="12.75">
      <c r="A175" s="2"/>
      <c r="B175" s="2"/>
      <c r="C175" s="291" t="s">
        <v>977</v>
      </c>
      <c r="D175" s="291" t="s">
        <v>977</v>
      </c>
      <c r="E175" s="291" t="s">
        <v>977</v>
      </c>
    </row>
    <row r="176" spans="1:5" ht="12.75">
      <c r="A176" s="2" t="s">
        <v>552</v>
      </c>
      <c r="B176" s="2"/>
      <c r="C176" s="2" t="s">
        <v>978</v>
      </c>
      <c r="D176" s="2"/>
      <c r="E176" s="2" t="s">
        <v>979</v>
      </c>
    </row>
    <row r="177" spans="1:5" ht="12.75">
      <c r="A177" s="2"/>
      <c r="B177" s="2"/>
      <c r="C177" s="122" t="s">
        <v>980</v>
      </c>
      <c r="D177" s="122" t="s">
        <v>981</v>
      </c>
      <c r="E177" s="122" t="s">
        <v>980</v>
      </c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 t="s">
        <v>982</v>
      </c>
      <c r="C179" s="20">
        <f>SUM('SCH Database'!J398:J399)</f>
        <v>818645</v>
      </c>
      <c r="D179" s="291" t="s">
        <v>983</v>
      </c>
      <c r="E179" s="20">
        <f>SUM('SCH Database'!T398:T399)</f>
        <v>158668</v>
      </c>
    </row>
    <row r="180" spans="1:5" ht="12.75">
      <c r="A180" s="2"/>
      <c r="B180" s="2" t="s">
        <v>984</v>
      </c>
      <c r="C180" s="20">
        <v>0</v>
      </c>
      <c r="D180" s="291" t="s">
        <v>983</v>
      </c>
      <c r="E180" s="20">
        <v>0</v>
      </c>
    </row>
    <row r="181" spans="1:5" ht="12.75">
      <c r="A181" s="2"/>
      <c r="B181" s="2" t="s">
        <v>985</v>
      </c>
      <c r="C181" s="20">
        <f>SUM('SCH Database'!J400)</f>
        <v>281347</v>
      </c>
      <c r="D181" s="291" t="s">
        <v>983</v>
      </c>
      <c r="E181" s="20">
        <f>SUM('SCH Database'!T400)</f>
        <v>48959</v>
      </c>
    </row>
    <row r="182" spans="1:5" ht="12.75">
      <c r="A182" s="2"/>
      <c r="B182" s="2" t="s">
        <v>986</v>
      </c>
      <c r="C182" s="20">
        <f>SUM('SCH Database'!J401:J402)</f>
        <v>299973</v>
      </c>
      <c r="D182" s="291" t="s">
        <v>983</v>
      </c>
      <c r="E182" s="20">
        <f>SUM('SCH Database'!T401:T402)</f>
        <v>25383</v>
      </c>
    </row>
    <row r="183" spans="1:5" ht="12.75">
      <c r="A183" s="2"/>
      <c r="B183" s="2" t="s">
        <v>987</v>
      </c>
      <c r="C183" s="20">
        <f>SUM('SCH Database'!J403:J406)</f>
        <v>351090</v>
      </c>
      <c r="D183" s="291" t="s">
        <v>983</v>
      </c>
      <c r="E183" s="20">
        <f>SUM('SCH Database'!T403:T406)</f>
        <v>29032</v>
      </c>
    </row>
    <row r="184" spans="1:5" ht="12.75">
      <c r="A184" s="2"/>
      <c r="B184" s="2" t="s">
        <v>988</v>
      </c>
      <c r="C184" s="20">
        <f>SUM('SCH Database'!J407:J409)</f>
        <v>154433</v>
      </c>
      <c r="D184" s="291" t="s">
        <v>983</v>
      </c>
      <c r="E184" s="20">
        <f>SUM('SCH Database'!T666:T668)</f>
        <v>0</v>
      </c>
    </row>
    <row r="185" spans="1:5" ht="12.75">
      <c r="A185" s="2"/>
      <c r="B185" s="2" t="s">
        <v>994</v>
      </c>
      <c r="C185" s="20">
        <f>SUM('SCH Database'!J410:J424)</f>
        <v>1286712</v>
      </c>
      <c r="D185" s="20">
        <v>0</v>
      </c>
      <c r="E185" s="291" t="s">
        <v>983</v>
      </c>
    </row>
    <row r="186" spans="1:5" ht="12.75">
      <c r="A186" s="2"/>
      <c r="B186" s="2" t="s">
        <v>991</v>
      </c>
      <c r="C186" s="193"/>
      <c r="D186" s="193"/>
      <c r="E186" s="291" t="s">
        <v>983</v>
      </c>
    </row>
    <row r="187" spans="1:5" ht="12.75">
      <c r="A187" s="2"/>
      <c r="B187" s="2" t="s">
        <v>992</v>
      </c>
      <c r="C187" s="20">
        <f>SUM('SCH Database'!J425:J428)</f>
        <v>31724</v>
      </c>
      <c r="D187" s="291" t="s">
        <v>983</v>
      </c>
      <c r="E187" s="20">
        <f>SUM('SCH Database'!T425:T428)</f>
        <v>109524</v>
      </c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 t="s">
        <v>993</v>
      </c>
      <c r="C189" s="2">
        <f>SUM(C179:C187)</f>
        <v>3223924</v>
      </c>
      <c r="D189" s="2">
        <f>SUM(D179:D187)</f>
        <v>0</v>
      </c>
      <c r="E189" s="2">
        <f>SUM(E179:E187)</f>
        <v>371566</v>
      </c>
    </row>
    <row r="190" spans="1:5" ht="12.75">
      <c r="A190" s="2"/>
      <c r="B190" s="291" t="s">
        <v>977</v>
      </c>
      <c r="C190" s="291" t="s">
        <v>977</v>
      </c>
      <c r="D190" s="291" t="s">
        <v>977</v>
      </c>
      <c r="E190" s="291" t="s">
        <v>977</v>
      </c>
    </row>
    <row r="191" spans="1:5" ht="12.75">
      <c r="A191" s="2"/>
      <c r="B191" s="2"/>
      <c r="C191" s="2"/>
      <c r="D191" s="2"/>
      <c r="E191" s="2"/>
    </row>
    <row r="192" spans="1:5" ht="12.75">
      <c r="A192" s="20" t="s">
        <v>584</v>
      </c>
      <c r="B192" s="20"/>
      <c r="C192" s="2" t="s">
        <v>975</v>
      </c>
      <c r="D192" s="2"/>
      <c r="E192" s="2"/>
    </row>
    <row r="193" spans="1:5" ht="12.75">
      <c r="A193" s="2"/>
      <c r="B193" s="2" t="s">
        <v>875</v>
      </c>
      <c r="C193" s="2" t="s">
        <v>976</v>
      </c>
      <c r="D193" s="2"/>
      <c r="E193" s="2"/>
    </row>
    <row r="194" spans="1:5" ht="12.75">
      <c r="A194" s="2"/>
      <c r="B194" s="2"/>
      <c r="C194" s="291" t="s">
        <v>977</v>
      </c>
      <c r="D194" s="291" t="s">
        <v>977</v>
      </c>
      <c r="E194" s="291" t="s">
        <v>977</v>
      </c>
    </row>
    <row r="195" spans="1:5" ht="12.75">
      <c r="A195" s="2" t="s">
        <v>584</v>
      </c>
      <c r="B195" s="2"/>
      <c r="C195" s="2" t="s">
        <v>978</v>
      </c>
      <c r="D195" s="2"/>
      <c r="E195" s="2" t="s">
        <v>979</v>
      </c>
    </row>
    <row r="196" spans="1:5" ht="12.75">
      <c r="A196" s="2"/>
      <c r="B196" s="2" t="s">
        <v>875</v>
      </c>
      <c r="C196" s="122" t="s">
        <v>980</v>
      </c>
      <c r="D196" s="122" t="s">
        <v>981</v>
      </c>
      <c r="E196" s="122" t="s">
        <v>980</v>
      </c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 t="s">
        <v>982</v>
      </c>
      <c r="C198" s="20">
        <f>'SCH Database'!J429</f>
        <v>434951</v>
      </c>
      <c r="D198" s="291" t="s">
        <v>983</v>
      </c>
      <c r="E198" s="20">
        <f>'SCH Database'!T429</f>
        <v>153159</v>
      </c>
    </row>
    <row r="199" spans="1:5" ht="12.75">
      <c r="A199" s="2"/>
      <c r="B199" s="2" t="s">
        <v>984</v>
      </c>
      <c r="C199" s="20">
        <f>'SCH Database'!J430</f>
        <v>391218</v>
      </c>
      <c r="D199" s="291" t="s">
        <v>983</v>
      </c>
      <c r="E199" s="20">
        <f>'SCH Database'!T430</f>
        <v>69170</v>
      </c>
    </row>
    <row r="200" spans="1:5" ht="12.75">
      <c r="A200" s="2"/>
      <c r="B200" s="2" t="s">
        <v>985</v>
      </c>
      <c r="C200" s="20">
        <f>'SCH Database'!J431</f>
        <v>115419</v>
      </c>
      <c r="D200" s="291" t="s">
        <v>983</v>
      </c>
      <c r="E200" s="20">
        <f>'SCH Database'!T431</f>
        <v>18677</v>
      </c>
    </row>
    <row r="201" spans="1:5" ht="12.75">
      <c r="A201" s="2"/>
      <c r="B201" s="2" t="s">
        <v>986</v>
      </c>
      <c r="C201" s="20">
        <f>SUM('SCH Database'!J432:J433)</f>
        <v>324568</v>
      </c>
      <c r="D201" s="291" t="s">
        <v>983</v>
      </c>
      <c r="E201" s="20">
        <f>SUM('SCH Database'!T432:T433)</f>
        <v>48519</v>
      </c>
    </row>
    <row r="202" spans="1:5" ht="12.75">
      <c r="A202" s="2"/>
      <c r="B202" s="2" t="s">
        <v>987</v>
      </c>
      <c r="C202" s="20">
        <f>SUM('SCH Database'!J434:J435)</f>
        <v>217668</v>
      </c>
      <c r="D202" s="291" t="s">
        <v>983</v>
      </c>
      <c r="E202" s="20">
        <f>SUM('SCH Database'!T434:T435)</f>
        <v>20341</v>
      </c>
    </row>
    <row r="203" spans="1:5" ht="12.75">
      <c r="A203" s="2"/>
      <c r="B203" s="2" t="s">
        <v>988</v>
      </c>
      <c r="C203" s="20">
        <f>SUM('SCH Database'!J436:J439)</f>
        <v>332502</v>
      </c>
      <c r="D203" s="291" t="s">
        <v>983</v>
      </c>
      <c r="E203" s="20">
        <f>SUM('SCH Database'!T436:T439)</f>
        <v>8837</v>
      </c>
    </row>
    <row r="204" spans="1:5" ht="12.75">
      <c r="A204" s="2"/>
      <c r="B204" s="2" t="s">
        <v>994</v>
      </c>
      <c r="C204" s="20">
        <f>SUM('SCH Database'!J440:J460)</f>
        <v>1328331</v>
      </c>
      <c r="D204" s="20">
        <v>0</v>
      </c>
      <c r="E204" s="291" t="s">
        <v>983</v>
      </c>
    </row>
    <row r="205" spans="1:5" ht="12.75">
      <c r="A205" s="2"/>
      <c r="B205" s="2" t="s">
        <v>991</v>
      </c>
      <c r="C205" s="20">
        <v>0</v>
      </c>
      <c r="D205" s="20">
        <v>0</v>
      </c>
      <c r="E205" s="291" t="s">
        <v>983</v>
      </c>
    </row>
    <row r="206" spans="1:5" ht="12.75">
      <c r="A206" s="2"/>
      <c r="B206" s="2" t="s">
        <v>992</v>
      </c>
      <c r="C206" s="20">
        <f>'SCH Database'!J461</f>
        <v>32486</v>
      </c>
      <c r="D206" s="291" t="s">
        <v>983</v>
      </c>
      <c r="E206" s="20"/>
    </row>
    <row r="207" spans="1:5" ht="12.75">
      <c r="A207" s="2"/>
      <c r="B207" s="2"/>
      <c r="C207" s="20"/>
      <c r="D207" s="2"/>
      <c r="E207" s="20"/>
    </row>
    <row r="208" spans="1:5" ht="12.75">
      <c r="A208" s="2"/>
      <c r="B208" s="2" t="s">
        <v>993</v>
      </c>
      <c r="C208" s="2">
        <f>SUM(C198:C206)</f>
        <v>3177143</v>
      </c>
      <c r="D208" s="2">
        <f>SUM(D198:D206)</f>
        <v>0</v>
      </c>
      <c r="E208" s="2">
        <f>SUM(E198:E206)</f>
        <v>318703</v>
      </c>
    </row>
    <row r="209" spans="1:5" ht="12.75">
      <c r="A209" s="2"/>
      <c r="B209" s="291" t="s">
        <v>977</v>
      </c>
      <c r="C209" s="291" t="s">
        <v>977</v>
      </c>
      <c r="D209" s="291" t="s">
        <v>977</v>
      </c>
      <c r="E209" s="291" t="s">
        <v>977</v>
      </c>
    </row>
    <row r="210" spans="1:5" ht="12.75">
      <c r="A210" s="2"/>
      <c r="B210" s="2" t="s">
        <v>875</v>
      </c>
      <c r="C210" s="2"/>
      <c r="D210" s="2"/>
      <c r="E210" s="2"/>
    </row>
    <row r="211" spans="1:5" ht="12.75">
      <c r="A211" s="20" t="s">
        <v>618</v>
      </c>
      <c r="B211" s="20"/>
      <c r="C211" s="2" t="s">
        <v>975</v>
      </c>
      <c r="D211" s="2"/>
      <c r="E211" s="2"/>
    </row>
    <row r="212" spans="1:5" ht="12.75">
      <c r="A212" s="2"/>
      <c r="B212" s="2" t="s">
        <v>875</v>
      </c>
      <c r="C212" s="2" t="s">
        <v>976</v>
      </c>
      <c r="D212" s="2"/>
      <c r="E212" s="2"/>
    </row>
    <row r="213" spans="1:5" ht="12.75">
      <c r="A213" s="2"/>
      <c r="B213" s="2"/>
      <c r="C213" s="291" t="s">
        <v>977</v>
      </c>
      <c r="D213" s="291" t="s">
        <v>977</v>
      </c>
      <c r="E213" s="291" t="s">
        <v>977</v>
      </c>
    </row>
    <row r="214" spans="1:5" ht="12.75">
      <c r="A214" s="2" t="s">
        <v>618</v>
      </c>
      <c r="B214" s="2"/>
      <c r="C214" s="2" t="s">
        <v>978</v>
      </c>
      <c r="D214" s="2"/>
      <c r="E214" s="2" t="s">
        <v>979</v>
      </c>
    </row>
    <row r="215" spans="1:5" ht="12.75">
      <c r="A215" s="2"/>
      <c r="B215" s="2"/>
      <c r="C215" s="122" t="s">
        <v>980</v>
      </c>
      <c r="D215" s="122" t="s">
        <v>981</v>
      </c>
      <c r="E215" s="122" t="s">
        <v>980</v>
      </c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 t="s">
        <v>982</v>
      </c>
      <c r="C217" s="20">
        <f>'SCH Database'!J462</f>
        <v>515203</v>
      </c>
      <c r="D217" s="291" t="s">
        <v>983</v>
      </c>
      <c r="E217" s="20">
        <f>'SCH Database'!T462</f>
        <v>130616</v>
      </c>
    </row>
    <row r="218" spans="1:5" ht="12.75">
      <c r="A218" s="2"/>
      <c r="B218" s="2" t="s">
        <v>984</v>
      </c>
      <c r="C218" s="20">
        <f>'SCH Database'!J463</f>
        <v>388277.5</v>
      </c>
      <c r="D218" s="291" t="s">
        <v>983</v>
      </c>
      <c r="E218" s="20">
        <f>'SCH Database'!T463</f>
        <v>92744</v>
      </c>
    </row>
    <row r="219" spans="1:5" ht="12.75">
      <c r="A219" s="2"/>
      <c r="B219" s="2" t="s">
        <v>985</v>
      </c>
      <c r="C219" s="20">
        <f>SUM('SCH Database'!J464:J466)</f>
        <v>878032</v>
      </c>
      <c r="D219" s="291" t="s">
        <v>983</v>
      </c>
      <c r="E219" s="20">
        <f>SUM('SCH Database'!T464:T466)</f>
        <v>91050</v>
      </c>
    </row>
    <row r="220" spans="1:5" ht="12.75">
      <c r="A220" s="2"/>
      <c r="B220" s="2" t="s">
        <v>986</v>
      </c>
      <c r="C220" s="20">
        <f>SUM('SCH Database'!J467:J469)</f>
        <v>576822</v>
      </c>
      <c r="D220" s="291" t="s">
        <v>983</v>
      </c>
      <c r="E220" s="20">
        <f>SUM('SCH Database'!T467:T469)</f>
        <v>46242</v>
      </c>
    </row>
    <row r="221" spans="1:5" ht="12.75">
      <c r="A221" s="2"/>
      <c r="B221" s="2" t="s">
        <v>987</v>
      </c>
      <c r="C221" s="20">
        <f>'SCH Database'!J470</f>
        <v>161511</v>
      </c>
      <c r="D221" s="291" t="s">
        <v>983</v>
      </c>
      <c r="E221" s="20">
        <f>'SCH Database'!T470</f>
        <v>5201</v>
      </c>
    </row>
    <row r="222" spans="1:5" ht="12.75">
      <c r="A222" s="2"/>
      <c r="B222" s="2" t="s">
        <v>988</v>
      </c>
      <c r="C222" s="20">
        <v>0</v>
      </c>
      <c r="D222" s="291" t="s">
        <v>983</v>
      </c>
      <c r="E222" s="20">
        <v>0</v>
      </c>
    </row>
    <row r="223" spans="1:5" ht="12.75">
      <c r="A223" s="2"/>
      <c r="B223" s="2" t="s">
        <v>994</v>
      </c>
      <c r="C223" s="20">
        <f>SUM('SCH Database'!J471:J484)</f>
        <v>1468365.5</v>
      </c>
      <c r="D223" s="20">
        <v>0</v>
      </c>
      <c r="E223" s="291" t="s">
        <v>983</v>
      </c>
    </row>
    <row r="224" spans="1:5" ht="12.75">
      <c r="A224" s="2"/>
      <c r="B224" s="2" t="s">
        <v>991</v>
      </c>
      <c r="C224" s="20">
        <v>0</v>
      </c>
      <c r="D224" s="20">
        <f>SUM('SCH Database'!O485:O511)</f>
        <v>4800873</v>
      </c>
      <c r="E224" s="291" t="s">
        <v>983</v>
      </c>
    </row>
    <row r="225" spans="1:5" ht="12.75">
      <c r="A225" s="2"/>
      <c r="B225" s="2" t="s">
        <v>992</v>
      </c>
      <c r="C225" s="20">
        <f>SUM('SCH Database'!J513)</f>
        <v>69</v>
      </c>
      <c r="D225" s="291" t="s">
        <v>983</v>
      </c>
      <c r="E225" s="20">
        <f>'SCH Database'!T513</f>
        <v>3118</v>
      </c>
    </row>
    <row r="226" spans="1:5" ht="12.75">
      <c r="A226" s="2"/>
      <c r="B226" s="2"/>
      <c r="C226" s="20"/>
      <c r="D226" s="2"/>
      <c r="E226" s="20"/>
    </row>
    <row r="227" spans="1:5" ht="12.75">
      <c r="A227" s="2"/>
      <c r="B227" s="2" t="s">
        <v>993</v>
      </c>
      <c r="C227" s="2">
        <f>SUM(C217:C225)</f>
        <v>3988280</v>
      </c>
      <c r="D227" s="2">
        <f>SUM(D217:D225)</f>
        <v>4800873</v>
      </c>
      <c r="E227" s="2">
        <f>SUM(E217:E225)</f>
        <v>368971</v>
      </c>
    </row>
    <row r="228" spans="1:5" ht="12.75">
      <c r="A228" s="2"/>
      <c r="B228" s="291" t="s">
        <v>977</v>
      </c>
      <c r="C228" s="291" t="s">
        <v>977</v>
      </c>
      <c r="D228" s="291" t="s">
        <v>977</v>
      </c>
      <c r="E228" s="291" t="s">
        <v>977</v>
      </c>
    </row>
    <row r="229" spans="1:5" ht="12.75">
      <c r="A229" s="2"/>
      <c r="B229" s="2" t="s">
        <v>875</v>
      </c>
      <c r="C229" s="2"/>
      <c r="D229" s="2"/>
      <c r="E229" s="2"/>
    </row>
    <row r="230" spans="1:5" ht="12.75">
      <c r="A230" s="20" t="s">
        <v>673</v>
      </c>
      <c r="B230" s="20"/>
      <c r="C230" s="2" t="s">
        <v>975</v>
      </c>
      <c r="D230" s="2"/>
      <c r="E230" s="2"/>
    </row>
    <row r="231" spans="1:5" ht="12.75">
      <c r="A231" s="2"/>
      <c r="B231" s="2" t="s">
        <v>875</v>
      </c>
      <c r="C231" s="2" t="s">
        <v>976</v>
      </c>
      <c r="D231" s="2"/>
      <c r="E231" s="2"/>
    </row>
    <row r="232" spans="1:5" ht="12.75">
      <c r="A232" s="2"/>
      <c r="B232" s="2"/>
      <c r="C232" s="291" t="s">
        <v>977</v>
      </c>
      <c r="D232" s="291" t="s">
        <v>977</v>
      </c>
      <c r="E232" s="291" t="s">
        <v>977</v>
      </c>
    </row>
    <row r="233" spans="1:5" ht="12.75">
      <c r="A233" s="2" t="s">
        <v>673</v>
      </c>
      <c r="B233" s="2"/>
      <c r="C233" s="2" t="s">
        <v>978</v>
      </c>
      <c r="D233" s="2"/>
      <c r="E233" s="2" t="s">
        <v>979</v>
      </c>
    </row>
    <row r="234" spans="1:5" ht="12.75">
      <c r="A234" s="2"/>
      <c r="B234" s="2"/>
      <c r="C234" s="122" t="s">
        <v>980</v>
      </c>
      <c r="D234" s="122" t="s">
        <v>981</v>
      </c>
      <c r="E234" s="122" t="s">
        <v>980</v>
      </c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 t="s">
        <v>982</v>
      </c>
      <c r="C236" s="20">
        <f>SUM('SCH Database'!J515:J519)</f>
        <v>3690208</v>
      </c>
      <c r="D236" s="291" t="s">
        <v>983</v>
      </c>
      <c r="E236" s="20">
        <f>SUM('SCH Database'!T515:T519)</f>
        <v>644408</v>
      </c>
    </row>
    <row r="237" spans="1:5" ht="12.75">
      <c r="A237" s="2"/>
      <c r="B237" s="2" t="s">
        <v>984</v>
      </c>
      <c r="C237" s="20">
        <f>SUM('SCH Database'!J520:J522)</f>
        <v>682950</v>
      </c>
      <c r="D237" s="291" t="s">
        <v>983</v>
      </c>
      <c r="E237" s="20">
        <f>SUM('SCH Database'!T520:T522)</f>
        <v>195793</v>
      </c>
    </row>
    <row r="238" spans="1:5" ht="12.75">
      <c r="A238" s="2"/>
      <c r="B238" s="2" t="s">
        <v>985</v>
      </c>
      <c r="C238" s="20">
        <f>SUM('SCH Database'!J523:J537)</f>
        <v>3073051</v>
      </c>
      <c r="D238" s="291" t="s">
        <v>983</v>
      </c>
      <c r="E238" s="20">
        <f>SUM('SCH Database'!T523:T537)</f>
        <v>355937</v>
      </c>
    </row>
    <row r="239" spans="1:5" ht="12.75">
      <c r="A239" s="2"/>
      <c r="B239" s="2" t="s">
        <v>986</v>
      </c>
      <c r="C239" s="20">
        <f>SUM('SCH Database'!J538:J543)</f>
        <v>844699</v>
      </c>
      <c r="D239" s="291" t="s">
        <v>983</v>
      </c>
      <c r="E239" s="20">
        <f>SUM('SCH Database'!T538:T543)</f>
        <v>58107</v>
      </c>
    </row>
    <row r="240" spans="1:5" ht="12.75">
      <c r="A240" s="2"/>
      <c r="B240" s="2" t="s">
        <v>987</v>
      </c>
      <c r="C240" s="20">
        <f>SUM('SCH Database'!J544:J547)</f>
        <v>84854</v>
      </c>
      <c r="D240" s="291" t="s">
        <v>983</v>
      </c>
      <c r="E240" s="20">
        <f>SUM('SCH Database'!T544:T547)</f>
        <v>26118</v>
      </c>
    </row>
    <row r="241" spans="1:5" ht="12.75">
      <c r="A241" s="2"/>
      <c r="B241" s="2" t="s">
        <v>988</v>
      </c>
      <c r="C241" s="20">
        <f>SUM('SCH Database'!J548:J549)</f>
        <v>202645</v>
      </c>
      <c r="D241" s="291" t="s">
        <v>983</v>
      </c>
      <c r="E241" s="20">
        <v>0</v>
      </c>
    </row>
    <row r="242" spans="1:5" ht="12.75">
      <c r="A242" s="2"/>
      <c r="B242" s="2" t="s">
        <v>994</v>
      </c>
      <c r="C242" s="20">
        <f>SUM('SCH Database'!J550:J614)</f>
        <v>8332545</v>
      </c>
      <c r="D242" s="20">
        <f>SUM('SCH Database'!O550:O614)</f>
        <v>17436911</v>
      </c>
      <c r="E242" s="291" t="s">
        <v>983</v>
      </c>
    </row>
    <row r="243" spans="1:5" ht="12.75">
      <c r="A243" s="2"/>
      <c r="B243" s="2" t="s">
        <v>991</v>
      </c>
      <c r="C243" s="20">
        <v>0</v>
      </c>
      <c r="D243" s="20">
        <v>0</v>
      </c>
      <c r="E243" s="291" t="s">
        <v>983</v>
      </c>
    </row>
    <row r="244" spans="1:5" ht="12.75">
      <c r="A244" s="2"/>
      <c r="B244" s="2" t="s">
        <v>992</v>
      </c>
      <c r="C244" s="20">
        <f>SUM('SCH Database'!J615:J626)</f>
        <v>3443669</v>
      </c>
      <c r="D244" s="291" t="s">
        <v>983</v>
      </c>
      <c r="E244" s="20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 t="s">
        <v>993</v>
      </c>
      <c r="C246" s="2">
        <f>SUM(C236:C244)</f>
        <v>20354621</v>
      </c>
      <c r="D246" s="2">
        <f>SUM(D236:D244)</f>
        <v>17436911</v>
      </c>
      <c r="E246" s="2">
        <f>SUM(E236:E244)</f>
        <v>1280363</v>
      </c>
    </row>
    <row r="247" spans="1:5" ht="12.75">
      <c r="A247" s="2"/>
      <c r="B247" s="291" t="s">
        <v>977</v>
      </c>
      <c r="C247" s="291" t="s">
        <v>977</v>
      </c>
      <c r="D247" s="291" t="s">
        <v>977</v>
      </c>
      <c r="E247" s="291" t="s">
        <v>977</v>
      </c>
    </row>
    <row r="248" spans="1:5" ht="12.75">
      <c r="A248" s="2"/>
      <c r="B248" s="2" t="s">
        <v>875</v>
      </c>
      <c r="C248" s="2"/>
      <c r="D248" s="2"/>
      <c r="E248" s="2"/>
    </row>
    <row r="249" spans="1:5" ht="12.75">
      <c r="A249" s="20" t="s">
        <v>887</v>
      </c>
      <c r="B249" s="20"/>
      <c r="C249" s="2" t="s">
        <v>975</v>
      </c>
      <c r="D249" s="2"/>
      <c r="E249" s="2"/>
    </row>
    <row r="250" spans="1:5" ht="12.75">
      <c r="A250" s="2"/>
      <c r="B250" s="2" t="s">
        <v>875</v>
      </c>
      <c r="C250" s="2" t="s">
        <v>976</v>
      </c>
      <c r="D250" s="2"/>
      <c r="E250" s="2"/>
    </row>
    <row r="251" spans="1:5" ht="12.75">
      <c r="A251" s="2"/>
      <c r="B251" s="2"/>
      <c r="C251" s="291" t="s">
        <v>977</v>
      </c>
      <c r="D251" s="291" t="s">
        <v>977</v>
      </c>
      <c r="E251" s="291" t="s">
        <v>977</v>
      </c>
    </row>
    <row r="252" spans="1:5" ht="12.75">
      <c r="A252" s="2" t="s">
        <v>887</v>
      </c>
      <c r="B252" s="2"/>
      <c r="C252" s="2" t="s">
        <v>978</v>
      </c>
      <c r="D252" s="2"/>
      <c r="E252" s="2" t="s">
        <v>979</v>
      </c>
    </row>
    <row r="253" spans="1:5" ht="12.75">
      <c r="A253" s="2"/>
      <c r="B253" s="2" t="s">
        <v>875</v>
      </c>
      <c r="C253" s="122" t="s">
        <v>980</v>
      </c>
      <c r="D253" s="122" t="s">
        <v>981</v>
      </c>
      <c r="E253" s="122" t="s">
        <v>980</v>
      </c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 t="s">
        <v>982</v>
      </c>
      <c r="C255" s="20">
        <f>SUM('SCH Database'!J628:J629)</f>
        <v>1007741</v>
      </c>
      <c r="D255" s="291" t="s">
        <v>983</v>
      </c>
      <c r="E255" s="20">
        <f>SUM('SCH Database'!T628:T629)</f>
        <v>280906</v>
      </c>
    </row>
    <row r="256" spans="1:5" ht="12.75">
      <c r="A256" s="2"/>
      <c r="B256" s="2" t="s">
        <v>984</v>
      </c>
      <c r="C256" s="20">
        <f>SUM('SCH Database'!J630:J633)</f>
        <v>1181377</v>
      </c>
      <c r="D256" s="291" t="s">
        <v>983</v>
      </c>
      <c r="E256" s="20">
        <f>SUM('SCH Database'!T630:T633)</f>
        <v>363308</v>
      </c>
    </row>
    <row r="257" spans="1:5" ht="12.75">
      <c r="A257" s="2"/>
      <c r="B257" s="2" t="s">
        <v>985</v>
      </c>
      <c r="C257" s="20">
        <f>SUM('SCH Database'!J634:J635)</f>
        <v>564342</v>
      </c>
      <c r="D257" s="291" t="s">
        <v>983</v>
      </c>
      <c r="E257" s="20">
        <f>SUM('SCH Database'!T634:T635)</f>
        <v>33822</v>
      </c>
    </row>
    <row r="258" spans="1:5" ht="12.75">
      <c r="A258" s="2"/>
      <c r="B258" s="2" t="s">
        <v>986</v>
      </c>
      <c r="C258" s="20">
        <f>SUM('SCH Database'!J636:J637)</f>
        <v>294435</v>
      </c>
      <c r="D258" s="291" t="s">
        <v>983</v>
      </c>
      <c r="E258" s="20">
        <f>SUM('SCH Database'!T636:T637)</f>
        <v>26010</v>
      </c>
    </row>
    <row r="259" spans="1:5" ht="12.75">
      <c r="A259" s="2"/>
      <c r="B259" s="2" t="s">
        <v>987</v>
      </c>
      <c r="C259" s="20">
        <f>SUM('SCH Database'!J638)</f>
        <v>91677</v>
      </c>
      <c r="D259" s="291" t="s">
        <v>983</v>
      </c>
      <c r="E259" s="20">
        <f>SUM('SCH Database'!T638)</f>
        <v>5855</v>
      </c>
    </row>
    <row r="260" spans="1:5" ht="12.75">
      <c r="A260" s="2"/>
      <c r="B260" s="2" t="s">
        <v>988</v>
      </c>
      <c r="C260" s="20">
        <f>SUM('SCH Database'!J639:J641)</f>
        <v>241023</v>
      </c>
      <c r="D260" s="291" t="s">
        <v>983</v>
      </c>
      <c r="E260" s="20">
        <f>SUM('SCH Database'!T639:T641)</f>
        <v>2421</v>
      </c>
    </row>
    <row r="261" spans="1:5" ht="12.75">
      <c r="A261" s="2"/>
      <c r="B261" s="2" t="s">
        <v>994</v>
      </c>
      <c r="C261" s="20">
        <f>SUM('SCH Database'!J642:J643)</f>
        <v>2160133</v>
      </c>
      <c r="D261" s="20">
        <v>0</v>
      </c>
      <c r="E261" s="291" t="s">
        <v>983</v>
      </c>
    </row>
    <row r="262" spans="1:5" ht="12.75">
      <c r="A262" s="2"/>
      <c r="B262" s="2" t="s">
        <v>991</v>
      </c>
      <c r="C262" s="20">
        <v>0</v>
      </c>
      <c r="D262" s="20">
        <v>0</v>
      </c>
      <c r="E262" s="291" t="s">
        <v>983</v>
      </c>
    </row>
    <row r="263" spans="1:5" ht="12.75">
      <c r="A263" s="2"/>
      <c r="B263" s="2" t="s">
        <v>992</v>
      </c>
      <c r="C263" s="20">
        <f>SUM('SCH Database'!J644)</f>
        <v>41797</v>
      </c>
      <c r="D263" s="291" t="s">
        <v>983</v>
      </c>
      <c r="E263" s="20">
        <f>SUM('SCH Database'!T659:T660)</f>
        <v>31979</v>
      </c>
    </row>
    <row r="264" spans="1:5" ht="12.75">
      <c r="A264" s="2"/>
      <c r="B264" s="2"/>
      <c r="C264" s="20"/>
      <c r="D264" s="2"/>
      <c r="E264" s="20"/>
    </row>
    <row r="265" spans="1:5" ht="12.75">
      <c r="A265" s="2"/>
      <c r="B265" s="2" t="s">
        <v>993</v>
      </c>
      <c r="C265" s="2">
        <f>SUM(C255:C263)</f>
        <v>5582525</v>
      </c>
      <c r="D265" s="2">
        <f>SUM(D255:D263)</f>
        <v>0</v>
      </c>
      <c r="E265" s="2">
        <f>SUM(E255:E263)</f>
        <v>744301</v>
      </c>
    </row>
    <row r="266" spans="1:5" ht="12.75">
      <c r="A266" s="2"/>
      <c r="B266" s="291" t="s">
        <v>977</v>
      </c>
      <c r="C266" s="291" t="s">
        <v>977</v>
      </c>
      <c r="D266" s="291" t="s">
        <v>977</v>
      </c>
      <c r="E266" s="291" t="s">
        <v>977</v>
      </c>
    </row>
    <row r="267" spans="1:5" ht="12.75">
      <c r="A267" s="2"/>
      <c r="B267" s="2" t="s">
        <v>875</v>
      </c>
      <c r="C267" s="2"/>
      <c r="D267" s="2"/>
      <c r="E267" s="2"/>
    </row>
    <row r="268" spans="1:5" ht="12.75">
      <c r="A268" s="20" t="s">
        <v>905</v>
      </c>
      <c r="B268" s="2"/>
      <c r="C268" s="2" t="s">
        <v>975</v>
      </c>
      <c r="D268" s="2"/>
      <c r="E268" s="2"/>
    </row>
    <row r="269" spans="1:5" ht="12.75">
      <c r="A269" s="2"/>
      <c r="B269" s="2" t="s">
        <v>875</v>
      </c>
      <c r="C269" s="2" t="s">
        <v>976</v>
      </c>
      <c r="D269" s="2"/>
      <c r="E269" s="2"/>
    </row>
    <row r="270" spans="1:5" ht="12.75">
      <c r="A270" s="2"/>
      <c r="B270" s="2"/>
      <c r="C270" s="291" t="s">
        <v>977</v>
      </c>
      <c r="D270" s="291" t="s">
        <v>977</v>
      </c>
      <c r="E270" s="291" t="s">
        <v>977</v>
      </c>
    </row>
    <row r="271" spans="1:5" ht="12.75">
      <c r="A271" s="2" t="s">
        <v>905</v>
      </c>
      <c r="B271" s="2"/>
      <c r="C271" s="2" t="s">
        <v>978</v>
      </c>
      <c r="D271" s="2"/>
      <c r="E271" s="2" t="s">
        <v>979</v>
      </c>
    </row>
    <row r="272" spans="1:5" ht="12.75">
      <c r="A272" s="2"/>
      <c r="B272" s="2"/>
      <c r="C272" s="122" t="s">
        <v>980</v>
      </c>
      <c r="D272" s="122" t="s">
        <v>981</v>
      </c>
      <c r="E272" s="122" t="s">
        <v>980</v>
      </c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 t="s">
        <v>982</v>
      </c>
      <c r="C274" s="20">
        <f>'SCH Database'!J645</f>
        <v>429099</v>
      </c>
      <c r="D274" s="291" t="s">
        <v>983</v>
      </c>
      <c r="E274" s="20">
        <f>'SCH Database'!T645</f>
        <v>107045</v>
      </c>
    </row>
    <row r="275" spans="1:5" ht="12.75">
      <c r="A275" s="2"/>
      <c r="B275" s="2" t="s">
        <v>984</v>
      </c>
      <c r="C275" s="20">
        <v>0</v>
      </c>
      <c r="D275" s="291" t="s">
        <v>983</v>
      </c>
      <c r="E275" s="20">
        <v>0</v>
      </c>
    </row>
    <row r="276" spans="1:5" ht="12.75">
      <c r="A276" s="2"/>
      <c r="B276" s="2" t="s">
        <v>985</v>
      </c>
      <c r="C276" s="20">
        <f>'SCH Database'!J646</f>
        <v>260444</v>
      </c>
      <c r="D276" s="291" t="s">
        <v>983</v>
      </c>
      <c r="E276" s="20">
        <f>'SCH Database'!T646</f>
        <v>28406</v>
      </c>
    </row>
    <row r="277" spans="1:5" ht="12.75">
      <c r="A277" s="2"/>
      <c r="B277" s="2" t="s">
        <v>986</v>
      </c>
      <c r="C277" s="20">
        <v>0</v>
      </c>
      <c r="D277" s="291" t="s">
        <v>983</v>
      </c>
      <c r="E277" s="20">
        <v>0</v>
      </c>
    </row>
    <row r="278" spans="1:5" ht="12.75">
      <c r="A278" s="2"/>
      <c r="B278" s="2" t="s">
        <v>987</v>
      </c>
      <c r="C278" s="20">
        <v>0</v>
      </c>
      <c r="D278" s="291" t="s">
        <v>983</v>
      </c>
      <c r="E278" s="20">
        <v>0</v>
      </c>
    </row>
    <row r="279" spans="1:5" ht="12.75">
      <c r="A279" s="2"/>
      <c r="B279" s="2" t="s">
        <v>988</v>
      </c>
      <c r="C279" s="20">
        <f>SUM('SCH Database'!J647:J654)</f>
        <v>660866</v>
      </c>
      <c r="D279" s="291" t="s">
        <v>983</v>
      </c>
      <c r="E279" s="20">
        <f>'SCH Database'!T653</f>
        <v>595</v>
      </c>
    </row>
    <row r="280" spans="1:5" ht="12.75">
      <c r="A280" s="2"/>
      <c r="B280" s="2" t="s">
        <v>994</v>
      </c>
      <c r="C280" s="20">
        <f>SUM('SCH Database'!J655:J658)</f>
        <v>209532</v>
      </c>
      <c r="D280" s="20">
        <v>0</v>
      </c>
      <c r="E280" s="291" t="s">
        <v>983</v>
      </c>
    </row>
    <row r="281" spans="1:5" ht="12.75">
      <c r="A281" s="2"/>
      <c r="B281" s="2" t="s">
        <v>991</v>
      </c>
      <c r="C281" s="193"/>
      <c r="D281" s="193"/>
      <c r="E281" s="291" t="s">
        <v>983</v>
      </c>
    </row>
    <row r="282" spans="1:5" ht="12.75">
      <c r="A282" s="2"/>
      <c r="B282" s="2" t="s">
        <v>992</v>
      </c>
      <c r="C282" s="20">
        <v>0</v>
      </c>
      <c r="D282" s="291" t="s">
        <v>983</v>
      </c>
      <c r="E282" s="20">
        <f>'SCH Database'!T659</f>
        <v>31979</v>
      </c>
    </row>
    <row r="283" spans="1:5" ht="12.75">
      <c r="A283" s="2"/>
      <c r="B283" s="2"/>
      <c r="C283" s="20"/>
      <c r="D283" s="2"/>
      <c r="E283" s="20"/>
    </row>
    <row r="284" spans="1:5" ht="12.75">
      <c r="A284" s="2"/>
      <c r="B284" s="2" t="s">
        <v>993</v>
      </c>
      <c r="C284" s="2">
        <f>SUM(C274:C282)</f>
        <v>1559941</v>
      </c>
      <c r="D284" s="2">
        <f>SUM(D274:D282)</f>
        <v>0</v>
      </c>
      <c r="E284" s="2">
        <f>SUM(E274:E282)</f>
        <v>168025</v>
      </c>
    </row>
    <row r="285" spans="1:5" ht="12.75">
      <c r="A285" s="2"/>
      <c r="B285" s="291" t="s">
        <v>977</v>
      </c>
      <c r="C285" s="291" t="s">
        <v>977</v>
      </c>
      <c r="D285" s="291" t="s">
        <v>977</v>
      </c>
      <c r="E285" s="291" t="s">
        <v>977</v>
      </c>
    </row>
    <row r="286" spans="1:5" ht="12.75">
      <c r="A286" s="291" t="s">
        <v>996</v>
      </c>
      <c r="B286" s="291" t="s">
        <v>996</v>
      </c>
      <c r="C286" s="291" t="s">
        <v>996</v>
      </c>
      <c r="D286" s="291" t="s">
        <v>996</v>
      </c>
      <c r="E286" s="291" t="s">
        <v>996</v>
      </c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4" manualBreakCount="4">
    <brk id="39" max="255" man="1"/>
    <brk id="40" max="255" man="1"/>
    <brk id="80" max="255" man="1"/>
    <brk id="120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285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cols>
    <col min="1" max="1" width="7.66015625" style="0" customWidth="1"/>
    <col min="14" max="14" width="8.66015625" style="0" customWidth="1"/>
  </cols>
  <sheetData>
    <row r="1" spans="1:20" ht="12.75">
      <c r="A1" s="20" t="s">
        <v>61</v>
      </c>
      <c r="B1" s="195"/>
      <c r="C1" s="195"/>
      <c r="D1" s="196" t="s">
        <v>997</v>
      </c>
      <c r="E1" s="195"/>
      <c r="F1" s="195"/>
      <c r="G1" s="195"/>
      <c r="H1" s="196"/>
      <c r="I1" s="116"/>
      <c r="J1" s="116"/>
      <c r="K1" s="116"/>
      <c r="L1" s="116"/>
      <c r="M1" s="116"/>
      <c r="N1" s="116"/>
      <c r="O1" s="2"/>
      <c r="P1" s="2"/>
      <c r="Q1" s="2"/>
      <c r="R1" s="2"/>
      <c r="S1" s="2"/>
      <c r="T1" s="2"/>
    </row>
    <row r="2" spans="1:20" ht="12.75">
      <c r="A2" s="2"/>
      <c r="B2" s="195"/>
      <c r="C2" s="195"/>
      <c r="D2" s="195" t="s">
        <v>998</v>
      </c>
      <c r="E2" s="195"/>
      <c r="F2" s="195"/>
      <c r="G2" s="195"/>
      <c r="H2" s="197" t="s">
        <v>929</v>
      </c>
      <c r="I2" s="197"/>
      <c r="J2" s="197"/>
      <c r="K2" s="197"/>
      <c r="L2" s="197"/>
      <c r="M2" s="197"/>
      <c r="N2" s="197"/>
      <c r="O2" s="2"/>
      <c r="P2" s="2"/>
      <c r="Q2" s="2"/>
      <c r="R2" s="2"/>
      <c r="S2" s="2"/>
      <c r="T2" s="2"/>
    </row>
    <row r="3" spans="1:20" ht="12.75">
      <c r="A3" s="2"/>
      <c r="B3" s="293" t="s">
        <v>977</v>
      </c>
      <c r="C3" s="293" t="s">
        <v>977</v>
      </c>
      <c r="D3" s="293" t="s">
        <v>977</v>
      </c>
      <c r="E3" s="293" t="s">
        <v>977</v>
      </c>
      <c r="F3" s="293" t="s">
        <v>977</v>
      </c>
      <c r="G3" s="293" t="s">
        <v>977</v>
      </c>
      <c r="H3" s="116" t="s">
        <v>932</v>
      </c>
      <c r="I3" s="196"/>
      <c r="J3" s="116"/>
      <c r="K3" s="196"/>
      <c r="L3" s="116"/>
      <c r="M3" s="116"/>
      <c r="N3" s="196"/>
      <c r="O3" s="2"/>
      <c r="P3" s="2"/>
      <c r="Q3" s="2"/>
      <c r="R3" s="2"/>
      <c r="S3" s="2"/>
      <c r="T3" s="2"/>
    </row>
    <row r="4" spans="1:20" ht="12.75">
      <c r="A4" s="2"/>
      <c r="B4" s="196" t="s">
        <v>999</v>
      </c>
      <c r="C4" s="196" t="s">
        <v>999</v>
      </c>
      <c r="D4" s="195"/>
      <c r="E4" s="195"/>
      <c r="F4" s="195"/>
      <c r="G4" s="195"/>
      <c r="H4" s="116" t="s">
        <v>935</v>
      </c>
      <c r="I4" s="116" t="s">
        <v>936</v>
      </c>
      <c r="J4" s="116" t="s">
        <v>937</v>
      </c>
      <c r="K4" s="116" t="s">
        <v>937</v>
      </c>
      <c r="L4" s="116" t="s">
        <v>938</v>
      </c>
      <c r="M4" s="196"/>
      <c r="N4" s="196"/>
      <c r="O4" s="2"/>
      <c r="P4" s="2"/>
      <c r="Q4" s="2"/>
      <c r="R4" s="2"/>
      <c r="S4" s="2"/>
      <c r="T4" s="2"/>
    </row>
    <row r="5" spans="1:20" ht="12.75">
      <c r="A5" s="2"/>
      <c r="B5" s="196" t="s">
        <v>1000</v>
      </c>
      <c r="C5" s="196" t="s">
        <v>1000</v>
      </c>
      <c r="D5" s="196" t="s">
        <v>1001</v>
      </c>
      <c r="E5" s="196" t="s">
        <v>950</v>
      </c>
      <c r="F5" s="196" t="s">
        <v>1002</v>
      </c>
      <c r="G5" s="196" t="s">
        <v>1002</v>
      </c>
      <c r="H5" s="116" t="s">
        <v>942</v>
      </c>
      <c r="I5" s="116" t="s">
        <v>943</v>
      </c>
      <c r="J5" s="116" t="s">
        <v>944</v>
      </c>
      <c r="K5" s="116" t="s">
        <v>945</v>
      </c>
      <c r="L5" s="116" t="s">
        <v>945</v>
      </c>
      <c r="M5" s="116" t="s">
        <v>946</v>
      </c>
      <c r="N5" s="196"/>
      <c r="O5" s="2"/>
      <c r="P5" s="2"/>
      <c r="Q5" s="2"/>
      <c r="R5" s="2"/>
      <c r="S5" s="2"/>
      <c r="T5" s="2"/>
    </row>
    <row r="6" spans="1:20" ht="12.75">
      <c r="A6" s="2"/>
      <c r="B6" s="198" t="s">
        <v>1003</v>
      </c>
      <c r="C6" s="198" t="s">
        <v>930</v>
      </c>
      <c r="D6" s="199"/>
      <c r="E6" s="199"/>
      <c r="F6" s="198" t="s">
        <v>947</v>
      </c>
      <c r="G6" s="198" t="s">
        <v>930</v>
      </c>
      <c r="H6" s="197" t="s">
        <v>951</v>
      </c>
      <c r="I6" s="197" t="s">
        <v>941</v>
      </c>
      <c r="J6" s="197" t="s">
        <v>952</v>
      </c>
      <c r="K6" s="197" t="s">
        <v>953</v>
      </c>
      <c r="L6" s="197" t="s">
        <v>953</v>
      </c>
      <c r="M6" s="197" t="s">
        <v>951</v>
      </c>
      <c r="N6" s="197" t="s">
        <v>950</v>
      </c>
      <c r="O6" s="2"/>
      <c r="P6" s="2"/>
      <c r="Q6" s="2"/>
      <c r="R6" s="2"/>
      <c r="S6" s="2"/>
      <c r="T6" s="2"/>
    </row>
    <row r="7" spans="1:20" ht="12.75">
      <c r="A7" s="2" t="s">
        <v>982</v>
      </c>
      <c r="B7" s="20">
        <f>SUM('Apprp. Database'!E9:E10)</f>
        <v>194858182</v>
      </c>
      <c r="C7" s="20">
        <f>SUM('Apprp. Database'!F9:F10)</f>
        <v>197951845</v>
      </c>
      <c r="D7" s="20">
        <f>'Apprp. Database'!I9</f>
        <v>14936343</v>
      </c>
      <c r="E7" s="20">
        <f>SUM('Apprp. Database'!J9:J10)</f>
        <v>3593223</v>
      </c>
      <c r="F7" s="291" t="s">
        <v>983</v>
      </c>
      <c r="G7" s="291" t="s">
        <v>983</v>
      </c>
      <c r="H7" s="20">
        <v>0</v>
      </c>
      <c r="I7" s="20">
        <v>0</v>
      </c>
      <c r="J7" s="20"/>
      <c r="K7" s="20">
        <f>'Apprp. Database'!N9</f>
        <v>43407244</v>
      </c>
      <c r="L7" s="20">
        <v>0</v>
      </c>
      <c r="M7" s="20">
        <v>0</v>
      </c>
      <c r="N7" s="20">
        <v>0</v>
      </c>
      <c r="O7" s="2"/>
      <c r="P7" s="2"/>
      <c r="Q7" s="2"/>
      <c r="R7" s="2"/>
      <c r="S7" s="2"/>
      <c r="T7" s="2"/>
    </row>
    <row r="8" spans="1:20" ht="12.75">
      <c r="A8" s="2" t="s">
        <v>984</v>
      </c>
      <c r="B8" s="20">
        <f>SUM('Apprp. Database'!E11)</f>
        <v>38407631</v>
      </c>
      <c r="C8" s="20">
        <f>'Apprp. Database'!F11</f>
        <v>38429165</v>
      </c>
      <c r="D8" s="20">
        <v>0</v>
      </c>
      <c r="E8" s="20">
        <f>'Apprp. Database'!J11</f>
        <v>140028119</v>
      </c>
      <c r="F8" s="291" t="s">
        <v>983</v>
      </c>
      <c r="G8" s="291" t="s">
        <v>983</v>
      </c>
      <c r="H8" s="20">
        <v>0</v>
      </c>
      <c r="I8" s="20">
        <v>0</v>
      </c>
      <c r="J8" s="20"/>
      <c r="K8" s="20">
        <v>0</v>
      </c>
      <c r="L8" s="20">
        <v>0</v>
      </c>
      <c r="M8" s="20">
        <v>0</v>
      </c>
      <c r="N8" s="20">
        <v>0</v>
      </c>
      <c r="O8" s="2"/>
      <c r="P8" s="2"/>
      <c r="Q8" s="2"/>
      <c r="R8" s="2"/>
      <c r="S8" s="2"/>
      <c r="T8" s="2"/>
    </row>
    <row r="9" spans="1:20" ht="12.75">
      <c r="A9" s="2" t="s">
        <v>985</v>
      </c>
      <c r="B9" s="20">
        <f>SUM('Apprp. Database'!E12:E15)</f>
        <v>103679811</v>
      </c>
      <c r="C9" s="20">
        <f>SUM('Apprp. Database'!F12:F15)</f>
        <v>104592202</v>
      </c>
      <c r="D9" s="20">
        <v>0</v>
      </c>
      <c r="E9" s="20">
        <f>'Apprp. Database'!J14+'Apprp. Database'!J15</f>
        <v>44663925</v>
      </c>
      <c r="F9" s="291" t="s">
        <v>983</v>
      </c>
      <c r="G9" s="291" t="s">
        <v>983</v>
      </c>
      <c r="H9" s="20">
        <v>0</v>
      </c>
      <c r="I9" s="20">
        <v>0</v>
      </c>
      <c r="J9" s="20"/>
      <c r="K9" s="20">
        <f>'Apprp. Database'!N12</f>
        <v>3814021</v>
      </c>
      <c r="L9" s="20">
        <v>0</v>
      </c>
      <c r="M9" s="20">
        <v>0</v>
      </c>
      <c r="N9" s="20">
        <v>0</v>
      </c>
      <c r="O9" s="2"/>
      <c r="P9" s="2"/>
      <c r="Q9" s="2"/>
      <c r="R9" s="2"/>
      <c r="S9" s="2"/>
      <c r="T9" s="2"/>
    </row>
    <row r="10" spans="1:20" ht="12.75">
      <c r="A10" s="2" t="s">
        <v>986</v>
      </c>
      <c r="B10" s="20">
        <f>SUM('Apprp. Database'!E16:E19)</f>
        <v>52626830</v>
      </c>
      <c r="C10" s="20">
        <f>SUM('Apprp. Database'!F16:F19)</f>
        <v>52686927</v>
      </c>
      <c r="D10" s="20">
        <v>0</v>
      </c>
      <c r="E10" s="20">
        <v>0</v>
      </c>
      <c r="F10" s="291" t="s">
        <v>983</v>
      </c>
      <c r="G10" s="291" t="s">
        <v>983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"/>
      <c r="P10" s="2"/>
      <c r="Q10" s="2"/>
      <c r="R10" s="2"/>
      <c r="S10" s="2"/>
      <c r="T10" s="2"/>
    </row>
    <row r="11" spans="1:20" ht="12.75">
      <c r="A11" s="2" t="s">
        <v>987</v>
      </c>
      <c r="B11" s="20">
        <f>SUM('Apprp. Database'!E20:E23)</f>
        <v>55513716</v>
      </c>
      <c r="C11" s="20">
        <f>SUM('Apprp. Database'!F20:F23)</f>
        <v>55828620</v>
      </c>
      <c r="D11" s="20">
        <v>0</v>
      </c>
      <c r="E11" s="20">
        <v>0</v>
      </c>
      <c r="F11" s="291" t="s">
        <v>983</v>
      </c>
      <c r="G11" s="291" t="s">
        <v>983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"/>
      <c r="P11" s="2"/>
      <c r="Q11" s="2"/>
      <c r="R11" s="2"/>
      <c r="S11" s="2"/>
      <c r="T11" s="2"/>
    </row>
    <row r="12" spans="1:20" ht="12.75">
      <c r="A12" s="2" t="s">
        <v>988</v>
      </c>
      <c r="B12" s="20">
        <f>SUM('Apprp. Database'!E24)</f>
        <v>8298204</v>
      </c>
      <c r="C12" s="20">
        <f>SUM('Apprp. Database'!F24)</f>
        <v>7267596</v>
      </c>
      <c r="D12" s="20">
        <v>0</v>
      </c>
      <c r="E12" s="20">
        <v>0</v>
      </c>
      <c r="F12" s="291" t="s">
        <v>983</v>
      </c>
      <c r="G12" s="291" t="s">
        <v>983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"/>
      <c r="P12" s="2"/>
      <c r="Q12" s="2"/>
      <c r="R12" s="2"/>
      <c r="S12" s="2"/>
      <c r="T12" s="2"/>
    </row>
    <row r="13" spans="1:20" ht="12.75">
      <c r="A13" s="2" t="s">
        <v>994</v>
      </c>
      <c r="B13" s="20">
        <f>SUM('Apprp. Database'!E25:E46)</f>
        <v>157270571</v>
      </c>
      <c r="C13" s="20">
        <f>SUM('Apprp. Database'!F25:F46)</f>
        <v>158872118</v>
      </c>
      <c r="D13" s="20">
        <v>0</v>
      </c>
      <c r="E13" s="20">
        <v>0</v>
      </c>
      <c r="F13" s="20"/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"/>
      <c r="P13" s="2"/>
      <c r="Q13" s="2"/>
      <c r="R13" s="2"/>
      <c r="S13" s="2"/>
      <c r="T13" s="2"/>
    </row>
    <row r="14" spans="1:20" ht="12.75">
      <c r="A14" s="2" t="s">
        <v>991</v>
      </c>
      <c r="B14" s="20">
        <f>SUM('Apprp. Database'!E47:E56)</f>
        <v>35937429</v>
      </c>
      <c r="C14" s="20">
        <f>SUM('Apprp. Database'!F47:F56)</f>
        <v>35596296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"/>
      <c r="P14" s="2"/>
      <c r="Q14" s="2"/>
      <c r="R14" s="2"/>
      <c r="S14" s="2"/>
      <c r="T14" s="2"/>
    </row>
    <row r="15" spans="1:20" ht="12.75">
      <c r="A15" s="2" t="s">
        <v>992</v>
      </c>
      <c r="B15" s="20">
        <v>0</v>
      </c>
      <c r="C15" s="20">
        <v>0</v>
      </c>
      <c r="D15" s="20">
        <v>0</v>
      </c>
      <c r="E15" s="20">
        <v>0</v>
      </c>
      <c r="F15" s="291" t="s">
        <v>983</v>
      </c>
      <c r="G15" s="291" t="s">
        <v>983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0"/>
      <c r="C16" s="2"/>
      <c r="D16" s="20"/>
      <c r="E16" s="20"/>
      <c r="F16" s="2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 t="s">
        <v>993</v>
      </c>
      <c r="B17" s="2">
        <f aca="true" t="shared" si="0" ref="B17:N17">SUM(B7:B15)</f>
        <v>646592374</v>
      </c>
      <c r="C17" s="2">
        <f t="shared" si="0"/>
        <v>651224769</v>
      </c>
      <c r="D17" s="2">
        <f t="shared" si="0"/>
        <v>14936343</v>
      </c>
      <c r="E17" s="2">
        <f t="shared" si="0"/>
        <v>188285267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47221265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/>
      <c r="P17" s="2"/>
      <c r="Q17" s="2"/>
      <c r="R17" s="2"/>
      <c r="S17" s="2"/>
      <c r="T17" s="2"/>
    </row>
    <row r="18" spans="1:20" ht="12.75">
      <c r="A18" s="2"/>
      <c r="B18" s="291" t="s">
        <v>977</v>
      </c>
      <c r="C18" s="291" t="s">
        <v>977</v>
      </c>
      <c r="D18" s="291" t="s">
        <v>977</v>
      </c>
      <c r="E18" s="291" t="s">
        <v>977</v>
      </c>
      <c r="F18" s="291" t="s">
        <v>977</v>
      </c>
      <c r="G18" s="291" t="s">
        <v>977</v>
      </c>
      <c r="H18" s="291" t="s">
        <v>977</v>
      </c>
      <c r="I18" s="291" t="s">
        <v>977</v>
      </c>
      <c r="J18" s="291" t="s">
        <v>977</v>
      </c>
      <c r="K18" s="291" t="s">
        <v>977</v>
      </c>
      <c r="L18" s="291" t="s">
        <v>977</v>
      </c>
      <c r="M18" s="291" t="s">
        <v>977</v>
      </c>
      <c r="N18" s="291" t="s">
        <v>977</v>
      </c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0" t="s">
        <v>111</v>
      </c>
      <c r="B20" s="195"/>
      <c r="C20" s="195"/>
      <c r="D20" s="196" t="s">
        <v>997</v>
      </c>
      <c r="E20" s="195"/>
      <c r="F20" s="195"/>
      <c r="G20" s="195"/>
      <c r="H20" s="196"/>
      <c r="I20" s="116"/>
      <c r="J20" s="116"/>
      <c r="K20" s="116"/>
      <c r="L20" s="116"/>
      <c r="M20" s="116"/>
      <c r="N20" s="116"/>
      <c r="O20" s="2"/>
      <c r="P20" s="2"/>
      <c r="Q20" s="2"/>
      <c r="R20" s="2"/>
      <c r="S20" s="2"/>
      <c r="T20" s="2"/>
    </row>
    <row r="21" spans="1:20" ht="12.75">
      <c r="A21" s="2"/>
      <c r="B21" s="195"/>
      <c r="C21" s="195"/>
      <c r="D21" s="195" t="s">
        <v>998</v>
      </c>
      <c r="E21" s="195"/>
      <c r="F21" s="195"/>
      <c r="G21" s="195"/>
      <c r="H21" s="197" t="s">
        <v>929</v>
      </c>
      <c r="I21" s="197"/>
      <c r="J21" s="197"/>
      <c r="K21" s="197"/>
      <c r="L21" s="197"/>
      <c r="M21" s="197"/>
      <c r="N21" s="197"/>
      <c r="O21" s="2"/>
      <c r="P21" s="2"/>
      <c r="Q21" s="2"/>
      <c r="R21" s="2"/>
      <c r="S21" s="2"/>
      <c r="T21" s="2"/>
    </row>
    <row r="22" spans="1:20" ht="12.75">
      <c r="A22" s="2"/>
      <c r="B22" s="293" t="s">
        <v>977</v>
      </c>
      <c r="C22" s="293" t="s">
        <v>977</v>
      </c>
      <c r="D22" s="293" t="s">
        <v>977</v>
      </c>
      <c r="E22" s="293" t="s">
        <v>977</v>
      </c>
      <c r="F22" s="293" t="s">
        <v>977</v>
      </c>
      <c r="G22" s="293" t="s">
        <v>977</v>
      </c>
      <c r="H22" s="116" t="s">
        <v>932</v>
      </c>
      <c r="I22" s="196"/>
      <c r="J22" s="116"/>
      <c r="K22" s="196"/>
      <c r="L22" s="116"/>
      <c r="M22" s="116"/>
      <c r="N22" s="196"/>
      <c r="O22" s="2"/>
      <c r="P22" s="2"/>
      <c r="Q22" s="2"/>
      <c r="R22" s="2"/>
      <c r="S22" s="2"/>
      <c r="T22" s="2"/>
    </row>
    <row r="23" spans="1:20" ht="12.75">
      <c r="A23" s="2"/>
      <c r="B23" s="196" t="s">
        <v>999</v>
      </c>
      <c r="C23" s="196" t="s">
        <v>999</v>
      </c>
      <c r="D23" s="195"/>
      <c r="E23" s="195"/>
      <c r="F23" s="195"/>
      <c r="G23" s="195"/>
      <c r="H23" s="116" t="s">
        <v>935</v>
      </c>
      <c r="I23" s="116" t="s">
        <v>936</v>
      </c>
      <c r="J23" s="116" t="s">
        <v>937</v>
      </c>
      <c r="K23" s="116" t="s">
        <v>937</v>
      </c>
      <c r="L23" s="116" t="s">
        <v>938</v>
      </c>
      <c r="M23" s="196"/>
      <c r="N23" s="196"/>
      <c r="O23" s="2"/>
      <c r="P23" s="2"/>
      <c r="Q23" s="2"/>
      <c r="R23" s="2"/>
      <c r="S23" s="2"/>
      <c r="T23" s="2"/>
    </row>
    <row r="24" spans="1:20" ht="12.75">
      <c r="A24" s="2"/>
      <c r="B24" s="196" t="s">
        <v>1000</v>
      </c>
      <c r="C24" s="196" t="s">
        <v>1000</v>
      </c>
      <c r="D24" s="196" t="s">
        <v>1001</v>
      </c>
      <c r="E24" s="196" t="s">
        <v>950</v>
      </c>
      <c r="F24" s="196" t="s">
        <v>1002</v>
      </c>
      <c r="G24" s="196" t="s">
        <v>1002</v>
      </c>
      <c r="H24" s="116" t="s">
        <v>942</v>
      </c>
      <c r="I24" s="116" t="s">
        <v>943</v>
      </c>
      <c r="J24" s="116" t="s">
        <v>944</v>
      </c>
      <c r="K24" s="116" t="s">
        <v>945</v>
      </c>
      <c r="L24" s="116" t="s">
        <v>945</v>
      </c>
      <c r="M24" s="116" t="s">
        <v>946</v>
      </c>
      <c r="N24" s="196"/>
      <c r="O24" s="2"/>
      <c r="P24" s="2"/>
      <c r="Q24" s="2"/>
      <c r="R24" s="2"/>
      <c r="S24" s="2"/>
      <c r="T24" s="2"/>
    </row>
    <row r="25" spans="1:20" ht="12.75">
      <c r="A25" s="2"/>
      <c r="B25" s="198" t="s">
        <v>1003</v>
      </c>
      <c r="C25" s="198" t="s">
        <v>930</v>
      </c>
      <c r="D25" s="199"/>
      <c r="E25" s="199"/>
      <c r="F25" s="198" t="s">
        <v>947</v>
      </c>
      <c r="G25" s="198" t="s">
        <v>930</v>
      </c>
      <c r="H25" s="197" t="s">
        <v>951</v>
      </c>
      <c r="I25" s="197" t="s">
        <v>941</v>
      </c>
      <c r="J25" s="197" t="s">
        <v>952</v>
      </c>
      <c r="K25" s="197" t="s">
        <v>953</v>
      </c>
      <c r="L25" s="197" t="s">
        <v>953</v>
      </c>
      <c r="M25" s="197" t="s">
        <v>951</v>
      </c>
      <c r="N25" s="197" t="s">
        <v>950</v>
      </c>
      <c r="O25" s="2"/>
      <c r="P25" s="2"/>
      <c r="Q25" s="2"/>
      <c r="R25" s="2"/>
      <c r="S25" s="2"/>
      <c r="T25" s="2"/>
    </row>
    <row r="26" spans="1:20" ht="12.75">
      <c r="A26" s="2" t="s">
        <v>982</v>
      </c>
      <c r="B26" s="20">
        <f>'Apprp. Database'!E57</f>
        <v>78195735</v>
      </c>
      <c r="C26" s="20">
        <f>'Apprp. Database'!F57</f>
        <v>78761831</v>
      </c>
      <c r="D26" s="20">
        <v>0</v>
      </c>
      <c r="E26" s="20">
        <v>0</v>
      </c>
      <c r="F26" s="291" t="s">
        <v>983</v>
      </c>
      <c r="G26" s="291" t="s">
        <v>983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"/>
      <c r="P26" s="2"/>
      <c r="Q26" s="2"/>
      <c r="R26" s="2"/>
      <c r="S26" s="2"/>
      <c r="T26" s="2"/>
    </row>
    <row r="27" spans="1:20" ht="12.75">
      <c r="A27" s="2" t="s">
        <v>984</v>
      </c>
      <c r="B27" s="20"/>
      <c r="C27" s="20"/>
      <c r="D27" s="20">
        <v>0</v>
      </c>
      <c r="E27" s="20">
        <v>0</v>
      </c>
      <c r="F27" s="291" t="s">
        <v>983</v>
      </c>
      <c r="G27" s="291" t="s">
        <v>983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"/>
      <c r="P27" s="2"/>
      <c r="Q27" s="2"/>
      <c r="R27" s="2"/>
      <c r="S27" s="2"/>
      <c r="T27" s="2"/>
    </row>
    <row r="28" spans="1:20" ht="12.75">
      <c r="A28" s="2" t="s">
        <v>985</v>
      </c>
      <c r="B28" s="20">
        <f>SUM('Apprp. Database'!E58:E60)</f>
        <v>112303782</v>
      </c>
      <c r="C28" s="20">
        <f>SUM('Apprp. Database'!F58:F60)</f>
        <v>114364114</v>
      </c>
      <c r="D28" s="20">
        <v>0</v>
      </c>
      <c r="E28" s="20">
        <v>0</v>
      </c>
      <c r="F28" s="291" t="s">
        <v>983</v>
      </c>
      <c r="G28" s="291" t="s">
        <v>983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"/>
      <c r="P28" s="2"/>
      <c r="Q28" s="2"/>
      <c r="R28" s="2"/>
      <c r="S28" s="2"/>
      <c r="T28" s="2"/>
    </row>
    <row r="29" spans="1:20" ht="12.75">
      <c r="A29" s="2" t="s">
        <v>986</v>
      </c>
      <c r="B29" s="20"/>
      <c r="C29" s="20"/>
      <c r="D29" s="20">
        <v>0</v>
      </c>
      <c r="E29" s="20">
        <v>0</v>
      </c>
      <c r="F29" s="291" t="s">
        <v>983</v>
      </c>
      <c r="G29" s="291" t="s">
        <v>983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"/>
      <c r="P29" s="2"/>
      <c r="Q29" s="2"/>
      <c r="R29" s="2"/>
      <c r="S29" s="2"/>
      <c r="T29" s="2"/>
    </row>
    <row r="30" spans="1:20" ht="12.75">
      <c r="A30" s="2" t="s">
        <v>987</v>
      </c>
      <c r="B30" s="20">
        <f>SUM('Apprp. Database'!E61:E62)</f>
        <v>29277933</v>
      </c>
      <c r="C30" s="20">
        <f>SUM('Apprp. Database'!F61:F62)</f>
        <v>29725679</v>
      </c>
      <c r="D30" s="20">
        <v>0</v>
      </c>
      <c r="E30" s="20">
        <v>0</v>
      </c>
      <c r="F30" s="291" t="s">
        <v>983</v>
      </c>
      <c r="G30" s="291" t="s">
        <v>983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"/>
      <c r="P30" s="2"/>
      <c r="Q30" s="2"/>
      <c r="R30" s="2"/>
      <c r="S30" s="2"/>
      <c r="T30" s="2"/>
    </row>
    <row r="31" spans="1:20" ht="12.75">
      <c r="A31" s="2" t="s">
        <v>988</v>
      </c>
      <c r="B31" s="20">
        <f>SUM('Apprp. Database'!E63:E65)</f>
        <v>34671574</v>
      </c>
      <c r="C31" s="20">
        <f>SUM('Apprp. Database'!F63:F65)</f>
        <v>35372657</v>
      </c>
      <c r="D31" s="20">
        <v>0</v>
      </c>
      <c r="E31" s="20">
        <v>0</v>
      </c>
      <c r="F31" s="291" t="s">
        <v>983</v>
      </c>
      <c r="G31" s="291" t="s">
        <v>983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"/>
      <c r="P31" s="2"/>
      <c r="Q31" s="2"/>
      <c r="R31" s="2"/>
      <c r="S31" s="2"/>
      <c r="T31" s="2"/>
    </row>
    <row r="32" spans="1:20" ht="12.75">
      <c r="A32" s="2" t="s">
        <v>994</v>
      </c>
      <c r="B32" s="20">
        <f>SUM('Apprp. Database'!E66:E87)</f>
        <v>78988651</v>
      </c>
      <c r="C32" s="20">
        <f>SUM('Apprp. Database'!F66:F87)</f>
        <v>81303390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"/>
      <c r="P32" s="2"/>
      <c r="Q32" s="2"/>
      <c r="R32" s="2"/>
      <c r="S32" s="2"/>
      <c r="T32" s="2"/>
    </row>
    <row r="33" spans="1:20" ht="12.75">
      <c r="A33" s="2" t="s">
        <v>991</v>
      </c>
      <c r="B33" s="20"/>
      <c r="C33" s="20"/>
      <c r="D33" s="20"/>
      <c r="E33" s="20"/>
      <c r="F33" s="20"/>
      <c r="G33" s="2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 t="s">
        <v>992</v>
      </c>
      <c r="B34" s="20">
        <f>'Apprp. Database'!I88</f>
        <v>0</v>
      </c>
      <c r="C34" s="20">
        <f>'Apprp. Database'!F88</f>
        <v>0</v>
      </c>
      <c r="D34" s="20">
        <v>0</v>
      </c>
      <c r="E34" s="20">
        <f>'Apprp. Database'!J88</f>
        <v>61000809</v>
      </c>
      <c r="F34" s="291" t="s">
        <v>983</v>
      </c>
      <c r="G34" s="291" t="s">
        <v>983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 t="s">
        <v>993</v>
      </c>
      <c r="B36" s="2">
        <f aca="true" t="shared" si="1" ref="B36:N36">SUM(B26:B34)</f>
        <v>333437675</v>
      </c>
      <c r="C36" s="2">
        <f t="shared" si="1"/>
        <v>339527671</v>
      </c>
      <c r="D36" s="2">
        <f t="shared" si="1"/>
        <v>0</v>
      </c>
      <c r="E36" s="2">
        <f t="shared" si="1"/>
        <v>61000809</v>
      </c>
      <c r="F36" s="2">
        <f t="shared" si="1"/>
        <v>0</v>
      </c>
      <c r="G36" s="2">
        <f t="shared" si="1"/>
        <v>0</v>
      </c>
      <c r="H36" s="2">
        <f t="shared" si="1"/>
        <v>0</v>
      </c>
      <c r="I36" s="2">
        <f t="shared" si="1"/>
        <v>0</v>
      </c>
      <c r="J36" s="2">
        <f t="shared" si="1"/>
        <v>0</v>
      </c>
      <c r="K36" s="2">
        <f t="shared" si="1"/>
        <v>0</v>
      </c>
      <c r="L36" s="2">
        <f t="shared" si="1"/>
        <v>0</v>
      </c>
      <c r="M36" s="2">
        <f t="shared" si="1"/>
        <v>0</v>
      </c>
      <c r="N36" s="2">
        <f t="shared" si="1"/>
        <v>0</v>
      </c>
      <c r="O36" s="2"/>
      <c r="P36" s="2"/>
      <c r="Q36" s="2"/>
      <c r="R36" s="2"/>
      <c r="S36" s="2"/>
      <c r="T36" s="2"/>
    </row>
    <row r="37" spans="1:20" ht="12.75">
      <c r="A37" s="2"/>
      <c r="B37" s="291" t="s">
        <v>977</v>
      </c>
      <c r="C37" s="291" t="s">
        <v>977</v>
      </c>
      <c r="D37" s="291" t="s">
        <v>977</v>
      </c>
      <c r="E37" s="291" t="s">
        <v>977</v>
      </c>
      <c r="F37" s="291" t="s">
        <v>977</v>
      </c>
      <c r="G37" s="291" t="s">
        <v>977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00"/>
      <c r="I38" s="201"/>
      <c r="J38" s="201"/>
      <c r="K38" s="201"/>
      <c r="L38" s="201"/>
      <c r="M38" s="201"/>
      <c r="N38" s="202"/>
      <c r="O38" s="2"/>
      <c r="P38" s="2"/>
      <c r="Q38" s="2"/>
      <c r="R38" s="2"/>
      <c r="S38" s="2"/>
      <c r="T38" s="2"/>
    </row>
    <row r="39" spans="1:20" ht="12.75">
      <c r="A39" s="20" t="s">
        <v>144</v>
      </c>
      <c r="B39" s="195"/>
      <c r="C39" s="195"/>
      <c r="D39" s="196" t="s">
        <v>997</v>
      </c>
      <c r="E39" s="195"/>
      <c r="F39" s="195"/>
      <c r="G39" s="195"/>
      <c r="H39" s="196"/>
      <c r="I39" s="116"/>
      <c r="J39" s="116"/>
      <c r="K39" s="116"/>
      <c r="L39" s="116"/>
      <c r="M39" s="116"/>
      <c r="N39" s="116"/>
      <c r="O39" s="2"/>
      <c r="P39" s="2"/>
      <c r="Q39" s="2"/>
      <c r="R39" s="2"/>
      <c r="S39" s="2"/>
      <c r="T39" s="2"/>
    </row>
    <row r="40" spans="1:20" ht="12.75">
      <c r="A40" s="2"/>
      <c r="B40" s="195"/>
      <c r="C40" s="195"/>
      <c r="D40" s="195" t="s">
        <v>998</v>
      </c>
      <c r="E40" s="195"/>
      <c r="F40" s="195"/>
      <c r="G40" s="195"/>
      <c r="H40" s="197" t="s">
        <v>929</v>
      </c>
      <c r="I40" s="197"/>
      <c r="J40" s="197"/>
      <c r="K40" s="197"/>
      <c r="L40" s="197"/>
      <c r="M40" s="197"/>
      <c r="N40" s="197"/>
      <c r="O40" s="2"/>
      <c r="P40" s="2"/>
      <c r="Q40" s="2"/>
      <c r="R40" s="2"/>
      <c r="S40" s="2"/>
      <c r="T40" s="2"/>
    </row>
    <row r="41" spans="1:20" ht="12.75">
      <c r="A41" s="2"/>
      <c r="B41" s="293" t="s">
        <v>977</v>
      </c>
      <c r="C41" s="293" t="s">
        <v>977</v>
      </c>
      <c r="D41" s="293" t="s">
        <v>977</v>
      </c>
      <c r="E41" s="293" t="s">
        <v>977</v>
      </c>
      <c r="F41" s="293" t="s">
        <v>977</v>
      </c>
      <c r="G41" s="293" t="s">
        <v>977</v>
      </c>
      <c r="H41" s="116" t="s">
        <v>932</v>
      </c>
      <c r="I41" s="196"/>
      <c r="J41" s="116"/>
      <c r="K41" s="196"/>
      <c r="L41" s="116"/>
      <c r="M41" s="116"/>
      <c r="N41" s="196"/>
      <c r="O41" s="2"/>
      <c r="P41" s="2"/>
      <c r="Q41" s="2"/>
      <c r="R41" s="2"/>
      <c r="S41" s="2"/>
      <c r="T41" s="2"/>
    </row>
    <row r="42" spans="1:20" ht="12.75">
      <c r="A42" s="2"/>
      <c r="B42" s="196" t="s">
        <v>999</v>
      </c>
      <c r="C42" s="196" t="s">
        <v>999</v>
      </c>
      <c r="D42" s="195"/>
      <c r="E42" s="195"/>
      <c r="F42" s="195"/>
      <c r="G42" s="195"/>
      <c r="H42" s="116" t="s">
        <v>935</v>
      </c>
      <c r="I42" s="116" t="s">
        <v>936</v>
      </c>
      <c r="J42" s="116" t="s">
        <v>937</v>
      </c>
      <c r="K42" s="116" t="s">
        <v>937</v>
      </c>
      <c r="L42" s="116" t="s">
        <v>938</v>
      </c>
      <c r="M42" s="196"/>
      <c r="N42" s="196"/>
      <c r="O42" s="2"/>
      <c r="P42" s="2"/>
      <c r="Q42" s="2"/>
      <c r="R42" s="2"/>
      <c r="S42" s="2"/>
      <c r="T42" s="2"/>
    </row>
    <row r="43" spans="1:20" ht="12.75">
      <c r="A43" s="2"/>
      <c r="B43" s="196" t="s">
        <v>1000</v>
      </c>
      <c r="C43" s="196" t="s">
        <v>1000</v>
      </c>
      <c r="D43" s="196" t="s">
        <v>1001</v>
      </c>
      <c r="E43" s="196" t="s">
        <v>950</v>
      </c>
      <c r="F43" s="196" t="s">
        <v>1002</v>
      </c>
      <c r="G43" s="196" t="s">
        <v>1002</v>
      </c>
      <c r="H43" s="116" t="s">
        <v>942</v>
      </c>
      <c r="I43" s="116" t="s">
        <v>943</v>
      </c>
      <c r="J43" s="116" t="s">
        <v>944</v>
      </c>
      <c r="K43" s="116" t="s">
        <v>945</v>
      </c>
      <c r="L43" s="116" t="s">
        <v>945</v>
      </c>
      <c r="M43" s="116" t="s">
        <v>946</v>
      </c>
      <c r="N43" s="196"/>
      <c r="O43" s="2"/>
      <c r="P43" s="2"/>
      <c r="Q43" s="2"/>
      <c r="R43" s="2"/>
      <c r="S43" s="2"/>
      <c r="T43" s="2"/>
    </row>
    <row r="44" spans="1:20" ht="12.75">
      <c r="A44" s="2"/>
      <c r="B44" s="198" t="s">
        <v>1003</v>
      </c>
      <c r="C44" s="198" t="s">
        <v>930</v>
      </c>
      <c r="D44" s="199"/>
      <c r="E44" s="199"/>
      <c r="F44" s="198" t="s">
        <v>947</v>
      </c>
      <c r="G44" s="198" t="s">
        <v>930</v>
      </c>
      <c r="H44" s="197" t="s">
        <v>951</v>
      </c>
      <c r="I44" s="197" t="s">
        <v>941</v>
      </c>
      <c r="J44" s="197" t="s">
        <v>952</v>
      </c>
      <c r="K44" s="197" t="s">
        <v>953</v>
      </c>
      <c r="L44" s="197" t="s">
        <v>953</v>
      </c>
      <c r="M44" s="197" t="s">
        <v>951</v>
      </c>
      <c r="N44" s="197" t="s">
        <v>950</v>
      </c>
      <c r="O44" s="2"/>
      <c r="P44" s="2"/>
      <c r="Q44" s="2"/>
      <c r="R44" s="2"/>
      <c r="S44" s="2"/>
      <c r="T44" s="2"/>
    </row>
    <row r="45" spans="1:20" ht="12.75">
      <c r="A45" s="2" t="s">
        <v>982</v>
      </c>
      <c r="B45" s="20">
        <f>SUM('Apprp. Database'!E89:E91)</f>
        <v>551679817</v>
      </c>
      <c r="C45" s="20">
        <f>SUM('Apprp. Database'!F89:F91)</f>
        <v>578854818</v>
      </c>
      <c r="D45" s="20">
        <v>0</v>
      </c>
      <c r="E45" s="20">
        <f>SUM('Apprp. Database'!J90:J91)</f>
        <v>154079232</v>
      </c>
      <c r="F45" s="291" t="s">
        <v>983</v>
      </c>
      <c r="G45" s="291" t="s">
        <v>983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"/>
      <c r="P45" s="2"/>
      <c r="Q45" s="2"/>
      <c r="R45" s="2"/>
      <c r="S45" s="2"/>
      <c r="T45" s="2"/>
    </row>
    <row r="46" spans="1:20" ht="12.75">
      <c r="A46" s="2" t="s">
        <v>984</v>
      </c>
      <c r="B46" s="20">
        <f>SUM('Apprp. Database'!E92:E93)</f>
        <v>183317391</v>
      </c>
      <c r="C46" s="20">
        <f>SUM('Apprp. Database'!F92:F93)</f>
        <v>196014533</v>
      </c>
      <c r="D46" s="20">
        <v>0</v>
      </c>
      <c r="E46" s="20">
        <v>0</v>
      </c>
      <c r="F46" s="291" t="s">
        <v>983</v>
      </c>
      <c r="G46" s="291" t="s">
        <v>983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"/>
      <c r="P46" s="2"/>
      <c r="Q46" s="2"/>
      <c r="R46" s="2"/>
      <c r="S46" s="2"/>
      <c r="T46" s="2"/>
    </row>
    <row r="47" spans="1:20" ht="12.75">
      <c r="A47" s="2" t="s">
        <v>985</v>
      </c>
      <c r="B47" s="20">
        <f>SUM('Apprp. Database'!E94:E95)</f>
        <v>151036592</v>
      </c>
      <c r="C47" s="20">
        <f>SUM('Apprp. Database'!F94:F95)</f>
        <v>165050471</v>
      </c>
      <c r="D47" s="20">
        <v>0</v>
      </c>
      <c r="E47" s="20">
        <v>0</v>
      </c>
      <c r="F47" s="291" t="s">
        <v>983</v>
      </c>
      <c r="G47" s="291" t="s">
        <v>983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"/>
      <c r="P47" s="2"/>
      <c r="Q47" s="2"/>
      <c r="R47" s="2"/>
      <c r="S47" s="2"/>
      <c r="T47" s="2"/>
    </row>
    <row r="48" spans="1:20" ht="12.75">
      <c r="A48" s="2" t="s">
        <v>986</v>
      </c>
      <c r="B48" s="20">
        <f>SUM('Apprp. Database'!E96:E97)</f>
        <v>100381645</v>
      </c>
      <c r="C48" s="20">
        <f>SUM('Apprp. Database'!F96:F97)</f>
        <v>106154469</v>
      </c>
      <c r="D48" s="20">
        <v>0</v>
      </c>
      <c r="E48" s="20">
        <v>0</v>
      </c>
      <c r="F48" s="291" t="s">
        <v>983</v>
      </c>
      <c r="G48" s="291" t="s">
        <v>983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"/>
      <c r="P48" s="2"/>
      <c r="Q48" s="2"/>
      <c r="R48" s="2"/>
      <c r="S48" s="2"/>
      <c r="T48" s="2"/>
    </row>
    <row r="49" spans="1:20" ht="12.75">
      <c r="A49" s="2" t="s">
        <v>987</v>
      </c>
      <c r="B49" s="20"/>
      <c r="C49" s="20"/>
      <c r="D49" s="20">
        <v>0</v>
      </c>
      <c r="E49" s="20">
        <v>0</v>
      </c>
      <c r="F49" s="291" t="s">
        <v>983</v>
      </c>
      <c r="G49" s="291" t="s">
        <v>983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"/>
      <c r="P49" s="2"/>
      <c r="Q49" s="2"/>
      <c r="R49" s="2"/>
      <c r="S49" s="2"/>
      <c r="T49" s="2"/>
    </row>
    <row r="50" spans="1:20" ht="12.75">
      <c r="A50" s="2" t="s">
        <v>988</v>
      </c>
      <c r="B50" s="20"/>
      <c r="C50" s="20"/>
      <c r="D50" s="20">
        <v>0</v>
      </c>
      <c r="E50" s="20">
        <v>0</v>
      </c>
      <c r="F50" s="291" t="s">
        <v>983</v>
      </c>
      <c r="G50" s="291" t="s">
        <v>983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"/>
      <c r="P50" s="2"/>
      <c r="Q50" s="2"/>
      <c r="R50" s="2"/>
      <c r="S50" s="2"/>
      <c r="T50" s="2"/>
    </row>
    <row r="51" spans="1:20" ht="12.75">
      <c r="A51" s="2" t="s">
        <v>994</v>
      </c>
      <c r="B51" s="20">
        <f>SUM('Apprp. Database'!E99:E126)</f>
        <v>643917492.9999999</v>
      </c>
      <c r="C51" s="20">
        <f>SUM('Apprp. Database'!F99:F126)</f>
        <v>679175852.5999999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"/>
      <c r="P51" s="2"/>
      <c r="Q51" s="2"/>
      <c r="R51" s="2"/>
      <c r="S51" s="2"/>
      <c r="T51" s="2"/>
    </row>
    <row r="52" spans="1:20" ht="12.75">
      <c r="A52" s="2" t="s">
        <v>991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"/>
      <c r="P52" s="2"/>
      <c r="Q52" s="2"/>
      <c r="R52" s="2"/>
      <c r="S52" s="2"/>
      <c r="T52" s="2"/>
    </row>
    <row r="53" spans="1:20" ht="12.75">
      <c r="A53" s="2" t="s">
        <v>992</v>
      </c>
      <c r="B53" s="20">
        <v>0</v>
      </c>
      <c r="C53" s="20">
        <v>0</v>
      </c>
      <c r="D53" s="20">
        <v>0</v>
      </c>
      <c r="E53" s="20">
        <v>0</v>
      </c>
      <c r="F53" s="291" t="s">
        <v>983</v>
      </c>
      <c r="G53" s="291" t="s">
        <v>983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 t="s">
        <v>993</v>
      </c>
      <c r="B55" s="2">
        <f aca="true" t="shared" si="2" ref="B55:N55">SUM(B45:B53)</f>
        <v>1630332938</v>
      </c>
      <c r="C55" s="2">
        <f t="shared" si="2"/>
        <v>1725250143.6</v>
      </c>
      <c r="D55" s="2">
        <f t="shared" si="2"/>
        <v>0</v>
      </c>
      <c r="E55" s="2">
        <f t="shared" si="2"/>
        <v>154079232</v>
      </c>
      <c r="F55" s="2">
        <f t="shared" si="2"/>
        <v>0</v>
      </c>
      <c r="G55" s="2">
        <f t="shared" si="2"/>
        <v>0</v>
      </c>
      <c r="H55" s="2">
        <f t="shared" si="2"/>
        <v>0</v>
      </c>
      <c r="I55" s="2">
        <f t="shared" si="2"/>
        <v>0</v>
      </c>
      <c r="J55" s="2">
        <f t="shared" si="2"/>
        <v>0</v>
      </c>
      <c r="K55" s="2">
        <f t="shared" si="2"/>
        <v>0</v>
      </c>
      <c r="L55" s="2">
        <f t="shared" si="2"/>
        <v>0</v>
      </c>
      <c r="M55" s="2">
        <f t="shared" si="2"/>
        <v>0</v>
      </c>
      <c r="N55" s="2">
        <f t="shared" si="2"/>
        <v>0</v>
      </c>
      <c r="O55" s="2"/>
      <c r="P55" s="2"/>
      <c r="Q55" s="2"/>
      <c r="R55" s="2"/>
      <c r="S55" s="2"/>
      <c r="T55" s="2"/>
    </row>
    <row r="56" spans="1:20" ht="12.75">
      <c r="A56" s="2"/>
      <c r="B56" s="291" t="s">
        <v>977</v>
      </c>
      <c r="C56" s="291" t="s">
        <v>977</v>
      </c>
      <c r="D56" s="291" t="s">
        <v>977</v>
      </c>
      <c r="E56" s="291" t="s">
        <v>977</v>
      </c>
      <c r="F56" s="291" t="s">
        <v>977</v>
      </c>
      <c r="G56" s="291" t="s">
        <v>977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0" t="s">
        <v>195</v>
      </c>
      <c r="B58" s="195"/>
      <c r="C58" s="195"/>
      <c r="D58" s="196" t="s">
        <v>997</v>
      </c>
      <c r="E58" s="195"/>
      <c r="F58" s="195"/>
      <c r="G58" s="195"/>
      <c r="H58" s="196"/>
      <c r="I58" s="116"/>
      <c r="J58" s="116"/>
      <c r="K58" s="116"/>
      <c r="L58" s="116"/>
      <c r="M58" s="116"/>
      <c r="N58" s="116"/>
      <c r="O58" s="2"/>
      <c r="P58" s="2"/>
      <c r="Q58" s="2"/>
      <c r="R58" s="2"/>
      <c r="S58" s="2"/>
      <c r="T58" s="2"/>
    </row>
    <row r="59" spans="1:20" ht="12.75">
      <c r="A59" s="2"/>
      <c r="B59" s="195"/>
      <c r="C59" s="195"/>
      <c r="D59" s="195" t="s">
        <v>998</v>
      </c>
      <c r="E59" s="195"/>
      <c r="F59" s="195"/>
      <c r="G59" s="195"/>
      <c r="H59" s="197" t="s">
        <v>929</v>
      </c>
      <c r="I59" s="197"/>
      <c r="J59" s="197"/>
      <c r="K59" s="197"/>
      <c r="L59" s="197"/>
      <c r="M59" s="197"/>
      <c r="N59" s="197"/>
      <c r="O59" s="2"/>
      <c r="P59" s="2"/>
      <c r="Q59" s="2"/>
      <c r="R59" s="2"/>
      <c r="S59" s="2"/>
      <c r="T59" s="2"/>
    </row>
    <row r="60" spans="1:20" ht="12.75">
      <c r="A60" s="2"/>
      <c r="B60" s="293" t="s">
        <v>977</v>
      </c>
      <c r="C60" s="293" t="s">
        <v>977</v>
      </c>
      <c r="D60" s="293" t="s">
        <v>977</v>
      </c>
      <c r="E60" s="293" t="s">
        <v>977</v>
      </c>
      <c r="F60" s="293" t="s">
        <v>977</v>
      </c>
      <c r="G60" s="293" t="s">
        <v>977</v>
      </c>
      <c r="H60" s="116" t="s">
        <v>932</v>
      </c>
      <c r="I60" s="196"/>
      <c r="J60" s="116"/>
      <c r="K60" s="196"/>
      <c r="L60" s="116"/>
      <c r="M60" s="116"/>
      <c r="N60" s="196"/>
      <c r="O60" s="2"/>
      <c r="P60" s="2"/>
      <c r="Q60" s="2"/>
      <c r="R60" s="2"/>
      <c r="S60" s="2"/>
      <c r="T60" s="2"/>
    </row>
    <row r="61" spans="1:20" ht="12.75">
      <c r="A61" s="2"/>
      <c r="B61" s="196" t="s">
        <v>999</v>
      </c>
      <c r="C61" s="196" t="s">
        <v>999</v>
      </c>
      <c r="D61" s="195"/>
      <c r="E61" s="195"/>
      <c r="F61" s="195"/>
      <c r="G61" s="195"/>
      <c r="H61" s="116" t="s">
        <v>935</v>
      </c>
      <c r="I61" s="116" t="s">
        <v>936</v>
      </c>
      <c r="J61" s="116" t="s">
        <v>937</v>
      </c>
      <c r="K61" s="116" t="s">
        <v>937</v>
      </c>
      <c r="L61" s="116" t="s">
        <v>938</v>
      </c>
      <c r="M61" s="196"/>
      <c r="N61" s="196"/>
      <c r="O61" s="2"/>
      <c r="P61" s="2"/>
      <c r="Q61" s="2"/>
      <c r="R61" s="2"/>
      <c r="S61" s="2"/>
      <c r="T61" s="2"/>
    </row>
    <row r="62" spans="1:20" ht="12.75">
      <c r="A62" s="2"/>
      <c r="B62" s="196" t="s">
        <v>1000</v>
      </c>
      <c r="C62" s="196" t="s">
        <v>1000</v>
      </c>
      <c r="D62" s="196" t="s">
        <v>1001</v>
      </c>
      <c r="E62" s="196" t="s">
        <v>950</v>
      </c>
      <c r="F62" s="196" t="s">
        <v>1002</v>
      </c>
      <c r="G62" s="196" t="s">
        <v>1002</v>
      </c>
      <c r="H62" s="116" t="s">
        <v>942</v>
      </c>
      <c r="I62" s="116" t="s">
        <v>943</v>
      </c>
      <c r="J62" s="116" t="s">
        <v>944</v>
      </c>
      <c r="K62" s="116" t="s">
        <v>945</v>
      </c>
      <c r="L62" s="116" t="s">
        <v>945</v>
      </c>
      <c r="M62" s="116" t="s">
        <v>946</v>
      </c>
      <c r="N62" s="196"/>
      <c r="O62" s="2"/>
      <c r="P62" s="2"/>
      <c r="Q62" s="2"/>
      <c r="R62" s="2"/>
      <c r="S62" s="2"/>
      <c r="T62" s="2"/>
    </row>
    <row r="63" spans="1:20" ht="12.75">
      <c r="A63" s="2"/>
      <c r="B63" s="198" t="s">
        <v>1003</v>
      </c>
      <c r="C63" s="198" t="s">
        <v>930</v>
      </c>
      <c r="D63" s="199"/>
      <c r="E63" s="199"/>
      <c r="F63" s="198" t="s">
        <v>947</v>
      </c>
      <c r="G63" s="198" t="s">
        <v>930</v>
      </c>
      <c r="H63" s="197" t="s">
        <v>951</v>
      </c>
      <c r="I63" s="197" t="s">
        <v>941</v>
      </c>
      <c r="J63" s="197" t="s">
        <v>952</v>
      </c>
      <c r="K63" s="197" t="s">
        <v>953</v>
      </c>
      <c r="L63" s="197" t="s">
        <v>953</v>
      </c>
      <c r="M63" s="197" t="s">
        <v>951</v>
      </c>
      <c r="N63" s="197" t="s">
        <v>950</v>
      </c>
      <c r="O63" s="2"/>
      <c r="P63" s="2"/>
      <c r="Q63" s="2"/>
      <c r="R63" s="2"/>
      <c r="S63" s="2"/>
      <c r="T63" s="2"/>
    </row>
    <row r="64" spans="1:20" ht="12.75">
      <c r="A64" s="2" t="s">
        <v>982</v>
      </c>
      <c r="B64" s="2"/>
      <c r="C64" s="20">
        <f>SUM('Apprp. Database'!F128:F129)</f>
        <v>385730983</v>
      </c>
      <c r="D64" s="20">
        <f>SUM('Apprp. Database'!I128:I129)</f>
        <v>12236715</v>
      </c>
      <c r="E64" s="20">
        <v>0</v>
      </c>
      <c r="F64" s="291" t="s">
        <v>983</v>
      </c>
      <c r="G64" s="291" t="s">
        <v>983</v>
      </c>
      <c r="H64" s="2">
        <f>SUM('Apprp. Database'!K128:K129)</f>
        <v>1382302</v>
      </c>
      <c r="I64" s="2">
        <f>SUM('Apprp. Database'!L128:L129)</f>
        <v>0</v>
      </c>
      <c r="J64" s="2">
        <f>SUM('Apprp. Database'!M128:M129)</f>
        <v>31525107</v>
      </c>
      <c r="K64" s="2">
        <f>SUM('Apprp. Database'!N128:N129)</f>
        <v>38298217</v>
      </c>
      <c r="L64" s="2">
        <f>SUM('Apprp. Database'!O128:O129)</f>
        <v>0</v>
      </c>
      <c r="M64" s="2">
        <f>SUM('Apprp. Database'!P128:P129)</f>
        <v>5622498</v>
      </c>
      <c r="N64" s="2">
        <f>SUM('Apprp. Database'!Q128:Q129)</f>
        <v>0</v>
      </c>
      <c r="O64" s="2"/>
      <c r="P64" s="2"/>
      <c r="Q64" s="2"/>
      <c r="R64" s="2"/>
      <c r="S64" s="2"/>
      <c r="T64" s="2"/>
    </row>
    <row r="65" spans="1:20" ht="12.75">
      <c r="A65" s="2" t="s">
        <v>984</v>
      </c>
      <c r="B65" s="2"/>
      <c r="C65" s="20">
        <f>'Apprp. Database'!F130</f>
        <v>126906905</v>
      </c>
      <c r="D65" s="20">
        <v>0</v>
      </c>
      <c r="E65" s="20">
        <v>0</v>
      </c>
      <c r="F65" s="291" t="s">
        <v>983</v>
      </c>
      <c r="G65" s="291" t="s">
        <v>983</v>
      </c>
      <c r="H65" s="2">
        <f>'Apprp. Database'!K130</f>
        <v>3066715</v>
      </c>
      <c r="I65" s="2">
        <f>'Apprp. Database'!L130</f>
        <v>567828</v>
      </c>
      <c r="J65" s="2">
        <f>'Apprp. Database'!M130</f>
        <v>0</v>
      </c>
      <c r="K65" s="2">
        <f>'Apprp. Database'!N130</f>
        <v>0</v>
      </c>
      <c r="L65" s="2">
        <f>'Apprp. Database'!O130</f>
        <v>10972069</v>
      </c>
      <c r="M65" s="2">
        <f>'Apprp. Database'!P130</f>
        <v>1489499</v>
      </c>
      <c r="N65" s="2">
        <f>'Apprp. Database'!Q130</f>
        <v>0</v>
      </c>
      <c r="O65" s="2"/>
      <c r="P65" s="2"/>
      <c r="Q65" s="2"/>
      <c r="R65" s="2"/>
      <c r="S65" s="2"/>
      <c r="T65" s="2"/>
    </row>
    <row r="66" spans="1:20" ht="12.75">
      <c r="A66" s="2" t="s">
        <v>985</v>
      </c>
      <c r="B66" s="2"/>
      <c r="C66" s="20">
        <f>'Apprp. Database'!F131</f>
        <v>57293895</v>
      </c>
      <c r="D66" s="20">
        <v>0</v>
      </c>
      <c r="E66" s="20">
        <v>0</v>
      </c>
      <c r="F66" s="291" t="s">
        <v>983</v>
      </c>
      <c r="G66" s="291" t="s">
        <v>983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/>
      <c r="P66" s="2"/>
      <c r="Q66" s="2"/>
      <c r="R66" s="2"/>
      <c r="S66" s="2"/>
      <c r="T66" s="2"/>
    </row>
    <row r="67" spans="1:20" ht="12.75">
      <c r="A67" s="2" t="s">
        <v>986</v>
      </c>
      <c r="B67" s="2"/>
      <c r="C67" s="20">
        <f>SUM('Apprp. Database'!F132:F135)</f>
        <v>104031328</v>
      </c>
      <c r="D67" s="20">
        <v>0</v>
      </c>
      <c r="E67" s="20">
        <v>0</v>
      </c>
      <c r="F67" s="291" t="s">
        <v>983</v>
      </c>
      <c r="G67" s="291" t="s">
        <v>983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/>
      <c r="P67" s="2"/>
      <c r="Q67" s="2"/>
      <c r="R67" s="2"/>
      <c r="S67" s="2"/>
      <c r="T67" s="2"/>
    </row>
    <row r="68" spans="1:20" ht="12.75">
      <c r="A68" s="2" t="s">
        <v>987</v>
      </c>
      <c r="B68" s="2"/>
      <c r="C68" s="20">
        <f>SUM('Apprp. Database'!F136:F141)</f>
        <v>117661658</v>
      </c>
      <c r="D68" s="20">
        <v>0</v>
      </c>
      <c r="E68" s="20">
        <v>0</v>
      </c>
      <c r="F68" s="291" t="s">
        <v>983</v>
      </c>
      <c r="G68" s="291" t="s">
        <v>983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/>
      <c r="P68" s="2"/>
      <c r="Q68" s="2"/>
      <c r="R68" s="2"/>
      <c r="S68" s="2"/>
      <c r="T68" s="2"/>
    </row>
    <row r="69" spans="1:20" ht="12.75">
      <c r="A69" s="2" t="s">
        <v>988</v>
      </c>
      <c r="B69" s="2"/>
      <c r="C69" s="20">
        <f>SUM('Apprp. Database'!F142:F144)</f>
        <v>49763795</v>
      </c>
      <c r="D69" s="20">
        <v>0</v>
      </c>
      <c r="E69" s="20">
        <v>0</v>
      </c>
      <c r="F69" s="291" t="s">
        <v>983</v>
      </c>
      <c r="G69" s="291" t="s">
        <v>983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/>
      <c r="P69" s="2"/>
      <c r="Q69" s="2"/>
      <c r="R69" s="2"/>
      <c r="S69" s="2"/>
      <c r="T69" s="2"/>
    </row>
    <row r="70" spans="1:20" ht="12.75">
      <c r="A70" s="2" t="s">
        <v>994</v>
      </c>
      <c r="B70" s="2"/>
      <c r="C70" s="20">
        <f>SUM('Apprp. Database'!F145:F159)</f>
        <v>139010817</v>
      </c>
      <c r="D70" s="20">
        <v>0</v>
      </c>
      <c r="E70" s="20">
        <v>0</v>
      </c>
      <c r="F70" s="20">
        <v>0</v>
      </c>
      <c r="G70" s="20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/>
      <c r="P70" s="2"/>
      <c r="Q70" s="2"/>
      <c r="R70" s="2"/>
      <c r="S70" s="2"/>
      <c r="T70" s="2"/>
    </row>
    <row r="71" spans="1:20" ht="12.75">
      <c r="A71" s="2" t="s">
        <v>991</v>
      </c>
      <c r="B71" s="20">
        <f>SUM('Apprp. Database'!E162:E195)</f>
        <v>139745864</v>
      </c>
      <c r="C71" s="20">
        <f>SUM('Apprp. Database'!F162:F195)</f>
        <v>150691009</v>
      </c>
      <c r="D71" s="20">
        <v>0</v>
      </c>
      <c r="E71" s="20">
        <v>0</v>
      </c>
      <c r="F71" s="20">
        <v>0</v>
      </c>
      <c r="G71" s="20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/>
      <c r="P71" s="2"/>
      <c r="Q71" s="2"/>
      <c r="R71" s="2"/>
      <c r="S71" s="2"/>
      <c r="T71" s="2"/>
    </row>
    <row r="72" spans="1:20" ht="12.75">
      <c r="A72" s="2" t="s">
        <v>992</v>
      </c>
      <c r="B72" s="2"/>
      <c r="C72" s="20">
        <f>SUM('Apprp. Database'!F160:F161)</f>
        <v>16929336</v>
      </c>
      <c r="D72" s="20">
        <v>0</v>
      </c>
      <c r="E72" s="20">
        <f>'Apprp. Database'!J160</f>
        <v>147047840</v>
      </c>
      <c r="F72" s="291" t="s">
        <v>983</v>
      </c>
      <c r="G72" s="291" t="s">
        <v>983</v>
      </c>
      <c r="H72" s="2">
        <f>SUM('Apprp. Database'!K160:K161)</f>
        <v>359714</v>
      </c>
      <c r="I72" s="2">
        <f>SUM('Apprp. Database'!L160:L161)</f>
        <v>0</v>
      </c>
      <c r="J72" s="2">
        <f>SUM('Apprp. Database'!M160:M161)</f>
        <v>0</v>
      </c>
      <c r="K72" s="2">
        <f>SUM('Apprp. Database'!N160:N161)</f>
        <v>0</v>
      </c>
      <c r="L72" s="2">
        <f>SUM('Apprp. Database'!O160:O161)</f>
        <v>0</v>
      </c>
      <c r="M72" s="2">
        <f>SUM('Apprp. Database'!P160:P161)</f>
        <v>0</v>
      </c>
      <c r="N72" s="2">
        <f>SUM('Apprp. Database'!Q160:Q161)</f>
        <v>0</v>
      </c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 t="s">
        <v>993</v>
      </c>
      <c r="B74" s="2">
        <f aca="true" t="shared" si="3" ref="B74:N74">SUM(B64:B72)</f>
        <v>139745864</v>
      </c>
      <c r="C74" s="2">
        <f t="shared" si="3"/>
        <v>1148019726</v>
      </c>
      <c r="D74" s="2">
        <f t="shared" si="3"/>
        <v>12236715</v>
      </c>
      <c r="E74" s="2">
        <f t="shared" si="3"/>
        <v>147047840</v>
      </c>
      <c r="F74" s="2">
        <f t="shared" si="3"/>
        <v>0</v>
      </c>
      <c r="G74" s="2">
        <f t="shared" si="3"/>
        <v>0</v>
      </c>
      <c r="H74" s="2">
        <f t="shared" si="3"/>
        <v>4808731</v>
      </c>
      <c r="I74" s="2">
        <f t="shared" si="3"/>
        <v>567828</v>
      </c>
      <c r="J74" s="2">
        <f t="shared" si="3"/>
        <v>31525107</v>
      </c>
      <c r="K74" s="2">
        <f t="shared" si="3"/>
        <v>38298217</v>
      </c>
      <c r="L74" s="2">
        <f t="shared" si="3"/>
        <v>10972069</v>
      </c>
      <c r="M74" s="2">
        <f t="shared" si="3"/>
        <v>7111997</v>
      </c>
      <c r="N74" s="2">
        <f t="shared" si="3"/>
        <v>0</v>
      </c>
      <c r="O74" s="2"/>
      <c r="P74" s="2"/>
      <c r="Q74" s="2"/>
      <c r="R74" s="2"/>
      <c r="S74" s="2"/>
      <c r="T74" s="2"/>
    </row>
    <row r="75" spans="1:20" ht="12.75">
      <c r="A75" s="2"/>
      <c r="B75" s="291" t="s">
        <v>977</v>
      </c>
      <c r="C75" s="291" t="s">
        <v>977</v>
      </c>
      <c r="D75" s="291" t="s">
        <v>977</v>
      </c>
      <c r="E75" s="291" t="s">
        <v>977</v>
      </c>
      <c r="F75" s="291" t="s">
        <v>977</v>
      </c>
      <c r="G75" s="291" t="s">
        <v>977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0" t="s">
        <v>305</v>
      </c>
      <c r="B77" s="195"/>
      <c r="C77" s="195"/>
      <c r="D77" s="196" t="s">
        <v>997</v>
      </c>
      <c r="E77" s="195"/>
      <c r="F77" s="195"/>
      <c r="G77" s="195"/>
      <c r="H77" s="196"/>
      <c r="I77" s="116"/>
      <c r="J77" s="116"/>
      <c r="K77" s="116"/>
      <c r="L77" s="116"/>
      <c r="M77" s="116"/>
      <c r="N77" s="116"/>
      <c r="O77" s="2"/>
      <c r="P77" s="2"/>
      <c r="Q77" s="2"/>
      <c r="R77" s="2"/>
      <c r="S77" s="2"/>
      <c r="T77" s="2"/>
    </row>
    <row r="78" spans="1:20" ht="12.75">
      <c r="A78" s="2"/>
      <c r="B78" s="195"/>
      <c r="C78" s="195"/>
      <c r="D78" s="195" t="s">
        <v>998</v>
      </c>
      <c r="E78" s="195"/>
      <c r="F78" s="195"/>
      <c r="G78" s="195"/>
      <c r="H78" s="197" t="s">
        <v>929</v>
      </c>
      <c r="I78" s="197"/>
      <c r="J78" s="197"/>
      <c r="K78" s="197"/>
      <c r="L78" s="197"/>
      <c r="M78" s="197"/>
      <c r="N78" s="197"/>
      <c r="O78" s="2"/>
      <c r="P78" s="2"/>
      <c r="Q78" s="2"/>
      <c r="R78" s="2"/>
      <c r="S78" s="2"/>
      <c r="T78" s="2"/>
    </row>
    <row r="79" spans="1:20" ht="12.75">
      <c r="A79" s="2"/>
      <c r="B79" s="293" t="s">
        <v>977</v>
      </c>
      <c r="C79" s="293" t="s">
        <v>977</v>
      </c>
      <c r="D79" s="293" t="s">
        <v>977</v>
      </c>
      <c r="E79" s="293" t="s">
        <v>977</v>
      </c>
      <c r="F79" s="293" t="s">
        <v>977</v>
      </c>
      <c r="G79" s="293" t="s">
        <v>977</v>
      </c>
      <c r="H79" s="116" t="s">
        <v>932</v>
      </c>
      <c r="I79" s="196"/>
      <c r="J79" s="116"/>
      <c r="K79" s="196"/>
      <c r="L79" s="116"/>
      <c r="M79" s="116"/>
      <c r="N79" s="196"/>
      <c r="O79" s="2"/>
      <c r="P79" s="2"/>
      <c r="Q79" s="2"/>
      <c r="R79" s="2"/>
      <c r="S79" s="2"/>
      <c r="T79" s="2"/>
    </row>
    <row r="80" spans="1:20" ht="12.75">
      <c r="A80" s="2"/>
      <c r="B80" s="196" t="s">
        <v>999</v>
      </c>
      <c r="C80" s="196" t="s">
        <v>999</v>
      </c>
      <c r="D80" s="195"/>
      <c r="E80" s="195"/>
      <c r="F80" s="195"/>
      <c r="G80" s="195"/>
      <c r="H80" s="116" t="s">
        <v>935</v>
      </c>
      <c r="I80" s="116" t="s">
        <v>936</v>
      </c>
      <c r="J80" s="116" t="s">
        <v>937</v>
      </c>
      <c r="K80" s="116" t="s">
        <v>937</v>
      </c>
      <c r="L80" s="116" t="s">
        <v>938</v>
      </c>
      <c r="M80" s="196"/>
      <c r="N80" s="196"/>
      <c r="O80" s="2"/>
      <c r="P80" s="2"/>
      <c r="Q80" s="2"/>
      <c r="R80" s="2"/>
      <c r="S80" s="2"/>
      <c r="T80" s="2"/>
    </row>
    <row r="81" spans="1:20" ht="12.75">
      <c r="A81" s="2"/>
      <c r="B81" s="196" t="s">
        <v>1000</v>
      </c>
      <c r="C81" s="196" t="s">
        <v>1000</v>
      </c>
      <c r="D81" s="196" t="s">
        <v>1001</v>
      </c>
      <c r="E81" s="196" t="s">
        <v>950</v>
      </c>
      <c r="F81" s="196" t="s">
        <v>1002</v>
      </c>
      <c r="G81" s="196" t="s">
        <v>1002</v>
      </c>
      <c r="H81" s="116" t="s">
        <v>942</v>
      </c>
      <c r="I81" s="116" t="s">
        <v>943</v>
      </c>
      <c r="J81" s="116" t="s">
        <v>944</v>
      </c>
      <c r="K81" s="116" t="s">
        <v>945</v>
      </c>
      <c r="L81" s="116" t="s">
        <v>945</v>
      </c>
      <c r="M81" s="116" t="s">
        <v>946</v>
      </c>
      <c r="N81" s="196"/>
      <c r="O81" s="2"/>
      <c r="P81" s="2"/>
      <c r="Q81" s="2"/>
      <c r="R81" s="2"/>
      <c r="S81" s="2"/>
      <c r="T81" s="2"/>
    </row>
    <row r="82" spans="1:20" ht="12.75">
      <c r="A82" s="2"/>
      <c r="B82" s="198" t="s">
        <v>1003</v>
      </c>
      <c r="C82" s="198" t="s">
        <v>930</v>
      </c>
      <c r="D82" s="199"/>
      <c r="E82" s="199"/>
      <c r="F82" s="198" t="s">
        <v>947</v>
      </c>
      <c r="G82" s="198" t="s">
        <v>930</v>
      </c>
      <c r="H82" s="197" t="s">
        <v>951</v>
      </c>
      <c r="I82" s="197" t="s">
        <v>941</v>
      </c>
      <c r="J82" s="197" t="s">
        <v>952</v>
      </c>
      <c r="K82" s="197" t="s">
        <v>953</v>
      </c>
      <c r="L82" s="197" t="s">
        <v>953</v>
      </c>
      <c r="M82" s="197" t="s">
        <v>951</v>
      </c>
      <c r="N82" s="197" t="s">
        <v>950</v>
      </c>
      <c r="O82" s="2"/>
      <c r="P82" s="2"/>
      <c r="Q82" s="2"/>
      <c r="R82" s="2"/>
      <c r="S82" s="2"/>
      <c r="T82" s="2"/>
    </row>
    <row r="83" spans="1:20" ht="12.75">
      <c r="A83" s="2" t="s">
        <v>982</v>
      </c>
      <c r="B83" s="20">
        <f>'Apprp. Database'!E197</f>
        <v>83324600</v>
      </c>
      <c r="C83" s="20">
        <f>'Apprp. Database'!F197</f>
        <v>86916700</v>
      </c>
      <c r="D83" s="20">
        <v>0</v>
      </c>
      <c r="E83" s="20">
        <f>'Apprp. Database'!J197</f>
        <v>75496600</v>
      </c>
      <c r="F83" s="291" t="s">
        <v>983</v>
      </c>
      <c r="G83" s="291" t="s">
        <v>983</v>
      </c>
      <c r="H83" s="20">
        <f>'Apprp. Database'!K197</f>
        <v>14728500</v>
      </c>
      <c r="I83" s="20">
        <v>0</v>
      </c>
      <c r="J83" s="20">
        <f>'Apprp. Database'!M197</f>
        <v>31060900</v>
      </c>
      <c r="K83" s="20">
        <f>'Apprp. Database'!N197</f>
        <v>26106100</v>
      </c>
      <c r="L83" s="20">
        <v>0</v>
      </c>
      <c r="M83" s="20">
        <f>'Apprp. Database'!P197</f>
        <v>13849700</v>
      </c>
      <c r="N83" s="20">
        <f>'Apprp. Database'!Q197</f>
        <v>100000</v>
      </c>
      <c r="O83" s="2"/>
      <c r="P83" s="2"/>
      <c r="Q83" s="2"/>
      <c r="R83" s="2"/>
      <c r="S83" s="2"/>
      <c r="T83" s="2"/>
    </row>
    <row r="84" spans="1:20" ht="12.75">
      <c r="A84" s="2" t="s">
        <v>984</v>
      </c>
      <c r="B84" s="20">
        <f>'Apprp. Database'!E198</f>
        <v>73201700</v>
      </c>
      <c r="C84" s="20">
        <f>'Apprp. Database'!F198</f>
        <v>68765700</v>
      </c>
      <c r="D84" s="20">
        <v>0</v>
      </c>
      <c r="E84" s="20">
        <f>'Apprp. Database'!J198</f>
        <v>64955400</v>
      </c>
      <c r="F84" s="291" t="s">
        <v>983</v>
      </c>
      <c r="G84" s="291" t="s">
        <v>983</v>
      </c>
      <c r="H84" s="20">
        <f>'Apprp. Database'!K198</f>
        <v>1247600</v>
      </c>
      <c r="I84" s="20">
        <v>0</v>
      </c>
      <c r="J84" s="20">
        <v>0</v>
      </c>
      <c r="K84" s="20">
        <v>0</v>
      </c>
      <c r="L84" s="20">
        <v>0</v>
      </c>
      <c r="M84" s="20">
        <f>'Apprp. Database'!P198</f>
        <v>796600</v>
      </c>
      <c r="N84" s="20"/>
      <c r="O84" s="2"/>
      <c r="P84" s="2"/>
      <c r="Q84" s="2"/>
      <c r="R84" s="2"/>
      <c r="S84" s="2"/>
      <c r="T84" s="2"/>
    </row>
    <row r="85" spans="1:20" ht="12.75">
      <c r="A85" s="2" t="s">
        <v>985</v>
      </c>
      <c r="B85" s="20">
        <f>SUM('Apprp. Database'!E199:E201)</f>
        <v>132679695</v>
      </c>
      <c r="C85" s="20">
        <f>SUM('Apprp. Database'!F199:F201)</f>
        <v>138273395</v>
      </c>
      <c r="D85" s="20">
        <v>0</v>
      </c>
      <c r="E85" s="20">
        <v>0</v>
      </c>
      <c r="F85" s="291" t="s">
        <v>983</v>
      </c>
      <c r="G85" s="291" t="s">
        <v>983</v>
      </c>
      <c r="H85" s="20">
        <f>'Apprp. Database'!K200</f>
        <v>2358700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f>'Apprp. Database'!Q200</f>
        <v>100000</v>
      </c>
      <c r="O85" s="2"/>
      <c r="P85" s="2"/>
      <c r="Q85" s="2"/>
      <c r="R85" s="2"/>
      <c r="S85" s="2"/>
      <c r="T85" s="2"/>
    </row>
    <row r="86" spans="1:20" ht="12.75">
      <c r="A86" s="2" t="s">
        <v>986</v>
      </c>
      <c r="B86" s="20">
        <f>'Apprp. Database'!E202</f>
        <v>28699805</v>
      </c>
      <c r="C86" s="20">
        <f>'Apprp. Database'!F202</f>
        <v>29890705</v>
      </c>
      <c r="D86" s="20">
        <v>0</v>
      </c>
      <c r="E86" s="20">
        <v>0</v>
      </c>
      <c r="F86" s="291" t="s">
        <v>983</v>
      </c>
      <c r="G86" s="291" t="s">
        <v>983</v>
      </c>
      <c r="H86" s="20">
        <f>'Apprp. Database'!K202</f>
        <v>982800</v>
      </c>
      <c r="I86" s="20">
        <v>0</v>
      </c>
      <c r="J86" s="20">
        <v>0</v>
      </c>
      <c r="K86" s="20">
        <v>0</v>
      </c>
      <c r="L86" s="20">
        <v>0</v>
      </c>
      <c r="M86" s="20">
        <f>'Apprp. Database'!P202</f>
        <v>141000</v>
      </c>
      <c r="N86" s="20">
        <v>0</v>
      </c>
      <c r="O86" s="2"/>
      <c r="P86" s="2"/>
      <c r="Q86" s="2"/>
      <c r="R86" s="2"/>
      <c r="S86" s="2"/>
      <c r="T86" s="2"/>
    </row>
    <row r="87" spans="1:20" ht="12.75">
      <c r="A87" s="2" t="s">
        <v>987</v>
      </c>
      <c r="B87" s="20">
        <f>'Apprp. Database'!E203</f>
        <v>25390000</v>
      </c>
      <c r="C87" s="20">
        <f>'Apprp. Database'!F203</f>
        <v>26345300</v>
      </c>
      <c r="D87" s="20">
        <v>0</v>
      </c>
      <c r="E87" s="20">
        <v>0</v>
      </c>
      <c r="F87" s="291" t="s">
        <v>983</v>
      </c>
      <c r="G87" s="291" t="s">
        <v>983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"/>
      <c r="P87" s="2"/>
      <c r="Q87" s="2"/>
      <c r="R87" s="2"/>
      <c r="S87" s="2"/>
      <c r="T87" s="2"/>
    </row>
    <row r="88" spans="1:20" ht="12.75">
      <c r="A88" s="2" t="s">
        <v>988</v>
      </c>
      <c r="B88" s="20">
        <f>'Apprp. Database'!E204</f>
        <v>16251700</v>
      </c>
      <c r="C88" s="20">
        <f>'Apprp. Database'!F204</f>
        <v>15982250</v>
      </c>
      <c r="D88" s="20">
        <v>0</v>
      </c>
      <c r="E88" s="20">
        <v>0</v>
      </c>
      <c r="F88" s="291" t="s">
        <v>983</v>
      </c>
      <c r="G88" s="291" t="s">
        <v>983</v>
      </c>
      <c r="H88" s="20">
        <f>'Apprp. Database'!K204</f>
        <v>355650</v>
      </c>
      <c r="I88" s="20">
        <v>0</v>
      </c>
      <c r="J88" s="20">
        <f>'Apprp. Database'!M204</f>
        <v>845100</v>
      </c>
      <c r="K88" s="20">
        <v>0</v>
      </c>
      <c r="L88" s="20">
        <v>0</v>
      </c>
      <c r="M88" s="20">
        <v>0</v>
      </c>
      <c r="N88" s="20">
        <v>0</v>
      </c>
      <c r="O88" s="2"/>
      <c r="P88" s="2"/>
      <c r="Q88" s="2"/>
      <c r="R88" s="2"/>
      <c r="S88" s="2"/>
      <c r="T88" s="2"/>
    </row>
    <row r="89" spans="1:20" ht="12.75">
      <c r="A89" s="2" t="s">
        <v>994</v>
      </c>
      <c r="B89" s="20">
        <f>'Apprp. Database'!E205</f>
        <v>64884900</v>
      </c>
      <c r="C89" s="20">
        <f>'Apprp. Database'!F205</f>
        <v>71125900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"/>
      <c r="P89" s="2"/>
      <c r="Q89" s="2"/>
      <c r="R89" s="2"/>
      <c r="S89" s="2"/>
      <c r="T89" s="2"/>
    </row>
    <row r="90" spans="1:20" ht="12.75">
      <c r="A90" s="2" t="s">
        <v>991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"/>
      <c r="P90" s="2"/>
      <c r="Q90" s="2"/>
      <c r="R90" s="2"/>
      <c r="S90" s="2"/>
      <c r="T90" s="2"/>
    </row>
    <row r="91" spans="1:20" ht="12.75">
      <c r="A91" s="2" t="s">
        <v>992</v>
      </c>
      <c r="B91" s="20">
        <v>0</v>
      </c>
      <c r="C91" s="20">
        <v>0</v>
      </c>
      <c r="D91" s="20">
        <v>0</v>
      </c>
      <c r="E91" s="20">
        <v>0</v>
      </c>
      <c r="F91" s="291" t="s">
        <v>983</v>
      </c>
      <c r="G91" s="291" t="s">
        <v>983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"/>
      <c r="P91" s="2"/>
      <c r="Q91" s="2"/>
      <c r="R91" s="2"/>
      <c r="S91" s="2"/>
      <c r="T91" s="2"/>
    </row>
    <row r="92" spans="1:20" ht="12.75">
      <c r="A92" s="2"/>
      <c r="B92" s="20"/>
      <c r="C92" s="20"/>
      <c r="D92" s="20"/>
      <c r="E92" s="20"/>
      <c r="F92" s="2"/>
      <c r="G92" s="2"/>
      <c r="H92" s="20"/>
      <c r="I92" s="20"/>
      <c r="J92" s="20"/>
      <c r="K92" s="20"/>
      <c r="L92" s="20"/>
      <c r="M92" s="20"/>
      <c r="N92" s="20"/>
      <c r="O92" s="2"/>
      <c r="P92" s="2"/>
      <c r="Q92" s="2"/>
      <c r="R92" s="2"/>
      <c r="S92" s="2"/>
      <c r="T92" s="2"/>
    </row>
    <row r="93" spans="1:20" ht="12.75">
      <c r="A93" s="2" t="s">
        <v>993</v>
      </c>
      <c r="B93" s="2">
        <f aca="true" t="shared" si="4" ref="B93:N93">SUM(B83:B91)</f>
        <v>424432400</v>
      </c>
      <c r="C93" s="2">
        <f t="shared" si="4"/>
        <v>437299950</v>
      </c>
      <c r="D93" s="2">
        <f t="shared" si="4"/>
        <v>0</v>
      </c>
      <c r="E93" s="2">
        <f t="shared" si="4"/>
        <v>140452000</v>
      </c>
      <c r="F93" s="2">
        <f t="shared" si="4"/>
        <v>0</v>
      </c>
      <c r="G93" s="2">
        <f t="shared" si="4"/>
        <v>0</v>
      </c>
      <c r="H93" s="2">
        <f t="shared" si="4"/>
        <v>19673250</v>
      </c>
      <c r="I93" s="2">
        <f t="shared" si="4"/>
        <v>0</v>
      </c>
      <c r="J93" s="2">
        <f t="shared" si="4"/>
        <v>31906000</v>
      </c>
      <c r="K93" s="2">
        <f t="shared" si="4"/>
        <v>26106100</v>
      </c>
      <c r="L93" s="2">
        <f t="shared" si="4"/>
        <v>0</v>
      </c>
      <c r="M93" s="2">
        <f t="shared" si="4"/>
        <v>14787300</v>
      </c>
      <c r="N93" s="2">
        <f t="shared" si="4"/>
        <v>200000</v>
      </c>
      <c r="O93" s="2"/>
      <c r="P93" s="2"/>
      <c r="Q93" s="2"/>
      <c r="R93" s="2"/>
      <c r="S93" s="2"/>
      <c r="T93" s="2"/>
    </row>
    <row r="94" spans="1:20" ht="12.75">
      <c r="A94" s="2"/>
      <c r="B94" s="291" t="s">
        <v>977</v>
      </c>
      <c r="C94" s="291" t="s">
        <v>977</v>
      </c>
      <c r="D94" s="291" t="s">
        <v>977</v>
      </c>
      <c r="E94" s="291" t="s">
        <v>977</v>
      </c>
      <c r="F94" s="291" t="s">
        <v>977</v>
      </c>
      <c r="G94" s="291" t="s">
        <v>977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0" t="s">
        <v>315</v>
      </c>
      <c r="B96" s="195"/>
      <c r="C96" s="195"/>
      <c r="D96" s="196" t="s">
        <v>997</v>
      </c>
      <c r="E96" s="195"/>
      <c r="F96" s="195"/>
      <c r="G96" s="195"/>
      <c r="H96" s="196"/>
      <c r="I96" s="116"/>
      <c r="J96" s="116"/>
      <c r="K96" s="116"/>
      <c r="L96" s="116"/>
      <c r="M96" s="116"/>
      <c r="N96" s="116"/>
      <c r="O96" s="2"/>
      <c r="P96" s="2"/>
      <c r="Q96" s="2"/>
      <c r="R96" s="2"/>
      <c r="S96" s="2"/>
      <c r="T96" s="2"/>
    </row>
    <row r="97" spans="1:20" ht="12.75">
      <c r="A97" s="2"/>
      <c r="B97" s="195"/>
      <c r="C97" s="195"/>
      <c r="D97" s="195" t="s">
        <v>998</v>
      </c>
      <c r="E97" s="195"/>
      <c r="F97" s="195"/>
      <c r="G97" s="195"/>
      <c r="H97" s="197" t="s">
        <v>929</v>
      </c>
      <c r="I97" s="197"/>
      <c r="J97" s="197"/>
      <c r="K97" s="197"/>
      <c r="L97" s="197"/>
      <c r="M97" s="197"/>
      <c r="N97" s="197"/>
      <c r="O97" s="2"/>
      <c r="P97" s="2"/>
      <c r="Q97" s="2"/>
      <c r="R97" s="2"/>
      <c r="S97" s="2"/>
      <c r="T97" s="2"/>
    </row>
    <row r="98" spans="1:20" ht="12.75">
      <c r="A98" s="2"/>
      <c r="B98" s="293" t="s">
        <v>977</v>
      </c>
      <c r="C98" s="293" t="s">
        <v>977</v>
      </c>
      <c r="D98" s="293" t="s">
        <v>977</v>
      </c>
      <c r="E98" s="293" t="s">
        <v>977</v>
      </c>
      <c r="F98" s="293" t="s">
        <v>977</v>
      </c>
      <c r="G98" s="293" t="s">
        <v>977</v>
      </c>
      <c r="H98" s="116" t="s">
        <v>932</v>
      </c>
      <c r="I98" s="196"/>
      <c r="J98" s="116"/>
      <c r="K98" s="196"/>
      <c r="L98" s="116"/>
      <c r="M98" s="116"/>
      <c r="N98" s="196"/>
      <c r="O98" s="2"/>
      <c r="P98" s="2"/>
      <c r="Q98" s="2"/>
      <c r="R98" s="2"/>
      <c r="S98" s="2"/>
      <c r="T98" s="2"/>
    </row>
    <row r="99" spans="1:20" ht="12.75">
      <c r="A99" s="2"/>
      <c r="B99" s="196" t="s">
        <v>999</v>
      </c>
      <c r="C99" s="196" t="s">
        <v>999</v>
      </c>
      <c r="D99" s="195"/>
      <c r="E99" s="195"/>
      <c r="F99" s="195"/>
      <c r="G99" s="195"/>
      <c r="H99" s="116" t="s">
        <v>935</v>
      </c>
      <c r="I99" s="116" t="s">
        <v>936</v>
      </c>
      <c r="J99" s="116" t="s">
        <v>937</v>
      </c>
      <c r="K99" s="116" t="s">
        <v>937</v>
      </c>
      <c r="L99" s="116" t="s">
        <v>938</v>
      </c>
      <c r="M99" s="196"/>
      <c r="N99" s="196"/>
      <c r="O99" s="2"/>
      <c r="P99" s="2"/>
      <c r="Q99" s="2"/>
      <c r="R99" s="2"/>
      <c r="S99" s="2"/>
      <c r="T99" s="2"/>
    </row>
    <row r="100" spans="1:20" ht="12.75">
      <c r="A100" s="2"/>
      <c r="B100" s="196" t="s">
        <v>1000</v>
      </c>
      <c r="C100" s="196" t="s">
        <v>1000</v>
      </c>
      <c r="D100" s="196" t="s">
        <v>1001</v>
      </c>
      <c r="E100" s="196" t="s">
        <v>950</v>
      </c>
      <c r="F100" s="196" t="s">
        <v>1002</v>
      </c>
      <c r="G100" s="196" t="s">
        <v>1002</v>
      </c>
      <c r="H100" s="116" t="s">
        <v>942</v>
      </c>
      <c r="I100" s="116" t="s">
        <v>943</v>
      </c>
      <c r="J100" s="116" t="s">
        <v>944</v>
      </c>
      <c r="K100" s="116" t="s">
        <v>945</v>
      </c>
      <c r="L100" s="116" t="s">
        <v>945</v>
      </c>
      <c r="M100" s="116" t="s">
        <v>946</v>
      </c>
      <c r="N100" s="196"/>
      <c r="O100" s="2"/>
      <c r="P100" s="2"/>
      <c r="Q100" s="2"/>
      <c r="R100" s="2"/>
      <c r="S100" s="2"/>
      <c r="T100" s="2"/>
    </row>
    <row r="101" spans="1:20" ht="12.75">
      <c r="A101" s="2"/>
      <c r="B101" s="198" t="s">
        <v>1003</v>
      </c>
      <c r="C101" s="198" t="s">
        <v>930</v>
      </c>
      <c r="D101" s="199"/>
      <c r="E101" s="199"/>
      <c r="F101" s="198" t="s">
        <v>947</v>
      </c>
      <c r="G101" s="198" t="s">
        <v>930</v>
      </c>
      <c r="H101" s="197" t="s">
        <v>951</v>
      </c>
      <c r="I101" s="197" t="s">
        <v>941</v>
      </c>
      <c r="J101" s="197" t="s">
        <v>952</v>
      </c>
      <c r="K101" s="197" t="s">
        <v>953</v>
      </c>
      <c r="L101" s="197" t="s">
        <v>953</v>
      </c>
      <c r="M101" s="197" t="s">
        <v>951</v>
      </c>
      <c r="N101" s="197" t="s">
        <v>950</v>
      </c>
      <c r="O101" s="2"/>
      <c r="P101" s="2"/>
      <c r="Q101" s="2"/>
      <c r="R101" s="2"/>
      <c r="S101" s="2"/>
      <c r="T101" s="2"/>
    </row>
    <row r="102" spans="1:20" ht="12.75">
      <c r="A102" s="2" t="s">
        <v>982</v>
      </c>
      <c r="B102" s="20">
        <f>'Apprp. Database'!E206</f>
        <v>107393932</v>
      </c>
      <c r="C102" s="20">
        <f>'Apprp. Database'!F206</f>
        <v>121016777</v>
      </c>
      <c r="D102" s="20">
        <f>'Apprp. Database'!I206</f>
        <v>13620935</v>
      </c>
      <c r="E102" s="20">
        <v>0</v>
      </c>
      <c r="F102" s="291" t="s">
        <v>983</v>
      </c>
      <c r="G102" s="291" t="s">
        <v>983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"/>
      <c r="P102" s="2"/>
      <c r="Q102" s="2"/>
      <c r="R102" s="2"/>
      <c r="S102" s="2"/>
      <c r="T102" s="2"/>
    </row>
    <row r="103" spans="1:20" ht="12.75">
      <c r="A103" s="2" t="s">
        <v>984</v>
      </c>
      <c r="B103" s="20">
        <f>SUM('Apprp. Database'!E207:E208)</f>
        <v>75408693</v>
      </c>
      <c r="C103" s="20">
        <f>SUM('Apprp. Database'!F207:F208)</f>
        <v>86935182</v>
      </c>
      <c r="D103" s="20">
        <v>0</v>
      </c>
      <c r="E103" s="20">
        <v>0</v>
      </c>
      <c r="F103" s="291" t="s">
        <v>983</v>
      </c>
      <c r="G103" s="291" t="s">
        <v>983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"/>
      <c r="P103" s="2"/>
      <c r="Q103" s="2"/>
      <c r="R103" s="2"/>
      <c r="S103" s="2"/>
      <c r="T103" s="2"/>
    </row>
    <row r="104" spans="1:20" ht="12.75">
      <c r="A104" s="2" t="s">
        <v>985</v>
      </c>
      <c r="B104" s="20">
        <f>SUM('Apprp. Database'!E209:E212)</f>
        <v>110480295</v>
      </c>
      <c r="C104" s="20">
        <f>SUM('Apprp. Database'!F209:F212)</f>
        <v>131597184</v>
      </c>
      <c r="D104" s="20">
        <v>0</v>
      </c>
      <c r="E104" s="20">
        <v>0</v>
      </c>
      <c r="F104" s="291" t="s">
        <v>983</v>
      </c>
      <c r="G104" s="291" t="s">
        <v>983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"/>
      <c r="P104" s="2"/>
      <c r="Q104" s="2"/>
      <c r="R104" s="2"/>
      <c r="S104" s="2"/>
      <c r="T104" s="2"/>
    </row>
    <row r="105" spans="1:20" ht="12.75">
      <c r="A105" s="2" t="s">
        <v>986</v>
      </c>
      <c r="B105" s="20">
        <f>SUM('Apprp. Database'!E213:E215)</f>
        <v>65819653</v>
      </c>
      <c r="C105" s="20">
        <f>SUM('Apprp. Database'!F213:F215)</f>
        <v>75891287</v>
      </c>
      <c r="D105" s="20">
        <v>0</v>
      </c>
      <c r="E105" s="20">
        <v>0</v>
      </c>
      <c r="F105" s="291" t="s">
        <v>983</v>
      </c>
      <c r="G105" s="291" t="s">
        <v>983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"/>
      <c r="P105" s="2"/>
      <c r="Q105" s="2"/>
      <c r="R105" s="2"/>
      <c r="S105" s="2"/>
      <c r="T105" s="2"/>
    </row>
    <row r="106" spans="1:20" ht="12.75">
      <c r="A106" s="2" t="s">
        <v>987</v>
      </c>
      <c r="B106" s="20">
        <f>SUM('Apprp. Database'!E216:E218)</f>
        <v>35486814</v>
      </c>
      <c r="C106" s="20">
        <f>SUM('Apprp. Database'!F216:F218)</f>
        <v>40212840</v>
      </c>
      <c r="D106" s="20">
        <v>0</v>
      </c>
      <c r="E106" s="20">
        <v>0</v>
      </c>
      <c r="F106" s="291" t="s">
        <v>983</v>
      </c>
      <c r="G106" s="291" t="s">
        <v>983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"/>
      <c r="P106" s="2"/>
      <c r="Q106" s="2"/>
      <c r="R106" s="2"/>
      <c r="S106" s="2"/>
      <c r="T106" s="2"/>
    </row>
    <row r="107" spans="1:20" ht="12.75">
      <c r="A107" s="2" t="s">
        <v>988</v>
      </c>
      <c r="B107" s="20"/>
      <c r="C107" s="20"/>
      <c r="D107" s="20">
        <v>0</v>
      </c>
      <c r="E107" s="20">
        <v>0</v>
      </c>
      <c r="F107" s="291" t="s">
        <v>983</v>
      </c>
      <c r="G107" s="291" t="s">
        <v>983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"/>
      <c r="P107" s="2"/>
      <c r="Q107" s="2"/>
      <c r="R107" s="2"/>
      <c r="S107" s="2"/>
      <c r="T107" s="2"/>
    </row>
    <row r="108" spans="1:20" ht="12.75">
      <c r="A108" s="2" t="s">
        <v>994</v>
      </c>
      <c r="B108" s="20">
        <f>SUM('Apprp. Database'!E220:E224)</f>
        <v>35188153</v>
      </c>
      <c r="C108" s="20">
        <f>SUM('Apprp. Database'!F220:F224)</f>
        <v>39265605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"/>
      <c r="P108" s="2"/>
      <c r="Q108" s="2"/>
      <c r="R108" s="2"/>
      <c r="S108" s="2"/>
      <c r="T108" s="2"/>
    </row>
    <row r="109" spans="1:20" ht="12.75">
      <c r="A109" s="2" t="s">
        <v>991</v>
      </c>
      <c r="B109" s="2">
        <f>SUM('Apprp. Database'!E227:E271)</f>
        <v>57753420</v>
      </c>
      <c r="C109" s="2">
        <f>SUM('Apprp. Database'!F227:F271)</f>
        <v>61677946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"/>
      <c r="P109" s="2"/>
      <c r="Q109" s="2"/>
      <c r="R109" s="2"/>
      <c r="S109" s="2"/>
      <c r="T109" s="2"/>
    </row>
    <row r="110" spans="1:20" ht="12.75">
      <c r="A110" s="2" t="s">
        <v>992</v>
      </c>
      <c r="B110" s="20">
        <f>SUM('Apprp. Database'!E225:E226)</f>
        <v>66091354</v>
      </c>
      <c r="C110" s="20">
        <f>SUM('Apprp. Database'!F225:F226)</f>
        <v>76327373</v>
      </c>
      <c r="D110" s="20">
        <v>0</v>
      </c>
      <c r="E110" s="20">
        <v>0</v>
      </c>
      <c r="F110" s="291" t="s">
        <v>983</v>
      </c>
      <c r="G110" s="291" t="s">
        <v>983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 t="s">
        <v>993</v>
      </c>
      <c r="B112" s="2">
        <f aca="true" t="shared" si="5" ref="B112:N112">SUM(B102:B110)</f>
        <v>553622314</v>
      </c>
      <c r="C112" s="2">
        <f t="shared" si="5"/>
        <v>632924194</v>
      </c>
      <c r="D112" s="2">
        <f t="shared" si="5"/>
        <v>13620935</v>
      </c>
      <c r="E112" s="2">
        <f t="shared" si="5"/>
        <v>0</v>
      </c>
      <c r="F112" s="2">
        <f t="shared" si="5"/>
        <v>0</v>
      </c>
      <c r="G112" s="2">
        <f t="shared" si="5"/>
        <v>0</v>
      </c>
      <c r="H112" s="2">
        <f t="shared" si="5"/>
        <v>0</v>
      </c>
      <c r="I112" s="2">
        <f t="shared" si="5"/>
        <v>0</v>
      </c>
      <c r="J112" s="2">
        <f t="shared" si="5"/>
        <v>0</v>
      </c>
      <c r="K112" s="2">
        <f t="shared" si="5"/>
        <v>0</v>
      </c>
      <c r="L112" s="2">
        <f t="shared" si="5"/>
        <v>0</v>
      </c>
      <c r="M112" s="2">
        <f t="shared" si="5"/>
        <v>0</v>
      </c>
      <c r="N112" s="2">
        <f t="shared" si="5"/>
        <v>0</v>
      </c>
      <c r="O112" s="2"/>
      <c r="P112" s="2"/>
      <c r="Q112" s="2"/>
      <c r="R112" s="2"/>
      <c r="S112" s="2"/>
      <c r="T112" s="2"/>
    </row>
    <row r="113" spans="1:20" ht="12.75">
      <c r="A113" s="2"/>
      <c r="B113" s="291" t="s">
        <v>977</v>
      </c>
      <c r="C113" s="291" t="s">
        <v>977</v>
      </c>
      <c r="D113" s="291" t="s">
        <v>977</v>
      </c>
      <c r="E113" s="291" t="s">
        <v>977</v>
      </c>
      <c r="F113" s="291" t="s">
        <v>977</v>
      </c>
      <c r="G113" s="291" t="s">
        <v>977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0" t="s">
        <v>402</v>
      </c>
      <c r="B115" s="195"/>
      <c r="C115" s="195"/>
      <c r="D115" s="196" t="s">
        <v>997</v>
      </c>
      <c r="E115" s="195"/>
      <c r="F115" s="195"/>
      <c r="G115" s="195"/>
      <c r="H115" s="196"/>
      <c r="I115" s="116"/>
      <c r="J115" s="116"/>
      <c r="K115" s="116"/>
      <c r="L115" s="116"/>
      <c r="M115" s="116"/>
      <c r="N115" s="116"/>
      <c r="O115" s="2"/>
      <c r="P115" s="2"/>
      <c r="Q115" s="2"/>
      <c r="R115" s="2"/>
      <c r="S115" s="2"/>
      <c r="T115" s="2"/>
    </row>
    <row r="116" spans="1:20" ht="12.75">
      <c r="A116" s="2"/>
      <c r="B116" s="195"/>
      <c r="C116" s="195"/>
      <c r="D116" s="195" t="s">
        <v>998</v>
      </c>
      <c r="E116" s="195"/>
      <c r="F116" s="195"/>
      <c r="G116" s="195"/>
      <c r="H116" s="197" t="s">
        <v>929</v>
      </c>
      <c r="I116" s="197"/>
      <c r="J116" s="197"/>
      <c r="K116" s="197"/>
      <c r="L116" s="197"/>
      <c r="M116" s="197"/>
      <c r="N116" s="197"/>
      <c r="O116" s="2"/>
      <c r="P116" s="2"/>
      <c r="Q116" s="2"/>
      <c r="R116" s="2"/>
      <c r="S116" s="2"/>
      <c r="T116" s="2"/>
    </row>
    <row r="117" spans="1:20" ht="12.75">
      <c r="A117" s="2"/>
      <c r="B117" s="293" t="s">
        <v>977</v>
      </c>
      <c r="C117" s="293" t="s">
        <v>977</v>
      </c>
      <c r="D117" s="293" t="s">
        <v>977</v>
      </c>
      <c r="E117" s="293" t="s">
        <v>977</v>
      </c>
      <c r="F117" s="293" t="s">
        <v>977</v>
      </c>
      <c r="G117" s="293" t="s">
        <v>977</v>
      </c>
      <c r="H117" s="116" t="s">
        <v>932</v>
      </c>
      <c r="I117" s="196"/>
      <c r="J117" s="116"/>
      <c r="K117" s="196"/>
      <c r="L117" s="116"/>
      <c r="M117" s="116"/>
      <c r="N117" s="196"/>
      <c r="O117" s="2"/>
      <c r="P117" s="2"/>
      <c r="Q117" s="2"/>
      <c r="R117" s="2"/>
      <c r="S117" s="2"/>
      <c r="T117" s="2"/>
    </row>
    <row r="118" spans="1:20" ht="12.75">
      <c r="A118" s="2"/>
      <c r="B118" s="196" t="s">
        <v>999</v>
      </c>
      <c r="C118" s="196" t="s">
        <v>999</v>
      </c>
      <c r="D118" s="195"/>
      <c r="E118" s="195"/>
      <c r="F118" s="195"/>
      <c r="G118" s="195"/>
      <c r="H118" s="116" t="s">
        <v>935</v>
      </c>
      <c r="I118" s="116" t="s">
        <v>936</v>
      </c>
      <c r="J118" s="116" t="s">
        <v>937</v>
      </c>
      <c r="K118" s="116" t="s">
        <v>937</v>
      </c>
      <c r="L118" s="116" t="s">
        <v>938</v>
      </c>
      <c r="M118" s="196"/>
      <c r="N118" s="196"/>
      <c r="O118" s="2"/>
      <c r="P118" s="2"/>
      <c r="Q118" s="2"/>
      <c r="R118" s="2"/>
      <c r="S118" s="2"/>
      <c r="T118" s="2"/>
    </row>
    <row r="119" spans="1:20" ht="12.75">
      <c r="A119" s="2"/>
      <c r="B119" s="196" t="s">
        <v>1000</v>
      </c>
      <c r="C119" s="196" t="s">
        <v>1000</v>
      </c>
      <c r="D119" s="196" t="s">
        <v>1001</v>
      </c>
      <c r="E119" s="196" t="s">
        <v>950</v>
      </c>
      <c r="F119" s="196" t="s">
        <v>1002</v>
      </c>
      <c r="G119" s="196" t="s">
        <v>1002</v>
      </c>
      <c r="H119" s="116" t="s">
        <v>942</v>
      </c>
      <c r="I119" s="116" t="s">
        <v>943</v>
      </c>
      <c r="J119" s="116" t="s">
        <v>944</v>
      </c>
      <c r="K119" s="116" t="s">
        <v>945</v>
      </c>
      <c r="L119" s="116" t="s">
        <v>945</v>
      </c>
      <c r="M119" s="116" t="s">
        <v>946</v>
      </c>
      <c r="N119" s="196"/>
      <c r="O119" s="2"/>
      <c r="P119" s="2"/>
      <c r="Q119" s="2"/>
      <c r="R119" s="2"/>
      <c r="S119" s="2"/>
      <c r="T119" s="2"/>
    </row>
    <row r="120" spans="1:20" ht="12.75">
      <c r="A120" s="2"/>
      <c r="B120" s="198" t="s">
        <v>1003</v>
      </c>
      <c r="C120" s="198" t="s">
        <v>930</v>
      </c>
      <c r="D120" s="199"/>
      <c r="E120" s="199"/>
      <c r="F120" s="198" t="s">
        <v>947</v>
      </c>
      <c r="G120" s="198" t="s">
        <v>930</v>
      </c>
      <c r="H120" s="197" t="s">
        <v>951</v>
      </c>
      <c r="I120" s="197" t="s">
        <v>941</v>
      </c>
      <c r="J120" s="197" t="s">
        <v>952</v>
      </c>
      <c r="K120" s="197" t="s">
        <v>953</v>
      </c>
      <c r="L120" s="197" t="s">
        <v>953</v>
      </c>
      <c r="M120" s="197" t="s">
        <v>951</v>
      </c>
      <c r="N120" s="197" t="s">
        <v>950</v>
      </c>
      <c r="O120" s="2"/>
      <c r="P120" s="2"/>
      <c r="Q120" s="2"/>
      <c r="R120" s="2"/>
      <c r="S120" s="2"/>
      <c r="T120" s="2"/>
    </row>
    <row r="121" spans="1:20" ht="12.75">
      <c r="A121" s="2" t="s">
        <v>982</v>
      </c>
      <c r="B121" s="20">
        <f>'Apprp. Database'!E272</f>
        <v>240698186</v>
      </c>
      <c r="C121" s="20">
        <f>'Apprp. Database'!F272</f>
        <v>244048330</v>
      </c>
      <c r="D121" s="20">
        <v>0</v>
      </c>
      <c r="E121" s="20">
        <v>0</v>
      </c>
      <c r="F121" s="291" t="s">
        <v>983</v>
      </c>
      <c r="G121" s="291" t="s">
        <v>983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"/>
      <c r="P121" s="2"/>
      <c r="Q121" s="2"/>
      <c r="R121" s="2"/>
      <c r="S121" s="2"/>
      <c r="T121" s="2"/>
    </row>
    <row r="122" spans="1:20" ht="12.75">
      <c r="A122" s="2" t="s">
        <v>984</v>
      </c>
      <c r="B122" s="20">
        <f>'Apprp. Database'!E273</f>
        <v>44648391</v>
      </c>
      <c r="C122" s="20">
        <f>'Apprp. Database'!F273</f>
        <v>45026833</v>
      </c>
      <c r="D122" s="20">
        <v>0</v>
      </c>
      <c r="E122" s="20">
        <v>0</v>
      </c>
      <c r="F122" s="291" t="s">
        <v>983</v>
      </c>
      <c r="G122" s="291" t="s">
        <v>983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"/>
      <c r="P122" s="2"/>
      <c r="Q122" s="2"/>
      <c r="R122" s="2"/>
      <c r="S122" s="2"/>
      <c r="T122" s="2"/>
    </row>
    <row r="123" spans="1:20" ht="12.75">
      <c r="A123" s="2" t="s">
        <v>985</v>
      </c>
      <c r="B123" s="20">
        <v>0</v>
      </c>
      <c r="C123" s="20">
        <v>0</v>
      </c>
      <c r="D123" s="20">
        <v>0</v>
      </c>
      <c r="E123" s="20">
        <v>0</v>
      </c>
      <c r="F123" s="291" t="s">
        <v>983</v>
      </c>
      <c r="G123" s="291" t="s">
        <v>983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"/>
      <c r="P123" s="2"/>
      <c r="Q123" s="2"/>
      <c r="R123" s="2"/>
      <c r="S123" s="2"/>
      <c r="T123" s="2"/>
    </row>
    <row r="124" spans="1:20" ht="12.75">
      <c r="A124" s="2" t="s">
        <v>986</v>
      </c>
      <c r="B124" s="20">
        <f>SUM('Apprp. Database'!E274:E279)</f>
        <v>149522445</v>
      </c>
      <c r="C124" s="20">
        <f>SUM('Apprp. Database'!F274:F279)</f>
        <v>153795335</v>
      </c>
      <c r="D124" s="20">
        <v>0</v>
      </c>
      <c r="E124" s="20">
        <v>0</v>
      </c>
      <c r="F124" s="291" t="s">
        <v>983</v>
      </c>
      <c r="G124" s="291" t="s">
        <v>983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"/>
      <c r="P124" s="2"/>
      <c r="Q124" s="2"/>
      <c r="R124" s="2"/>
      <c r="S124" s="2"/>
      <c r="T124" s="2"/>
    </row>
    <row r="125" spans="1:20" ht="12.75">
      <c r="A125" s="2" t="s">
        <v>987</v>
      </c>
      <c r="B125" s="20">
        <f>SUM('Apprp. Database'!E280:E281)</f>
        <v>28604813</v>
      </c>
      <c r="C125" s="20">
        <f>SUM('Apprp. Database'!F280:F281)</f>
        <v>29625624</v>
      </c>
      <c r="D125" s="20">
        <v>0</v>
      </c>
      <c r="E125" s="20">
        <v>0</v>
      </c>
      <c r="F125" s="291" t="s">
        <v>983</v>
      </c>
      <c r="G125" s="291" t="s">
        <v>983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"/>
      <c r="P125" s="2"/>
      <c r="Q125" s="2"/>
      <c r="R125" s="2"/>
      <c r="S125" s="2"/>
      <c r="T125" s="2"/>
    </row>
    <row r="126" spans="1:20" ht="12.75">
      <c r="A126" s="2" t="s">
        <v>988</v>
      </c>
      <c r="B126" s="20">
        <f>'Apprp. Database'!E282</f>
        <v>11300811</v>
      </c>
      <c r="C126" s="20">
        <f>'Apprp. Database'!F282</f>
        <v>11768364</v>
      </c>
      <c r="D126" s="20">
        <v>0</v>
      </c>
      <c r="E126" s="20">
        <v>0</v>
      </c>
      <c r="F126" s="291" t="s">
        <v>983</v>
      </c>
      <c r="G126" s="291" t="s">
        <v>983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"/>
      <c r="P126" s="2"/>
      <c r="Q126" s="2"/>
      <c r="R126" s="2"/>
      <c r="S126" s="2"/>
      <c r="T126" s="2"/>
    </row>
    <row r="127" spans="1:20" ht="12.75">
      <c r="A127" s="2" t="s">
        <v>994</v>
      </c>
      <c r="B127" s="20">
        <f>SUM('Apprp. Database'!E283:E300)</f>
        <v>129310139</v>
      </c>
      <c r="C127" s="20">
        <f>SUM('Apprp. Database'!F283:F300)</f>
        <v>133079956</v>
      </c>
      <c r="D127" s="20">
        <v>0</v>
      </c>
      <c r="E127" s="20">
        <v>0</v>
      </c>
      <c r="F127" s="20">
        <f>SUM('Apprp. Database'!G283:G300)</f>
        <v>136661244</v>
      </c>
      <c r="G127" s="20">
        <f>SUM('Apprp. Database'!H283:H300)</f>
        <v>138018042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"/>
      <c r="P127" s="2"/>
      <c r="Q127" s="2"/>
      <c r="R127" s="2"/>
      <c r="S127" s="2"/>
      <c r="T127" s="2"/>
    </row>
    <row r="128" spans="1:20" ht="12.75">
      <c r="A128" s="2" t="s">
        <v>991</v>
      </c>
      <c r="B128" s="20">
        <v>0</v>
      </c>
      <c r="C128" s="20">
        <v>0</v>
      </c>
      <c r="D128" s="20">
        <v>0</v>
      </c>
      <c r="E128" s="49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"/>
      <c r="P128" s="2"/>
      <c r="Q128" s="2"/>
      <c r="R128" s="2"/>
      <c r="S128" s="2"/>
      <c r="T128" s="2"/>
    </row>
    <row r="129" spans="1:20" ht="12.75">
      <c r="A129" s="2" t="s">
        <v>992</v>
      </c>
      <c r="B129" s="20">
        <v>0</v>
      </c>
      <c r="C129" s="20">
        <f>'Apprp. Database'!F302</f>
        <v>3865000</v>
      </c>
      <c r="D129" s="20">
        <v>0</v>
      </c>
      <c r="E129" s="20">
        <f>'Apprp. Database'!J301</f>
        <v>106100928</v>
      </c>
      <c r="F129" s="291" t="s">
        <v>983</v>
      </c>
      <c r="G129" s="291" t="s">
        <v>983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"/>
      <c r="P129" s="2"/>
      <c r="Q129" s="2"/>
      <c r="R129" s="2"/>
      <c r="S129" s="2"/>
      <c r="T129" s="2"/>
    </row>
    <row r="130" spans="1:20" ht="12.75">
      <c r="A130" s="2"/>
      <c r="B130" s="20"/>
      <c r="C130" s="2"/>
      <c r="D130" s="2"/>
      <c r="E130" s="20"/>
      <c r="F130" s="2"/>
      <c r="G130" s="2"/>
      <c r="H130" s="20"/>
      <c r="I130" s="20"/>
      <c r="J130" s="20"/>
      <c r="K130" s="20"/>
      <c r="L130" s="20"/>
      <c r="M130" s="20"/>
      <c r="N130" s="20"/>
      <c r="O130" s="2"/>
      <c r="P130" s="2"/>
      <c r="Q130" s="2"/>
      <c r="R130" s="2"/>
      <c r="S130" s="2"/>
      <c r="T130" s="2"/>
    </row>
    <row r="131" spans="1:20" ht="12.75">
      <c r="A131" s="2" t="s">
        <v>993</v>
      </c>
      <c r="B131" s="2">
        <f aca="true" t="shared" si="6" ref="B131:N131">SUM(B121:B129)</f>
        <v>604084785</v>
      </c>
      <c r="C131" s="2">
        <f t="shared" si="6"/>
        <v>621209442</v>
      </c>
      <c r="D131" s="2">
        <f t="shared" si="6"/>
        <v>0</v>
      </c>
      <c r="E131" s="2">
        <f t="shared" si="6"/>
        <v>106100928</v>
      </c>
      <c r="F131" s="2">
        <f t="shared" si="6"/>
        <v>136661244</v>
      </c>
      <c r="G131" s="2">
        <f t="shared" si="6"/>
        <v>138018042</v>
      </c>
      <c r="H131" s="2">
        <f t="shared" si="6"/>
        <v>0</v>
      </c>
      <c r="I131" s="2">
        <f t="shared" si="6"/>
        <v>0</v>
      </c>
      <c r="J131" s="2">
        <f t="shared" si="6"/>
        <v>0</v>
      </c>
      <c r="K131" s="2">
        <f t="shared" si="6"/>
        <v>0</v>
      </c>
      <c r="L131" s="2">
        <f t="shared" si="6"/>
        <v>0</v>
      </c>
      <c r="M131" s="2">
        <f t="shared" si="6"/>
        <v>0</v>
      </c>
      <c r="N131" s="2">
        <f t="shared" si="6"/>
        <v>0</v>
      </c>
      <c r="O131" s="2"/>
      <c r="P131" s="2"/>
      <c r="Q131" s="2"/>
      <c r="R131" s="2"/>
      <c r="S131" s="2"/>
      <c r="T131" s="2"/>
    </row>
    <row r="132" spans="1:20" ht="12.75">
      <c r="A132" s="2"/>
      <c r="B132" s="291" t="s">
        <v>977</v>
      </c>
      <c r="C132" s="291" t="s">
        <v>977</v>
      </c>
      <c r="D132" s="291" t="s">
        <v>977</v>
      </c>
      <c r="E132" s="291" t="s">
        <v>977</v>
      </c>
      <c r="F132" s="291" t="s">
        <v>977</v>
      </c>
      <c r="G132" s="291" t="s">
        <v>977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0" t="s">
        <v>435</v>
      </c>
      <c r="B134" s="195"/>
      <c r="C134" s="195"/>
      <c r="D134" s="196" t="s">
        <v>997</v>
      </c>
      <c r="E134" s="195"/>
      <c r="F134" s="195"/>
      <c r="G134" s="195"/>
      <c r="H134" s="196"/>
      <c r="I134" s="116"/>
      <c r="J134" s="116"/>
      <c r="K134" s="116"/>
      <c r="L134" s="116"/>
      <c r="M134" s="116"/>
      <c r="N134" s="116"/>
      <c r="O134" s="2"/>
      <c r="P134" s="2"/>
      <c r="Q134" s="2"/>
      <c r="R134" s="2"/>
      <c r="S134" s="2"/>
      <c r="T134" s="2"/>
    </row>
    <row r="135" spans="1:20" ht="12.75">
      <c r="A135" s="2"/>
      <c r="B135" s="195"/>
      <c r="C135" s="195"/>
      <c r="D135" s="195" t="s">
        <v>998</v>
      </c>
      <c r="E135" s="195"/>
      <c r="F135" s="195"/>
      <c r="G135" s="195"/>
      <c r="H135" s="197" t="s">
        <v>929</v>
      </c>
      <c r="I135" s="197"/>
      <c r="J135" s="197"/>
      <c r="K135" s="197"/>
      <c r="L135" s="197"/>
      <c r="M135" s="197"/>
      <c r="N135" s="197"/>
      <c r="O135" s="2"/>
      <c r="P135" s="2"/>
      <c r="Q135" s="2"/>
      <c r="R135" s="2"/>
      <c r="S135" s="2"/>
      <c r="T135" s="2"/>
    </row>
    <row r="136" spans="1:20" ht="12.75">
      <c r="A136" s="2"/>
      <c r="B136" s="293" t="s">
        <v>977</v>
      </c>
      <c r="C136" s="293" t="s">
        <v>977</v>
      </c>
      <c r="D136" s="293" t="s">
        <v>977</v>
      </c>
      <c r="E136" s="293" t="s">
        <v>977</v>
      </c>
      <c r="F136" s="293" t="s">
        <v>977</v>
      </c>
      <c r="G136" s="293" t="s">
        <v>977</v>
      </c>
      <c r="H136" s="116" t="s">
        <v>932</v>
      </c>
      <c r="I136" s="196"/>
      <c r="J136" s="116"/>
      <c r="K136" s="196"/>
      <c r="L136" s="116"/>
      <c r="M136" s="116"/>
      <c r="N136" s="196"/>
      <c r="O136" s="2"/>
      <c r="P136" s="2"/>
      <c r="Q136" s="2"/>
      <c r="R136" s="2"/>
      <c r="S136" s="2"/>
      <c r="T136" s="2"/>
    </row>
    <row r="137" spans="1:20" ht="12.75">
      <c r="A137" s="2"/>
      <c r="B137" s="196" t="s">
        <v>999</v>
      </c>
      <c r="C137" s="196" t="s">
        <v>999</v>
      </c>
      <c r="D137" s="195"/>
      <c r="E137" s="195"/>
      <c r="F137" s="195"/>
      <c r="G137" s="195"/>
      <c r="H137" s="116" t="s">
        <v>935</v>
      </c>
      <c r="I137" s="116" t="s">
        <v>936</v>
      </c>
      <c r="J137" s="116" t="s">
        <v>937</v>
      </c>
      <c r="K137" s="116" t="s">
        <v>937</v>
      </c>
      <c r="L137" s="116" t="s">
        <v>938</v>
      </c>
      <c r="M137" s="196"/>
      <c r="N137" s="196"/>
      <c r="O137" s="2"/>
      <c r="P137" s="2"/>
      <c r="Q137" s="2"/>
      <c r="R137" s="2"/>
      <c r="S137" s="2"/>
      <c r="T137" s="2"/>
    </row>
    <row r="138" spans="1:20" ht="12.75">
      <c r="A138" s="2"/>
      <c r="B138" s="196" t="s">
        <v>1000</v>
      </c>
      <c r="C138" s="196" t="s">
        <v>1000</v>
      </c>
      <c r="D138" s="196" t="s">
        <v>1001</v>
      </c>
      <c r="E138" s="196" t="s">
        <v>950</v>
      </c>
      <c r="F138" s="196" t="s">
        <v>1002</v>
      </c>
      <c r="G138" s="196" t="s">
        <v>1002</v>
      </c>
      <c r="H138" s="116" t="s">
        <v>942</v>
      </c>
      <c r="I138" s="116" t="s">
        <v>943</v>
      </c>
      <c r="J138" s="116" t="s">
        <v>944</v>
      </c>
      <c r="K138" s="116" t="s">
        <v>945</v>
      </c>
      <c r="L138" s="116" t="s">
        <v>945</v>
      </c>
      <c r="M138" s="116" t="s">
        <v>946</v>
      </c>
      <c r="N138" s="196"/>
      <c r="O138" s="2"/>
      <c r="P138" s="2"/>
      <c r="Q138" s="2"/>
      <c r="R138" s="2"/>
      <c r="S138" s="2"/>
      <c r="T138" s="2"/>
    </row>
    <row r="139" spans="1:20" ht="12.75">
      <c r="A139" s="2"/>
      <c r="B139" s="198" t="s">
        <v>1003</v>
      </c>
      <c r="C139" s="198" t="s">
        <v>930</v>
      </c>
      <c r="D139" s="199"/>
      <c r="E139" s="199"/>
      <c r="F139" s="198" t="s">
        <v>947</v>
      </c>
      <c r="G139" s="198" t="s">
        <v>930</v>
      </c>
      <c r="H139" s="197" t="s">
        <v>951</v>
      </c>
      <c r="I139" s="197" t="s">
        <v>941</v>
      </c>
      <c r="J139" s="197" t="s">
        <v>952</v>
      </c>
      <c r="K139" s="197" t="s">
        <v>953</v>
      </c>
      <c r="L139" s="197" t="s">
        <v>953</v>
      </c>
      <c r="M139" s="197" t="s">
        <v>951</v>
      </c>
      <c r="N139" s="197" t="s">
        <v>950</v>
      </c>
      <c r="O139" s="2"/>
      <c r="P139" s="2"/>
      <c r="Q139" s="2"/>
      <c r="R139" s="2"/>
      <c r="S139" s="2"/>
      <c r="T139" s="2"/>
    </row>
    <row r="140" spans="1:20" ht="12.75">
      <c r="A140" s="2" t="s">
        <v>982</v>
      </c>
      <c r="B140" s="20">
        <f>'Apprp. Database'!E303</f>
        <v>63826543</v>
      </c>
      <c r="C140" s="20">
        <f>'Apprp. Database'!F303</f>
        <v>63855771</v>
      </c>
      <c r="D140" s="20">
        <f>'Apprp. Database'!I303</f>
        <v>9229915</v>
      </c>
      <c r="E140" s="20">
        <v>0</v>
      </c>
      <c r="F140" s="291" t="s">
        <v>983</v>
      </c>
      <c r="G140" s="291" t="s">
        <v>983</v>
      </c>
      <c r="H140" s="20">
        <v>0</v>
      </c>
      <c r="I140" s="20">
        <v>0</v>
      </c>
      <c r="J140" s="20">
        <f>'Apprp. Database'!M303</f>
        <v>17907257</v>
      </c>
      <c r="K140" s="20">
        <f>'Apprp. Database'!N303</f>
        <v>18745965</v>
      </c>
      <c r="L140" s="20">
        <v>0</v>
      </c>
      <c r="M140" s="20">
        <f>'Apprp. Database'!P303</f>
        <v>6484022</v>
      </c>
      <c r="N140" s="20">
        <v>0</v>
      </c>
      <c r="O140" s="2"/>
      <c r="P140" s="2"/>
      <c r="Q140" s="2"/>
      <c r="R140" s="2"/>
      <c r="S140" s="2"/>
      <c r="T140" s="2"/>
    </row>
    <row r="141" spans="1:20" ht="12.75">
      <c r="A141" s="2" t="s">
        <v>984</v>
      </c>
      <c r="B141" s="20">
        <f>SUM('Apprp. Database'!E304:E305)</f>
        <v>111800230</v>
      </c>
      <c r="C141" s="20">
        <f>SUM('Apprp. Database'!F304:F305)</f>
        <v>112361553</v>
      </c>
      <c r="D141" s="20">
        <v>0</v>
      </c>
      <c r="E141" s="20">
        <v>0</v>
      </c>
      <c r="F141" s="291" t="s">
        <v>983</v>
      </c>
      <c r="G141" s="291" t="s">
        <v>983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f>SUM('Apprp. Database'!P304:P305)</f>
        <v>10500704</v>
      </c>
      <c r="N141" s="20">
        <v>0</v>
      </c>
      <c r="O141" s="2"/>
      <c r="P141" s="2"/>
      <c r="Q141" s="2"/>
      <c r="R141" s="2"/>
      <c r="S141" s="2"/>
      <c r="T141" s="2"/>
    </row>
    <row r="142" spans="1:20" ht="12.75">
      <c r="A142" s="2" t="s">
        <v>985</v>
      </c>
      <c r="B142" s="20">
        <f>'Apprp. Database'!E306</f>
        <v>26319879</v>
      </c>
      <c r="C142" s="20">
        <f>'Apprp. Database'!F306</f>
        <v>28143941</v>
      </c>
      <c r="D142" s="20">
        <v>0</v>
      </c>
      <c r="E142" s="20">
        <v>0</v>
      </c>
      <c r="F142" s="291" t="s">
        <v>983</v>
      </c>
      <c r="G142" s="291" t="s">
        <v>983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f>'Apprp. Database'!P306</f>
        <v>356807</v>
      </c>
      <c r="N142" s="20">
        <v>0</v>
      </c>
      <c r="O142" s="2"/>
      <c r="P142" s="2"/>
      <c r="Q142" s="2"/>
      <c r="R142" s="2"/>
      <c r="S142" s="2"/>
      <c r="T142" s="2"/>
    </row>
    <row r="143" spans="1:20" ht="12.75">
      <c r="A143" s="2" t="s">
        <v>986</v>
      </c>
      <c r="B143" s="20">
        <v>0</v>
      </c>
      <c r="C143" s="20">
        <v>0</v>
      </c>
      <c r="D143" s="20">
        <v>0</v>
      </c>
      <c r="E143" s="20">
        <v>0</v>
      </c>
      <c r="F143" s="291" t="s">
        <v>983</v>
      </c>
      <c r="G143" s="291" t="s">
        <v>983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"/>
      <c r="P143" s="2"/>
      <c r="Q143" s="2"/>
      <c r="R143" s="2"/>
      <c r="S143" s="2"/>
      <c r="T143" s="2"/>
    </row>
    <row r="144" spans="1:20" ht="12.75">
      <c r="A144" s="2" t="s">
        <v>987</v>
      </c>
      <c r="B144" s="20">
        <f>SUM('Apprp. Database'!E307:E308)</f>
        <v>30686734</v>
      </c>
      <c r="C144" s="20">
        <f>SUM('Apprp. Database'!F307:F308)</f>
        <v>31215370</v>
      </c>
      <c r="D144" s="20">
        <v>0</v>
      </c>
      <c r="E144" s="20">
        <v>0</v>
      </c>
      <c r="F144" s="291" t="s">
        <v>983</v>
      </c>
      <c r="G144" s="291" t="s">
        <v>983</v>
      </c>
      <c r="H144" s="20">
        <v>0</v>
      </c>
      <c r="I144" s="20">
        <v>0</v>
      </c>
      <c r="J144" s="20">
        <v>0</v>
      </c>
      <c r="K144" s="20">
        <f>'Apprp. Database'!N307</f>
        <v>4000000</v>
      </c>
      <c r="L144" s="20">
        <v>0</v>
      </c>
      <c r="M144" s="20">
        <v>0</v>
      </c>
      <c r="N144" s="20">
        <v>0</v>
      </c>
      <c r="O144" s="2"/>
      <c r="P144" s="2"/>
      <c r="Q144" s="2"/>
      <c r="R144" s="2"/>
      <c r="S144" s="2"/>
      <c r="T144" s="2"/>
    </row>
    <row r="145" spans="1:20" ht="12.75">
      <c r="A145" s="2" t="s">
        <v>988</v>
      </c>
      <c r="B145" s="20">
        <f>SUM('Apprp. Database'!E309:E310)</f>
        <v>22431837</v>
      </c>
      <c r="C145" s="20">
        <f>SUM('Apprp. Database'!F309:F310)</f>
        <v>22177402</v>
      </c>
      <c r="D145" s="20">
        <v>0</v>
      </c>
      <c r="E145" s="20">
        <v>0</v>
      </c>
      <c r="F145" s="291" t="s">
        <v>983</v>
      </c>
      <c r="G145" s="291" t="s">
        <v>983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"/>
      <c r="P145" s="2"/>
      <c r="Q145" s="2"/>
      <c r="R145" s="2"/>
      <c r="S145" s="2"/>
      <c r="T145" s="2"/>
    </row>
    <row r="146" spans="1:20" ht="12.75">
      <c r="A146" s="2" t="s">
        <v>994</v>
      </c>
      <c r="B146" s="20">
        <f>SUM('Apprp. Database'!E312:E326)</f>
        <v>130775747</v>
      </c>
      <c r="C146" s="20">
        <f>SUM('Apprp. Database'!F312:F326)</f>
        <v>133399110</v>
      </c>
      <c r="D146" s="20">
        <v>0</v>
      </c>
      <c r="E146" s="20">
        <v>0</v>
      </c>
      <c r="F146" s="20">
        <f>SUM('Apprp. Database'!G312:G326)</f>
        <v>27884252</v>
      </c>
      <c r="G146" s="20">
        <f>SUM('Apprp. Database'!H312:H326)</f>
        <v>28343967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"/>
      <c r="P146" s="2"/>
      <c r="Q146" s="2"/>
      <c r="R146" s="2"/>
      <c r="S146" s="2"/>
      <c r="T146" s="2"/>
    </row>
    <row r="147" spans="1:20" ht="12.75">
      <c r="A147" s="2" t="s">
        <v>991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"/>
      <c r="P147" s="2"/>
      <c r="Q147" s="2"/>
      <c r="R147" s="2"/>
      <c r="S147" s="2"/>
      <c r="T147" s="2"/>
    </row>
    <row r="148" spans="1:20" ht="12.75">
      <c r="A148" s="2" t="s">
        <v>992</v>
      </c>
      <c r="B148" s="20">
        <f>'Apprp. Database'!E311</f>
        <v>104398932</v>
      </c>
      <c r="C148" s="2"/>
      <c r="D148" s="20">
        <v>0</v>
      </c>
      <c r="E148" s="203">
        <f>'Apprp. Database'!J311</f>
        <v>108247987</v>
      </c>
      <c r="F148" s="291" t="s">
        <v>983</v>
      </c>
      <c r="G148" s="291" t="s">
        <v>983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 t="s">
        <v>993</v>
      </c>
      <c r="B150" s="2">
        <f aca="true" t="shared" si="7" ref="B150:N150">SUM(B140:B148)</f>
        <v>490239902</v>
      </c>
      <c r="C150" s="2">
        <f t="shared" si="7"/>
        <v>391153147</v>
      </c>
      <c r="D150" s="2">
        <f t="shared" si="7"/>
        <v>9229915</v>
      </c>
      <c r="E150" s="2">
        <f t="shared" si="7"/>
        <v>108247987</v>
      </c>
      <c r="F150" s="2">
        <f t="shared" si="7"/>
        <v>27884252</v>
      </c>
      <c r="G150" s="2">
        <f t="shared" si="7"/>
        <v>28343967</v>
      </c>
      <c r="H150" s="2">
        <f t="shared" si="7"/>
        <v>0</v>
      </c>
      <c r="I150" s="2">
        <f t="shared" si="7"/>
        <v>0</v>
      </c>
      <c r="J150" s="2">
        <f t="shared" si="7"/>
        <v>17907257</v>
      </c>
      <c r="K150" s="204">
        <f t="shared" si="7"/>
        <v>22745965</v>
      </c>
      <c r="L150" s="2">
        <f t="shared" si="7"/>
        <v>0</v>
      </c>
      <c r="M150" s="2">
        <f t="shared" si="7"/>
        <v>17341533</v>
      </c>
      <c r="N150" s="2">
        <f t="shared" si="7"/>
        <v>0</v>
      </c>
      <c r="O150" s="2"/>
      <c r="P150" s="2"/>
      <c r="Q150" s="2"/>
      <c r="R150" s="2"/>
      <c r="S150" s="2"/>
      <c r="T150" s="2"/>
    </row>
    <row r="151" spans="1:20" ht="12.75">
      <c r="A151" s="2"/>
      <c r="B151" s="291" t="s">
        <v>977</v>
      </c>
      <c r="C151" s="291" t="s">
        <v>977</v>
      </c>
      <c r="D151" s="291" t="s">
        <v>977</v>
      </c>
      <c r="E151" s="291" t="s">
        <v>977</v>
      </c>
      <c r="F151" s="291" t="s">
        <v>977</v>
      </c>
      <c r="G151" s="291" t="s">
        <v>977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0" t="s">
        <v>461</v>
      </c>
      <c r="B153" s="195"/>
      <c r="C153" s="195"/>
      <c r="D153" s="196" t="s">
        <v>997</v>
      </c>
      <c r="E153" s="195"/>
      <c r="F153" s="195"/>
      <c r="G153" s="195"/>
      <c r="H153" s="196"/>
      <c r="I153" s="116"/>
      <c r="J153" s="116"/>
      <c r="K153" s="116"/>
      <c r="L153" s="116"/>
      <c r="M153" s="116"/>
      <c r="N153" s="116"/>
      <c r="O153" s="2"/>
      <c r="P153" s="2"/>
      <c r="Q153" s="2"/>
      <c r="R153" s="2"/>
      <c r="S153" s="2"/>
      <c r="T153" s="2"/>
    </row>
    <row r="154" spans="1:20" ht="12.75">
      <c r="A154" s="2"/>
      <c r="B154" s="195"/>
      <c r="C154" s="195"/>
      <c r="D154" s="195" t="s">
        <v>998</v>
      </c>
      <c r="E154" s="195"/>
      <c r="F154" s="195"/>
      <c r="G154" s="195"/>
      <c r="H154" s="197" t="s">
        <v>929</v>
      </c>
      <c r="I154" s="197"/>
      <c r="J154" s="197"/>
      <c r="K154" s="197"/>
      <c r="L154" s="197"/>
      <c r="M154" s="197"/>
      <c r="N154" s="197"/>
      <c r="O154" s="2"/>
      <c r="P154" s="2"/>
      <c r="Q154" s="2"/>
      <c r="R154" s="2"/>
      <c r="S154" s="2"/>
      <c r="T154" s="2"/>
    </row>
    <row r="155" spans="1:20" ht="12.75">
      <c r="A155" s="2"/>
      <c r="B155" s="293" t="s">
        <v>977</v>
      </c>
      <c r="C155" s="293" t="s">
        <v>977</v>
      </c>
      <c r="D155" s="293" t="s">
        <v>977</v>
      </c>
      <c r="E155" s="293" t="s">
        <v>977</v>
      </c>
      <c r="F155" s="293" t="s">
        <v>977</v>
      </c>
      <c r="G155" s="293" t="s">
        <v>977</v>
      </c>
      <c r="H155" s="116" t="s">
        <v>932</v>
      </c>
      <c r="I155" s="196"/>
      <c r="J155" s="116"/>
      <c r="K155" s="196"/>
      <c r="L155" s="116"/>
      <c r="M155" s="116"/>
      <c r="N155" s="196"/>
      <c r="O155" s="2"/>
      <c r="P155" s="2"/>
      <c r="Q155" s="2"/>
      <c r="R155" s="2"/>
      <c r="S155" s="2"/>
      <c r="T155" s="2"/>
    </row>
    <row r="156" spans="1:20" ht="12.75">
      <c r="A156" s="2"/>
      <c r="B156" s="196" t="s">
        <v>999</v>
      </c>
      <c r="C156" s="196" t="s">
        <v>999</v>
      </c>
      <c r="D156" s="195"/>
      <c r="E156" s="195"/>
      <c r="F156" s="195"/>
      <c r="G156" s="195"/>
      <c r="H156" s="116" t="s">
        <v>935</v>
      </c>
      <c r="I156" s="116" t="s">
        <v>936</v>
      </c>
      <c r="J156" s="116" t="s">
        <v>937</v>
      </c>
      <c r="K156" s="116" t="s">
        <v>937</v>
      </c>
      <c r="L156" s="116" t="s">
        <v>938</v>
      </c>
      <c r="M156" s="196"/>
      <c r="N156" s="196"/>
      <c r="O156" s="2"/>
      <c r="P156" s="2"/>
      <c r="Q156" s="2"/>
      <c r="R156" s="2"/>
      <c r="S156" s="2"/>
      <c r="T156" s="2"/>
    </row>
    <row r="157" spans="1:20" ht="12.75">
      <c r="A157" s="2"/>
      <c r="B157" s="196" t="s">
        <v>1000</v>
      </c>
      <c r="C157" s="196" t="s">
        <v>1000</v>
      </c>
      <c r="D157" s="196" t="s">
        <v>1001</v>
      </c>
      <c r="E157" s="196" t="s">
        <v>950</v>
      </c>
      <c r="F157" s="196" t="s">
        <v>1002</v>
      </c>
      <c r="G157" s="196" t="s">
        <v>1002</v>
      </c>
      <c r="H157" s="116" t="s">
        <v>942</v>
      </c>
      <c r="I157" s="116" t="s">
        <v>943</v>
      </c>
      <c r="J157" s="116" t="s">
        <v>944</v>
      </c>
      <c r="K157" s="116" t="s">
        <v>945</v>
      </c>
      <c r="L157" s="116" t="s">
        <v>945</v>
      </c>
      <c r="M157" s="116" t="s">
        <v>946</v>
      </c>
      <c r="N157" s="196"/>
      <c r="O157" s="2"/>
      <c r="P157" s="2"/>
      <c r="Q157" s="2"/>
      <c r="R157" s="2"/>
      <c r="S157" s="2"/>
      <c r="T157" s="2"/>
    </row>
    <row r="158" spans="1:20" ht="12.75">
      <c r="A158" s="2"/>
      <c r="B158" s="198" t="s">
        <v>1003</v>
      </c>
      <c r="C158" s="198" t="s">
        <v>930</v>
      </c>
      <c r="D158" s="199"/>
      <c r="E158" s="199"/>
      <c r="F158" s="198" t="s">
        <v>947</v>
      </c>
      <c r="G158" s="198" t="s">
        <v>930</v>
      </c>
      <c r="H158" s="197" t="s">
        <v>951</v>
      </c>
      <c r="I158" s="197" t="s">
        <v>941</v>
      </c>
      <c r="J158" s="197" t="s">
        <v>952</v>
      </c>
      <c r="K158" s="197" t="s">
        <v>953</v>
      </c>
      <c r="L158" s="197" t="s">
        <v>953</v>
      </c>
      <c r="M158" s="197" t="s">
        <v>951</v>
      </c>
      <c r="N158" s="197" t="s">
        <v>950</v>
      </c>
      <c r="O158" s="2"/>
      <c r="P158" s="2"/>
      <c r="Q158" s="2"/>
      <c r="R158" s="2"/>
      <c r="S158" s="2"/>
      <c r="T158" s="2"/>
    </row>
    <row r="159" spans="1:20" ht="12.75">
      <c r="A159" s="2" t="s">
        <v>982</v>
      </c>
      <c r="B159" s="20">
        <f>SUM('Apprp. Database'!E327:E328)</f>
        <v>310949411</v>
      </c>
      <c r="C159" s="20">
        <f>SUM('Apprp. Database'!F327:F328)</f>
        <v>345875420</v>
      </c>
      <c r="D159" s="20">
        <f>'Apprp. Database'!I327</f>
        <v>20822882</v>
      </c>
      <c r="E159" s="20">
        <f>'Apprp. Database'!J328</f>
        <v>133340566</v>
      </c>
      <c r="F159" s="291" t="s">
        <v>983</v>
      </c>
      <c r="G159" s="291" t="s">
        <v>983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"/>
      <c r="P159" s="2"/>
      <c r="Q159" s="2"/>
      <c r="R159" s="2"/>
      <c r="S159" s="2"/>
      <c r="T159" s="2"/>
    </row>
    <row r="160" spans="1:20" ht="12.75">
      <c r="A160" s="2" t="s">
        <v>984</v>
      </c>
      <c r="B160" s="20">
        <f>'Apprp. Database'!E329</f>
        <v>58503395</v>
      </c>
      <c r="C160" s="20">
        <f>'Apprp. Database'!F329</f>
        <v>64841720</v>
      </c>
      <c r="D160" s="20">
        <v>0</v>
      </c>
      <c r="E160" s="20">
        <v>0</v>
      </c>
      <c r="F160" s="291" t="s">
        <v>983</v>
      </c>
      <c r="G160" s="291" t="s">
        <v>983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"/>
      <c r="P160" s="2"/>
      <c r="Q160" s="2"/>
      <c r="R160" s="2"/>
      <c r="S160" s="2"/>
      <c r="T160" s="2"/>
    </row>
    <row r="161" spans="1:20" ht="12.75">
      <c r="A161" s="2" t="s">
        <v>985</v>
      </c>
      <c r="B161" s="20">
        <f>SUM('Apprp. Database'!E330:E335)</f>
        <v>326266909</v>
      </c>
      <c r="C161" s="20">
        <f>SUM('Apprp. Database'!F330:F335)</f>
        <v>340017238</v>
      </c>
      <c r="D161" s="20">
        <v>0</v>
      </c>
      <c r="E161" s="20">
        <f>'Apprp. Database'!J331</f>
        <v>41521983</v>
      </c>
      <c r="F161" s="291" t="s">
        <v>983</v>
      </c>
      <c r="G161" s="291" t="s">
        <v>983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"/>
      <c r="P161" s="2"/>
      <c r="Q161" s="2"/>
      <c r="R161" s="2"/>
      <c r="S161" s="2"/>
      <c r="T161" s="2"/>
    </row>
    <row r="162" spans="1:20" ht="12.75">
      <c r="A162" s="2" t="s">
        <v>986</v>
      </c>
      <c r="B162" s="20">
        <f>SUM('Apprp. Database'!E336:E337)</f>
        <v>58761146</v>
      </c>
      <c r="C162" s="20">
        <f>SUM('Apprp. Database'!F336:F337)</f>
        <v>62145362</v>
      </c>
      <c r="D162" s="20">
        <v>0</v>
      </c>
      <c r="E162" s="20">
        <v>0</v>
      </c>
      <c r="F162" s="291" t="s">
        <v>983</v>
      </c>
      <c r="G162" s="291" t="s">
        <v>983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"/>
      <c r="P162" s="2"/>
      <c r="Q162" s="2"/>
      <c r="R162" s="2"/>
      <c r="S162" s="2"/>
      <c r="T162" s="2"/>
    </row>
    <row r="163" spans="1:20" ht="12.75">
      <c r="A163" s="2" t="s">
        <v>987</v>
      </c>
      <c r="B163" s="20">
        <f>'Apprp. Database'!E338</f>
        <v>18031017</v>
      </c>
      <c r="C163" s="20">
        <f>'Apprp. Database'!F338</f>
        <v>18704445</v>
      </c>
      <c r="D163" s="20">
        <v>0</v>
      </c>
      <c r="E163" s="20">
        <v>0</v>
      </c>
      <c r="F163" s="291" t="s">
        <v>983</v>
      </c>
      <c r="G163" s="291" t="s">
        <v>983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"/>
      <c r="P163" s="2"/>
      <c r="Q163" s="2"/>
      <c r="R163" s="2"/>
      <c r="S163" s="2"/>
      <c r="T163" s="2"/>
    </row>
    <row r="164" spans="1:20" ht="12.75">
      <c r="A164" s="2" t="s">
        <v>988</v>
      </c>
      <c r="B164" s="20">
        <f>SUM('Apprp. Database'!E339:E341)</f>
        <v>55073607</v>
      </c>
      <c r="C164" s="20">
        <f>SUM('Apprp. Database'!F339:F341)</f>
        <v>56261884</v>
      </c>
      <c r="D164" s="20">
        <v>0</v>
      </c>
      <c r="E164" s="20">
        <v>0</v>
      </c>
      <c r="F164" s="291" t="s">
        <v>983</v>
      </c>
      <c r="G164" s="291" t="s">
        <v>983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"/>
      <c r="P164" s="2"/>
      <c r="Q164" s="2"/>
      <c r="R164" s="2"/>
      <c r="S164" s="2"/>
      <c r="T164" s="2"/>
    </row>
    <row r="165" spans="1:20" ht="12.75">
      <c r="A165" s="2" t="s">
        <v>994</v>
      </c>
      <c r="B165" s="20">
        <f>'Apprp. Database'!E343</f>
        <v>378030016</v>
      </c>
      <c r="C165" s="20">
        <f>'Apprp. Database'!F343</f>
        <v>404250360</v>
      </c>
      <c r="D165" s="20">
        <v>0</v>
      </c>
      <c r="E165" s="20">
        <v>0</v>
      </c>
      <c r="F165" s="20">
        <f>'Apprp. Database'!G343</f>
        <v>84138462</v>
      </c>
      <c r="G165" s="20">
        <f>'Apprp. Database'!H343</f>
        <v>87736380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"/>
      <c r="P165" s="2"/>
      <c r="Q165" s="2"/>
      <c r="R165" s="2"/>
      <c r="S165" s="2"/>
      <c r="T165" s="2"/>
    </row>
    <row r="166" spans="1:20" ht="12.75">
      <c r="A166" s="2" t="s">
        <v>991</v>
      </c>
      <c r="B166" s="20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"/>
      <c r="P166" s="2"/>
      <c r="Q166" s="2"/>
      <c r="R166" s="2"/>
      <c r="S166" s="2"/>
      <c r="T166" s="2"/>
    </row>
    <row r="167" spans="1:20" ht="12.75">
      <c r="A167" s="2" t="s">
        <v>992</v>
      </c>
      <c r="B167" s="20">
        <f>'Apprp. Database'!E342</f>
        <v>10132721</v>
      </c>
      <c r="C167" s="20">
        <f>'Apprp. Database'!F342</f>
        <v>11141159</v>
      </c>
      <c r="D167" s="20">
        <v>0</v>
      </c>
      <c r="E167" s="20">
        <v>0</v>
      </c>
      <c r="F167" s="291" t="s">
        <v>983</v>
      </c>
      <c r="G167" s="291" t="s">
        <v>983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"/>
      <c r="P167" s="2"/>
      <c r="Q167" s="2"/>
      <c r="R167" s="2"/>
      <c r="S167" s="2"/>
      <c r="T167" s="2"/>
    </row>
    <row r="168" spans="1:20" ht="12.75">
      <c r="A168" s="2"/>
      <c r="B168" s="20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 t="s">
        <v>993</v>
      </c>
      <c r="B169" s="2">
        <f>SUM(B159:B167)</f>
        <v>1215748222</v>
      </c>
      <c r="C169" s="2">
        <f>SUM(C159:C167)</f>
        <v>1303237588</v>
      </c>
      <c r="D169" s="2">
        <f>SUM(D159:D167)</f>
        <v>20822882</v>
      </c>
      <c r="E169" s="2">
        <f>SUM(E159:E167)</f>
        <v>174862549</v>
      </c>
      <c r="F169" s="2">
        <f>SUM(F165:F166)</f>
        <v>84138462</v>
      </c>
      <c r="G169" s="2">
        <f>SUM(G165:G166)</f>
        <v>87736380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91" t="s">
        <v>977</v>
      </c>
      <c r="C170" s="291" t="s">
        <v>977</v>
      </c>
      <c r="D170" s="291" t="s">
        <v>977</v>
      </c>
      <c r="E170" s="291" t="s">
        <v>977</v>
      </c>
      <c r="F170" s="291" t="s">
        <v>977</v>
      </c>
      <c r="G170" s="291" t="s">
        <v>977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0" t="s">
        <v>552</v>
      </c>
      <c r="B172" s="195"/>
      <c r="C172" s="195"/>
      <c r="D172" s="196" t="s">
        <v>997</v>
      </c>
      <c r="E172" s="195"/>
      <c r="F172" s="195"/>
      <c r="G172" s="195"/>
      <c r="H172" s="196"/>
      <c r="I172" s="116"/>
      <c r="J172" s="116"/>
      <c r="K172" s="116"/>
      <c r="L172" s="116"/>
      <c r="M172" s="116"/>
      <c r="N172" s="116"/>
      <c r="O172" s="2"/>
      <c r="P172" s="2"/>
      <c r="Q172" s="2"/>
      <c r="R172" s="2"/>
      <c r="S172" s="2"/>
      <c r="T172" s="2"/>
    </row>
    <row r="173" spans="1:20" ht="12.75">
      <c r="A173" s="2"/>
      <c r="B173" s="195"/>
      <c r="C173" s="195"/>
      <c r="D173" s="195" t="s">
        <v>998</v>
      </c>
      <c r="E173" s="195"/>
      <c r="F173" s="195"/>
      <c r="G173" s="195"/>
      <c r="H173" s="197" t="s">
        <v>929</v>
      </c>
      <c r="I173" s="197"/>
      <c r="J173" s="197"/>
      <c r="K173" s="197"/>
      <c r="L173" s="197"/>
      <c r="M173" s="197"/>
      <c r="N173" s="197"/>
      <c r="O173" s="2"/>
      <c r="P173" s="2"/>
      <c r="Q173" s="2"/>
      <c r="R173" s="2"/>
      <c r="S173" s="2"/>
      <c r="T173" s="2"/>
    </row>
    <row r="174" spans="1:20" ht="12.75">
      <c r="A174" s="2"/>
      <c r="B174" s="293" t="s">
        <v>977</v>
      </c>
      <c r="C174" s="293" t="s">
        <v>977</v>
      </c>
      <c r="D174" s="293" t="s">
        <v>977</v>
      </c>
      <c r="E174" s="293" t="s">
        <v>977</v>
      </c>
      <c r="F174" s="293" t="s">
        <v>977</v>
      </c>
      <c r="G174" s="293" t="s">
        <v>977</v>
      </c>
      <c r="H174" s="116" t="s">
        <v>932</v>
      </c>
      <c r="I174" s="196"/>
      <c r="J174" s="116"/>
      <c r="K174" s="196"/>
      <c r="L174" s="116"/>
      <c r="M174" s="116"/>
      <c r="N174" s="196"/>
      <c r="O174" s="2"/>
      <c r="P174" s="2"/>
      <c r="Q174" s="2"/>
      <c r="R174" s="2"/>
      <c r="S174" s="2"/>
      <c r="T174" s="2"/>
    </row>
    <row r="175" spans="1:20" ht="12.75">
      <c r="A175" s="2"/>
      <c r="B175" s="196" t="s">
        <v>999</v>
      </c>
      <c r="C175" s="196" t="s">
        <v>999</v>
      </c>
      <c r="D175" s="195"/>
      <c r="E175" s="195"/>
      <c r="F175" s="195"/>
      <c r="G175" s="195"/>
      <c r="H175" s="116" t="s">
        <v>935</v>
      </c>
      <c r="I175" s="116" t="s">
        <v>936</v>
      </c>
      <c r="J175" s="116" t="s">
        <v>937</v>
      </c>
      <c r="K175" s="116" t="s">
        <v>937</v>
      </c>
      <c r="L175" s="116" t="s">
        <v>938</v>
      </c>
      <c r="M175" s="196"/>
      <c r="N175" s="196"/>
      <c r="O175" s="2"/>
      <c r="P175" s="2"/>
      <c r="Q175" s="2"/>
      <c r="R175" s="2"/>
      <c r="S175" s="2"/>
      <c r="T175" s="2"/>
    </row>
    <row r="176" spans="1:20" ht="12.75">
      <c r="A176" s="2"/>
      <c r="B176" s="196" t="s">
        <v>1000</v>
      </c>
      <c r="C176" s="196" t="s">
        <v>1000</v>
      </c>
      <c r="D176" s="196" t="s">
        <v>1001</v>
      </c>
      <c r="E176" s="196" t="s">
        <v>950</v>
      </c>
      <c r="F176" s="196" t="s">
        <v>1002</v>
      </c>
      <c r="G176" s="196" t="s">
        <v>1002</v>
      </c>
      <c r="H176" s="116" t="s">
        <v>942</v>
      </c>
      <c r="I176" s="116" t="s">
        <v>943</v>
      </c>
      <c r="J176" s="116" t="s">
        <v>944</v>
      </c>
      <c r="K176" s="116" t="s">
        <v>945</v>
      </c>
      <c r="L176" s="116" t="s">
        <v>945</v>
      </c>
      <c r="M176" s="116" t="s">
        <v>946</v>
      </c>
      <c r="N176" s="196"/>
      <c r="O176" s="2"/>
      <c r="P176" s="2"/>
      <c r="Q176" s="2"/>
      <c r="R176" s="2"/>
      <c r="S176" s="2"/>
      <c r="T176" s="2"/>
    </row>
    <row r="177" spans="1:20" ht="12.75">
      <c r="A177" s="2"/>
      <c r="B177" s="198" t="s">
        <v>1003</v>
      </c>
      <c r="C177" s="198" t="s">
        <v>930</v>
      </c>
      <c r="D177" s="199"/>
      <c r="E177" s="199"/>
      <c r="F177" s="198" t="s">
        <v>947</v>
      </c>
      <c r="G177" s="198" t="s">
        <v>930</v>
      </c>
      <c r="H177" s="197" t="s">
        <v>951</v>
      </c>
      <c r="I177" s="197" t="s">
        <v>941</v>
      </c>
      <c r="J177" s="197" t="s">
        <v>952</v>
      </c>
      <c r="K177" s="197" t="s">
        <v>953</v>
      </c>
      <c r="L177" s="197" t="s">
        <v>953</v>
      </c>
      <c r="M177" s="197" t="s">
        <v>951</v>
      </c>
      <c r="N177" s="197" t="s">
        <v>950</v>
      </c>
      <c r="O177" s="2"/>
      <c r="P177" s="2"/>
      <c r="Q177" s="2"/>
      <c r="R177" s="2"/>
      <c r="S177" s="2"/>
      <c r="T177" s="2"/>
    </row>
    <row r="178" spans="1:20" ht="12.75">
      <c r="A178" s="2" t="s">
        <v>982</v>
      </c>
      <c r="B178" s="20">
        <f>SUM('Apprp. Database'!E344:E345)</f>
        <v>171102692</v>
      </c>
      <c r="C178" s="20">
        <f>SUM('Apprp. Database'!F344:F345)</f>
        <v>189644907</v>
      </c>
      <c r="D178" s="20">
        <v>0</v>
      </c>
      <c r="E178" s="20">
        <v>0</v>
      </c>
      <c r="F178" s="291" t="s">
        <v>983</v>
      </c>
      <c r="G178" s="291" t="s">
        <v>983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/>
      <c r="P178" s="20"/>
      <c r="Q178" s="20"/>
      <c r="R178" s="20"/>
      <c r="S178" s="20"/>
      <c r="T178" s="2"/>
    </row>
    <row r="179" spans="1:20" ht="12.75">
      <c r="A179" s="2" t="s">
        <v>984</v>
      </c>
      <c r="B179" s="20"/>
      <c r="C179" s="20"/>
      <c r="D179" s="20">
        <v>0</v>
      </c>
      <c r="E179" s="20">
        <v>0</v>
      </c>
      <c r="F179" s="291" t="s">
        <v>983</v>
      </c>
      <c r="G179" s="291" t="s">
        <v>983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/>
      <c r="P179" s="20"/>
      <c r="Q179" s="20"/>
      <c r="R179" s="20"/>
      <c r="S179" s="20"/>
      <c r="T179" s="2"/>
    </row>
    <row r="180" spans="1:20" ht="12.75">
      <c r="A180" s="2" t="s">
        <v>985</v>
      </c>
      <c r="B180" s="20">
        <f>SUM('Apprp. Database'!E346)</f>
        <v>28488062</v>
      </c>
      <c r="C180" s="20">
        <f>SUM('Apprp. Database'!F346)</f>
        <v>33995746</v>
      </c>
      <c r="D180" s="20">
        <v>0</v>
      </c>
      <c r="E180" s="20">
        <v>0</v>
      </c>
      <c r="F180" s="291" t="s">
        <v>983</v>
      </c>
      <c r="G180" s="291" t="s">
        <v>983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/>
      <c r="P180" s="20"/>
      <c r="Q180" s="20"/>
      <c r="R180" s="20"/>
      <c r="S180" s="20"/>
      <c r="T180" s="2"/>
    </row>
    <row r="181" spans="1:20" ht="12.75">
      <c r="A181" s="2" t="s">
        <v>986</v>
      </c>
      <c r="B181" s="20">
        <f>SUM('Apprp. Database'!E347:E348)</f>
        <v>35049618</v>
      </c>
      <c r="C181" s="20">
        <f>SUM('Apprp. Database'!F347:F348)</f>
        <v>40496042</v>
      </c>
      <c r="D181" s="20">
        <v>0</v>
      </c>
      <c r="E181" s="20">
        <v>0</v>
      </c>
      <c r="F181" s="291" t="s">
        <v>983</v>
      </c>
      <c r="G181" s="291" t="s">
        <v>983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/>
      <c r="P181" s="20"/>
      <c r="Q181" s="20"/>
      <c r="R181" s="20"/>
      <c r="S181" s="20"/>
      <c r="T181" s="2"/>
    </row>
    <row r="182" spans="1:20" ht="12.75">
      <c r="A182" s="2" t="s">
        <v>987</v>
      </c>
      <c r="B182" s="20">
        <f>SUM('Apprp. Database'!E349:E352)</f>
        <v>41281182</v>
      </c>
      <c r="C182" s="20">
        <f>SUM('Apprp. Database'!F349:F352)</f>
        <v>48584620</v>
      </c>
      <c r="D182" s="20">
        <v>0</v>
      </c>
      <c r="E182" s="20">
        <v>0</v>
      </c>
      <c r="F182" s="291" t="s">
        <v>983</v>
      </c>
      <c r="G182" s="291" t="s">
        <v>983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/>
      <c r="P182" s="20"/>
      <c r="Q182" s="20"/>
      <c r="R182" s="20"/>
      <c r="S182" s="20"/>
      <c r="T182" s="2"/>
    </row>
    <row r="183" spans="1:20" ht="12.75">
      <c r="A183" s="2" t="s">
        <v>988</v>
      </c>
      <c r="B183" s="20">
        <f>SUM('Apprp. Database'!E353:E355)</f>
        <v>15484842</v>
      </c>
      <c r="C183" s="20">
        <f>SUM('Apprp. Database'!F353:F355)</f>
        <v>18885238</v>
      </c>
      <c r="D183" s="20">
        <v>0</v>
      </c>
      <c r="E183" s="20">
        <v>0</v>
      </c>
      <c r="F183" s="291" t="s">
        <v>983</v>
      </c>
      <c r="G183" s="291" t="s">
        <v>983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/>
      <c r="P183" s="20"/>
      <c r="Q183" s="20"/>
      <c r="R183" s="20"/>
      <c r="S183" s="20"/>
      <c r="T183" s="2"/>
    </row>
    <row r="184" spans="1:20" ht="12.75">
      <c r="A184" s="2" t="s">
        <v>994</v>
      </c>
      <c r="B184" s="20">
        <f>SUM('Apprp. Database'!E356:E370)</f>
        <v>107081756</v>
      </c>
      <c r="C184" s="20">
        <f>SUM('Apprp. Database'!F356:F370)</f>
        <v>119151561</v>
      </c>
      <c r="D184" s="20">
        <v>0</v>
      </c>
      <c r="E184" s="20">
        <v>0</v>
      </c>
      <c r="F184" s="20">
        <f>SUM('Apprp. Database'!G356:G369)</f>
        <v>17390527</v>
      </c>
      <c r="G184" s="20">
        <f>SUM('Apprp. Database'!H356:H369)</f>
        <v>18658850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/>
      <c r="P184" s="20"/>
      <c r="Q184" s="20"/>
      <c r="R184" s="20"/>
      <c r="S184" s="20"/>
      <c r="T184" s="2"/>
    </row>
    <row r="185" spans="1:20" ht="12.75">
      <c r="A185" s="2" t="s">
        <v>991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"/>
    </row>
    <row r="186" spans="1:20" ht="12.75">
      <c r="A186" s="2" t="s">
        <v>992</v>
      </c>
      <c r="B186" s="20">
        <f>SUM('Apprp. Database'!E371:E374)</f>
        <v>77916493</v>
      </c>
      <c r="C186" s="20">
        <f>SUM('Apprp. Database'!F371:F374)</f>
        <v>4138109</v>
      </c>
      <c r="D186" s="20">
        <f>SUM('Apprp. Database'!I371:I374)</f>
        <v>9075163</v>
      </c>
      <c r="E186" s="20">
        <f>SUM('Apprp. Database'!J371:J374)</f>
        <v>72412416</v>
      </c>
      <c r="F186" s="291" t="s">
        <v>983</v>
      </c>
      <c r="G186" s="291" t="s">
        <v>983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/>
      <c r="P186" s="20"/>
      <c r="Q186" s="20"/>
      <c r="R186" s="20"/>
      <c r="S186" s="20"/>
      <c r="T186" s="2"/>
    </row>
    <row r="187" spans="1:20" ht="12.75">
      <c r="A187" s="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"/>
    </row>
    <row r="188" spans="1:20" ht="12.75">
      <c r="A188" s="2" t="s">
        <v>993</v>
      </c>
      <c r="B188" s="2">
        <f>SUM(B178:B186)</f>
        <v>476404645</v>
      </c>
      <c r="C188" s="2">
        <f>SUM(C178:C186)</f>
        <v>454896223</v>
      </c>
      <c r="D188" s="2">
        <f>SUM(D178:D186)</f>
        <v>9075163</v>
      </c>
      <c r="E188" s="2">
        <f>SUM(E178:E186)</f>
        <v>72412416</v>
      </c>
      <c r="F188" s="2"/>
      <c r="G188" s="2"/>
      <c r="H188" s="2">
        <f aca="true" t="shared" si="8" ref="H188:N188">SUM(H178:H186)</f>
        <v>0</v>
      </c>
      <c r="I188" s="2">
        <f t="shared" si="8"/>
        <v>0</v>
      </c>
      <c r="J188" s="2">
        <f t="shared" si="8"/>
        <v>0</v>
      </c>
      <c r="K188" s="2">
        <f t="shared" si="8"/>
        <v>0</v>
      </c>
      <c r="L188" s="2">
        <f t="shared" si="8"/>
        <v>0</v>
      </c>
      <c r="M188" s="2">
        <f t="shared" si="8"/>
        <v>0</v>
      </c>
      <c r="N188" s="2">
        <f t="shared" si="8"/>
        <v>0</v>
      </c>
      <c r="O188" s="20"/>
      <c r="P188" s="20"/>
      <c r="Q188" s="20"/>
      <c r="R188" s="20"/>
      <c r="S188" s="20"/>
      <c r="T188" s="2"/>
    </row>
    <row r="189" spans="1:20" ht="12.75">
      <c r="A189" s="2"/>
      <c r="B189" s="291" t="s">
        <v>977</v>
      </c>
      <c r="C189" s="291" t="s">
        <v>977</v>
      </c>
      <c r="D189" s="291" t="s">
        <v>977</v>
      </c>
      <c r="E189" s="291" t="s">
        <v>977</v>
      </c>
      <c r="F189" s="291" t="s">
        <v>977</v>
      </c>
      <c r="G189" s="291" t="s">
        <v>977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0" t="s">
        <v>584</v>
      </c>
      <c r="B191" s="195"/>
      <c r="C191" s="195"/>
      <c r="D191" s="196" t="s">
        <v>997</v>
      </c>
      <c r="E191" s="195"/>
      <c r="F191" s="195"/>
      <c r="G191" s="195"/>
      <c r="H191" s="196"/>
      <c r="I191" s="116"/>
      <c r="J191" s="116"/>
      <c r="K191" s="116"/>
      <c r="L191" s="116"/>
      <c r="M191" s="116"/>
      <c r="N191" s="116"/>
      <c r="O191" s="2"/>
      <c r="P191" s="2"/>
      <c r="Q191" s="2"/>
      <c r="R191" s="2"/>
      <c r="S191" s="2"/>
      <c r="T191" s="2"/>
    </row>
    <row r="192" spans="1:20" ht="12.75">
      <c r="A192" s="2"/>
      <c r="B192" s="195"/>
      <c r="C192" s="195"/>
      <c r="D192" s="195" t="s">
        <v>998</v>
      </c>
      <c r="E192" s="195"/>
      <c r="F192" s="195"/>
      <c r="G192" s="195"/>
      <c r="H192" s="197" t="s">
        <v>929</v>
      </c>
      <c r="I192" s="197"/>
      <c r="J192" s="197"/>
      <c r="K192" s="197"/>
      <c r="L192" s="197"/>
      <c r="M192" s="197"/>
      <c r="N192" s="197"/>
      <c r="O192" s="2"/>
      <c r="P192" s="2"/>
      <c r="Q192" s="2"/>
      <c r="R192" s="2"/>
      <c r="S192" s="2"/>
      <c r="T192" s="2"/>
    </row>
    <row r="193" spans="1:20" ht="12.75">
      <c r="A193" s="2"/>
      <c r="B193" s="293" t="s">
        <v>977</v>
      </c>
      <c r="C193" s="293" t="s">
        <v>977</v>
      </c>
      <c r="D193" s="293" t="s">
        <v>977</v>
      </c>
      <c r="E193" s="293" t="s">
        <v>977</v>
      </c>
      <c r="F193" s="293" t="s">
        <v>977</v>
      </c>
      <c r="G193" s="293" t="s">
        <v>977</v>
      </c>
      <c r="H193" s="116" t="s">
        <v>932</v>
      </c>
      <c r="I193" s="196"/>
      <c r="J193" s="116"/>
      <c r="K193" s="196"/>
      <c r="L193" s="116"/>
      <c r="M193" s="116"/>
      <c r="N193" s="196"/>
      <c r="O193" s="2"/>
      <c r="P193" s="2"/>
      <c r="Q193" s="2"/>
      <c r="R193" s="2"/>
      <c r="S193" s="2"/>
      <c r="T193" s="2"/>
    </row>
    <row r="194" spans="1:20" ht="12.75">
      <c r="A194" s="2"/>
      <c r="B194" s="196" t="s">
        <v>999</v>
      </c>
      <c r="C194" s="196" t="s">
        <v>999</v>
      </c>
      <c r="D194" s="195"/>
      <c r="E194" s="195"/>
      <c r="F194" s="195"/>
      <c r="G194" s="195"/>
      <c r="H194" s="116" t="s">
        <v>935</v>
      </c>
      <c r="I194" s="116" t="s">
        <v>936</v>
      </c>
      <c r="J194" s="116" t="s">
        <v>937</v>
      </c>
      <c r="K194" s="116" t="s">
        <v>937</v>
      </c>
      <c r="L194" s="116" t="s">
        <v>938</v>
      </c>
      <c r="M194" s="196"/>
      <c r="N194" s="196"/>
      <c r="O194" s="2"/>
      <c r="P194" s="2"/>
      <c r="Q194" s="2"/>
      <c r="R194" s="2"/>
      <c r="S194" s="2"/>
      <c r="T194" s="2"/>
    </row>
    <row r="195" spans="1:20" ht="12.75">
      <c r="A195" s="2"/>
      <c r="B195" s="196" t="s">
        <v>1000</v>
      </c>
      <c r="C195" s="196" t="s">
        <v>1000</v>
      </c>
      <c r="D195" s="196" t="s">
        <v>1001</v>
      </c>
      <c r="E195" s="196" t="s">
        <v>950</v>
      </c>
      <c r="F195" s="196" t="s">
        <v>1002</v>
      </c>
      <c r="G195" s="196" t="s">
        <v>1002</v>
      </c>
      <c r="H195" s="116" t="s">
        <v>942</v>
      </c>
      <c r="I195" s="116" t="s">
        <v>943</v>
      </c>
      <c r="J195" s="116" t="s">
        <v>944</v>
      </c>
      <c r="K195" s="116" t="s">
        <v>945</v>
      </c>
      <c r="L195" s="116" t="s">
        <v>945</v>
      </c>
      <c r="M195" s="116" t="s">
        <v>946</v>
      </c>
      <c r="N195" s="196"/>
      <c r="O195" s="2"/>
      <c r="P195" s="2"/>
      <c r="Q195" s="2"/>
      <c r="R195" s="2"/>
      <c r="S195" s="2"/>
      <c r="T195" s="2"/>
    </row>
    <row r="196" spans="1:20" ht="12.75">
      <c r="A196" s="2"/>
      <c r="B196" s="198" t="s">
        <v>1003</v>
      </c>
      <c r="C196" s="198" t="s">
        <v>930</v>
      </c>
      <c r="D196" s="199"/>
      <c r="E196" s="199"/>
      <c r="F196" s="198" t="s">
        <v>947</v>
      </c>
      <c r="G196" s="198" t="s">
        <v>930</v>
      </c>
      <c r="H196" s="197" t="s">
        <v>951</v>
      </c>
      <c r="I196" s="197" t="s">
        <v>941</v>
      </c>
      <c r="J196" s="197" t="s">
        <v>952</v>
      </c>
      <c r="K196" s="197" t="s">
        <v>953</v>
      </c>
      <c r="L196" s="197" t="s">
        <v>953</v>
      </c>
      <c r="M196" s="197" t="s">
        <v>951</v>
      </c>
      <c r="N196" s="197" t="s">
        <v>950</v>
      </c>
      <c r="O196" s="2"/>
      <c r="P196" s="2"/>
      <c r="Q196" s="2"/>
      <c r="R196" s="2"/>
      <c r="S196" s="2"/>
      <c r="T196" s="2"/>
    </row>
    <row r="197" spans="1:20" ht="12.75">
      <c r="A197" s="2" t="s">
        <v>982</v>
      </c>
      <c r="B197" s="20">
        <f>'Apprp. Database'!E375</f>
        <v>112155435</v>
      </c>
      <c r="C197" s="20">
        <f>'Apprp. Database'!F375</f>
        <v>115726186</v>
      </c>
      <c r="D197" s="20">
        <v>0</v>
      </c>
      <c r="E197" s="20">
        <f>'Apprp. Database'!J375</f>
        <v>17292419</v>
      </c>
      <c r="F197" s="291" t="s">
        <v>983</v>
      </c>
      <c r="G197" s="291" t="s">
        <v>983</v>
      </c>
      <c r="H197" s="20">
        <v>12364252</v>
      </c>
      <c r="I197" s="20">
        <v>0</v>
      </c>
      <c r="J197" s="20">
        <v>0</v>
      </c>
      <c r="K197" s="20"/>
      <c r="L197" s="20"/>
      <c r="M197" s="20"/>
      <c r="N197" s="20">
        <f>'Apprp. Database'!Q375</f>
        <v>21806706</v>
      </c>
      <c r="O197" s="2"/>
      <c r="P197" s="2"/>
      <c r="Q197" s="2"/>
      <c r="R197" s="2"/>
      <c r="S197" s="2"/>
      <c r="T197" s="2"/>
    </row>
    <row r="198" spans="1:20" ht="12.75">
      <c r="A198" s="2" t="s">
        <v>984</v>
      </c>
      <c r="B198" s="20">
        <f>'Apprp. Database'!E376</f>
        <v>86790546</v>
      </c>
      <c r="C198" s="20">
        <f>'Apprp. Database'!F376</f>
        <v>89902149</v>
      </c>
      <c r="D198" s="20">
        <v>0</v>
      </c>
      <c r="E198" s="20">
        <v>0</v>
      </c>
      <c r="F198" s="291" t="s">
        <v>983</v>
      </c>
      <c r="G198" s="291" t="s">
        <v>983</v>
      </c>
      <c r="H198" s="20">
        <v>0</v>
      </c>
      <c r="I198" s="20">
        <v>0</v>
      </c>
      <c r="J198" s="20">
        <v>0</v>
      </c>
      <c r="K198" s="20"/>
      <c r="L198" s="20"/>
      <c r="M198" s="20"/>
      <c r="N198" s="20">
        <v>0</v>
      </c>
      <c r="O198" s="2"/>
      <c r="P198" s="2"/>
      <c r="Q198" s="2"/>
      <c r="R198" s="2"/>
      <c r="S198" s="2"/>
      <c r="T198" s="2"/>
    </row>
    <row r="199" spans="1:20" ht="12.75">
      <c r="A199" s="2" t="s">
        <v>985</v>
      </c>
      <c r="B199" s="20">
        <f>'Apprp. Database'!E377</f>
        <v>19142559</v>
      </c>
      <c r="C199" s="20">
        <f>'Apprp. Database'!F377</f>
        <v>19947689</v>
      </c>
      <c r="D199" s="20">
        <v>0</v>
      </c>
      <c r="E199" s="20">
        <v>0</v>
      </c>
      <c r="F199" s="291" t="s">
        <v>983</v>
      </c>
      <c r="G199" s="291" t="s">
        <v>983</v>
      </c>
      <c r="H199" s="20">
        <v>0</v>
      </c>
      <c r="I199" s="20">
        <v>0</v>
      </c>
      <c r="J199" s="20">
        <v>0</v>
      </c>
      <c r="K199" s="20"/>
      <c r="L199" s="20"/>
      <c r="M199" s="20"/>
      <c r="N199" s="20">
        <v>0</v>
      </c>
      <c r="O199" s="2"/>
      <c r="P199" s="2"/>
      <c r="Q199" s="2"/>
      <c r="R199" s="2"/>
      <c r="S199" s="2"/>
      <c r="T199" s="2"/>
    </row>
    <row r="200" spans="1:20" ht="12.75">
      <c r="A200" s="2" t="s">
        <v>986</v>
      </c>
      <c r="B200" s="20">
        <f>SUM('Apprp. Database'!E378:E379)</f>
        <v>37293420</v>
      </c>
      <c r="C200" s="20">
        <f>SUM('Apprp. Database'!F378:F379)</f>
        <v>39395389</v>
      </c>
      <c r="D200" s="20">
        <v>0</v>
      </c>
      <c r="E200" s="20">
        <v>0</v>
      </c>
      <c r="F200" s="291" t="s">
        <v>983</v>
      </c>
      <c r="G200" s="291" t="s">
        <v>983</v>
      </c>
      <c r="H200" s="20">
        <v>0</v>
      </c>
      <c r="I200" s="20">
        <v>0</v>
      </c>
      <c r="J200" s="20">
        <v>0</v>
      </c>
      <c r="K200" s="20"/>
      <c r="L200" s="20"/>
      <c r="M200" s="20"/>
      <c r="N200" s="20">
        <v>0</v>
      </c>
      <c r="O200" s="2"/>
      <c r="P200" s="2"/>
      <c r="Q200" s="2"/>
      <c r="R200" s="2"/>
      <c r="S200" s="2"/>
      <c r="T200" s="2"/>
    </row>
    <row r="201" spans="1:20" ht="12.75">
      <c r="A201" s="2" t="s">
        <v>987</v>
      </c>
      <c r="B201" s="20">
        <f>SUM('Apprp. Database'!E380:E381)</f>
        <v>33467622</v>
      </c>
      <c r="C201" s="20">
        <f>SUM('Apprp. Database'!F380:F381)</f>
        <v>34527396</v>
      </c>
      <c r="D201" s="20">
        <v>0</v>
      </c>
      <c r="E201" s="20">
        <v>0</v>
      </c>
      <c r="F201" s="291" t="s">
        <v>983</v>
      </c>
      <c r="G201" s="291" t="s">
        <v>983</v>
      </c>
      <c r="H201" s="20">
        <v>0</v>
      </c>
      <c r="I201" s="20">
        <v>0</v>
      </c>
      <c r="J201" s="20">
        <v>0</v>
      </c>
      <c r="K201" s="20"/>
      <c r="L201" s="20"/>
      <c r="M201" s="20"/>
      <c r="N201" s="20">
        <v>0</v>
      </c>
      <c r="O201" s="2"/>
      <c r="P201" s="2"/>
      <c r="Q201" s="2"/>
      <c r="R201" s="2"/>
      <c r="S201" s="2"/>
      <c r="T201" s="2"/>
    </row>
    <row r="202" spans="1:20" ht="12.75">
      <c r="A202" s="2" t="s">
        <v>988</v>
      </c>
      <c r="B202" s="20">
        <f>SUM('Apprp. Database'!E382:E385)</f>
        <v>37969041</v>
      </c>
      <c r="C202" s="20">
        <f>SUM('Apprp. Database'!F382:F385)</f>
        <v>40282956</v>
      </c>
      <c r="D202" s="20">
        <v>0</v>
      </c>
      <c r="E202" s="20">
        <v>0</v>
      </c>
      <c r="F202" s="291" t="s">
        <v>983</v>
      </c>
      <c r="G202" s="291" t="s">
        <v>983</v>
      </c>
      <c r="H202" s="20">
        <v>0</v>
      </c>
      <c r="I202" s="20">
        <v>0</v>
      </c>
      <c r="J202" s="20">
        <v>0</v>
      </c>
      <c r="K202" s="20"/>
      <c r="L202" s="20"/>
      <c r="M202" s="20"/>
      <c r="N202" s="20">
        <v>0</v>
      </c>
      <c r="O202" s="2"/>
      <c r="P202" s="2"/>
      <c r="Q202" s="2"/>
      <c r="R202" s="2"/>
      <c r="S202" s="2"/>
      <c r="T202" s="2"/>
    </row>
    <row r="203" spans="1:20" ht="12.75">
      <c r="A203" s="2" t="s">
        <v>994</v>
      </c>
      <c r="B203" s="20">
        <f>SUM('Apprp. Database'!E386:E406)</f>
        <v>134055457</v>
      </c>
      <c r="C203" s="20">
        <f>SUM('Apprp. Database'!F386:F406)</f>
        <v>141302048</v>
      </c>
      <c r="D203" s="20">
        <v>0</v>
      </c>
      <c r="E203" s="20">
        <v>0</v>
      </c>
      <c r="F203" s="20">
        <f>SUM('Apprp. Database'!G386:G406)</f>
        <v>24925699</v>
      </c>
      <c r="G203" s="20">
        <f>SUM('Apprp. Database'!H386:H406)</f>
        <v>25233597</v>
      </c>
      <c r="H203" s="20">
        <v>0</v>
      </c>
      <c r="I203" s="20">
        <v>0</v>
      </c>
      <c r="J203" s="20">
        <v>0</v>
      </c>
      <c r="K203" s="20"/>
      <c r="L203" s="20"/>
      <c r="M203" s="20"/>
      <c r="N203" s="20">
        <v>0</v>
      </c>
      <c r="O203" s="2"/>
      <c r="P203" s="2"/>
      <c r="Q203" s="2"/>
      <c r="R203" s="2"/>
      <c r="S203" s="2"/>
      <c r="T203" s="2"/>
    </row>
    <row r="204" spans="1:20" ht="12.75">
      <c r="A204" s="2" t="s">
        <v>991</v>
      </c>
      <c r="B204" s="20"/>
      <c r="C204" s="20"/>
      <c r="D204" s="20">
        <v>0</v>
      </c>
      <c r="E204" s="20">
        <v>0</v>
      </c>
      <c r="F204" s="20"/>
      <c r="G204" s="20"/>
      <c r="H204" s="20">
        <v>0</v>
      </c>
      <c r="I204" s="20">
        <v>0</v>
      </c>
      <c r="J204" s="20">
        <v>0</v>
      </c>
      <c r="K204" s="20"/>
      <c r="L204" s="20"/>
      <c r="M204" s="20"/>
      <c r="N204" s="20">
        <v>0</v>
      </c>
      <c r="O204" s="2"/>
      <c r="P204" s="2"/>
      <c r="Q204" s="2"/>
      <c r="R204" s="2"/>
      <c r="S204" s="2"/>
      <c r="T204" s="2"/>
    </row>
    <row r="205" spans="1:20" ht="12.75">
      <c r="A205" s="2" t="s">
        <v>992</v>
      </c>
      <c r="B205" s="20">
        <f>'Apprp. Database'!E407</f>
        <v>5810047</v>
      </c>
      <c r="C205" s="20">
        <f>'Apprp. Database'!F407</f>
        <v>6099938</v>
      </c>
      <c r="D205" s="20">
        <v>0</v>
      </c>
      <c r="E205" s="20">
        <f>'Apprp. Database'!J407</f>
        <v>81042034</v>
      </c>
      <c r="F205" s="291" t="s">
        <v>983</v>
      </c>
      <c r="G205" s="291" t="s">
        <v>983</v>
      </c>
      <c r="H205" s="20">
        <v>0</v>
      </c>
      <c r="I205" s="20">
        <v>0</v>
      </c>
      <c r="J205" s="20">
        <v>0</v>
      </c>
      <c r="K205" s="20"/>
      <c r="L205" s="20"/>
      <c r="M205" s="20"/>
      <c r="N205" s="20">
        <v>0</v>
      </c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0"/>
      <c r="I206" s="20"/>
      <c r="J206" s="20"/>
      <c r="K206" s="20"/>
      <c r="L206" s="20"/>
      <c r="M206" s="20"/>
      <c r="N206" s="20"/>
      <c r="O206" s="2"/>
      <c r="P206" s="2"/>
      <c r="Q206" s="2"/>
      <c r="R206" s="2"/>
      <c r="S206" s="2"/>
      <c r="T206" s="2"/>
    </row>
    <row r="207" spans="1:20" ht="12.75">
      <c r="A207" s="2" t="s">
        <v>993</v>
      </c>
      <c r="B207" s="2">
        <f aca="true" t="shared" si="9" ref="B207:N207">SUM(B197:B205)</f>
        <v>466684127</v>
      </c>
      <c r="C207" s="2">
        <f t="shared" si="9"/>
        <v>487183751</v>
      </c>
      <c r="D207" s="2">
        <f t="shared" si="9"/>
        <v>0</v>
      </c>
      <c r="E207" s="2">
        <f t="shared" si="9"/>
        <v>98334453</v>
      </c>
      <c r="F207" s="2">
        <f t="shared" si="9"/>
        <v>24925699</v>
      </c>
      <c r="G207" s="2">
        <f t="shared" si="9"/>
        <v>25233597</v>
      </c>
      <c r="H207" s="2">
        <f t="shared" si="9"/>
        <v>12364252</v>
      </c>
      <c r="I207" s="2">
        <f t="shared" si="9"/>
        <v>0</v>
      </c>
      <c r="J207" s="2">
        <f t="shared" si="9"/>
        <v>0</v>
      </c>
      <c r="K207" s="2">
        <f t="shared" si="9"/>
        <v>0</v>
      </c>
      <c r="L207" s="2">
        <f t="shared" si="9"/>
        <v>0</v>
      </c>
      <c r="M207" s="2">
        <f t="shared" si="9"/>
        <v>0</v>
      </c>
      <c r="N207" s="2">
        <f t="shared" si="9"/>
        <v>21806706</v>
      </c>
      <c r="O207" s="2"/>
      <c r="P207" s="2"/>
      <c r="Q207" s="2"/>
      <c r="R207" s="2"/>
      <c r="S207" s="2"/>
      <c r="T207" s="2"/>
    </row>
    <row r="208" spans="1:20" ht="12.75">
      <c r="A208" s="2"/>
      <c r="B208" s="291" t="s">
        <v>977</v>
      </c>
      <c r="C208" s="291" t="s">
        <v>977</v>
      </c>
      <c r="D208" s="291" t="s">
        <v>977</v>
      </c>
      <c r="E208" s="291" t="s">
        <v>977</v>
      </c>
      <c r="F208" s="291" t="s">
        <v>977</v>
      </c>
      <c r="G208" s="291" t="s">
        <v>977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0" t="s">
        <v>618</v>
      </c>
      <c r="B210" s="195"/>
      <c r="C210" s="195"/>
      <c r="D210" s="196" t="s">
        <v>997</v>
      </c>
      <c r="E210" s="195"/>
      <c r="F210" s="195"/>
      <c r="G210" s="195"/>
      <c r="H210" s="196"/>
      <c r="I210" s="116"/>
      <c r="J210" s="116"/>
      <c r="K210" s="116"/>
      <c r="L210" s="116"/>
      <c r="M210" s="116"/>
      <c r="N210" s="116"/>
      <c r="O210" s="2"/>
      <c r="P210" s="2"/>
      <c r="Q210" s="2"/>
      <c r="R210" s="2"/>
      <c r="S210" s="2"/>
      <c r="T210" s="2"/>
    </row>
    <row r="211" spans="1:20" ht="12.75">
      <c r="A211" s="2"/>
      <c r="B211" s="195"/>
      <c r="C211" s="195"/>
      <c r="D211" s="195" t="s">
        <v>998</v>
      </c>
      <c r="E211" s="195"/>
      <c r="F211" s="195"/>
      <c r="G211" s="195"/>
      <c r="H211" s="197" t="s">
        <v>929</v>
      </c>
      <c r="I211" s="197"/>
      <c r="J211" s="197"/>
      <c r="K211" s="197"/>
      <c r="L211" s="197"/>
      <c r="M211" s="197"/>
      <c r="N211" s="197"/>
      <c r="O211" s="2"/>
      <c r="P211" s="2"/>
      <c r="Q211" s="2"/>
      <c r="R211" s="2"/>
      <c r="S211" s="2"/>
      <c r="T211" s="2"/>
    </row>
    <row r="212" spans="1:20" ht="12.75">
      <c r="A212" s="2"/>
      <c r="B212" s="293" t="s">
        <v>977</v>
      </c>
      <c r="C212" s="293" t="s">
        <v>977</v>
      </c>
      <c r="D212" s="293" t="s">
        <v>977</v>
      </c>
      <c r="E212" s="293" t="s">
        <v>977</v>
      </c>
      <c r="F212" s="293" t="s">
        <v>977</v>
      </c>
      <c r="G212" s="293" t="s">
        <v>977</v>
      </c>
      <c r="H212" s="116" t="s">
        <v>932</v>
      </c>
      <c r="I212" s="196"/>
      <c r="J212" s="116"/>
      <c r="K212" s="196"/>
      <c r="L212" s="116"/>
      <c r="M212" s="116"/>
      <c r="N212" s="196"/>
      <c r="O212" s="2"/>
      <c r="P212" s="2"/>
      <c r="Q212" s="2"/>
      <c r="R212" s="2"/>
      <c r="S212" s="2"/>
      <c r="T212" s="2"/>
    </row>
    <row r="213" spans="1:20" ht="12.75">
      <c r="A213" s="2"/>
      <c r="B213" s="196" t="s">
        <v>999</v>
      </c>
      <c r="C213" s="196" t="s">
        <v>999</v>
      </c>
      <c r="D213" s="195"/>
      <c r="E213" s="195"/>
      <c r="F213" s="195"/>
      <c r="G213" s="195"/>
      <c r="H213" s="116" t="s">
        <v>935</v>
      </c>
      <c r="I213" s="116" t="s">
        <v>936</v>
      </c>
      <c r="J213" s="116" t="s">
        <v>937</v>
      </c>
      <c r="K213" s="116" t="s">
        <v>937</v>
      </c>
      <c r="L213" s="116" t="s">
        <v>938</v>
      </c>
      <c r="M213" s="196"/>
      <c r="N213" s="196"/>
      <c r="O213" s="2"/>
      <c r="P213" s="2"/>
      <c r="Q213" s="2"/>
      <c r="R213" s="2"/>
      <c r="S213" s="2"/>
      <c r="T213" s="2"/>
    </row>
    <row r="214" spans="1:20" ht="12.75">
      <c r="A214" s="2"/>
      <c r="B214" s="196" t="s">
        <v>1000</v>
      </c>
      <c r="C214" s="196" t="s">
        <v>1000</v>
      </c>
      <c r="D214" s="196" t="s">
        <v>1001</v>
      </c>
      <c r="E214" s="196" t="s">
        <v>950</v>
      </c>
      <c r="F214" s="196" t="s">
        <v>1002</v>
      </c>
      <c r="G214" s="196" t="s">
        <v>1002</v>
      </c>
      <c r="H214" s="116" t="s">
        <v>942</v>
      </c>
      <c r="I214" s="116" t="s">
        <v>943</v>
      </c>
      <c r="J214" s="116" t="s">
        <v>944</v>
      </c>
      <c r="K214" s="116" t="s">
        <v>945</v>
      </c>
      <c r="L214" s="116" t="s">
        <v>945</v>
      </c>
      <c r="M214" s="116" t="s">
        <v>946</v>
      </c>
      <c r="N214" s="196"/>
      <c r="O214" s="2"/>
      <c r="P214" s="2"/>
      <c r="Q214" s="2"/>
      <c r="R214" s="2"/>
      <c r="S214" s="2"/>
      <c r="T214" s="2"/>
    </row>
    <row r="215" spans="1:20" ht="12.75">
      <c r="A215" s="2"/>
      <c r="B215" s="198" t="s">
        <v>1003</v>
      </c>
      <c r="C215" s="198" t="s">
        <v>930</v>
      </c>
      <c r="D215" s="199"/>
      <c r="E215" s="199"/>
      <c r="F215" s="198" t="s">
        <v>947</v>
      </c>
      <c r="G215" s="198" t="s">
        <v>930</v>
      </c>
      <c r="H215" s="197" t="s">
        <v>951</v>
      </c>
      <c r="I215" s="197" t="s">
        <v>941</v>
      </c>
      <c r="J215" s="197" t="s">
        <v>952</v>
      </c>
      <c r="K215" s="197" t="s">
        <v>953</v>
      </c>
      <c r="L215" s="197" t="s">
        <v>953</v>
      </c>
      <c r="M215" s="197" t="s">
        <v>951</v>
      </c>
      <c r="N215" s="197" t="s">
        <v>950</v>
      </c>
      <c r="O215" s="2"/>
      <c r="P215" s="2"/>
      <c r="Q215" s="2"/>
      <c r="R215" s="2"/>
      <c r="S215" s="2"/>
      <c r="T215" s="2"/>
    </row>
    <row r="216" spans="1:20" ht="12.75">
      <c r="A216" s="2" t="s">
        <v>982</v>
      </c>
      <c r="B216" s="20">
        <f>'Apprp. Database'!E408</f>
        <v>153606996.915</v>
      </c>
      <c r="C216" s="20">
        <f>'Apprp. Database'!F408</f>
        <v>157788750.525</v>
      </c>
      <c r="D216" s="20">
        <v>0</v>
      </c>
      <c r="E216" s="20">
        <v>0</v>
      </c>
      <c r="F216" s="291" t="s">
        <v>983</v>
      </c>
      <c r="G216" s="291" t="s">
        <v>983</v>
      </c>
      <c r="H216" s="20">
        <f>'Apprp. Database'!K408</f>
        <v>6527100</v>
      </c>
      <c r="I216" s="20">
        <v>0</v>
      </c>
      <c r="J216" s="20">
        <f>'Apprp. Database'!M408</f>
        <v>21721200</v>
      </c>
      <c r="K216" s="20">
        <f>'Apprp. Database'!N408</f>
        <v>18724100</v>
      </c>
      <c r="L216" s="20">
        <v>0</v>
      </c>
      <c r="M216" s="20">
        <v>0</v>
      </c>
      <c r="N216" s="20">
        <v>0</v>
      </c>
      <c r="O216" s="2"/>
      <c r="P216" s="2"/>
      <c r="Q216" s="2"/>
      <c r="R216" s="2"/>
      <c r="S216" s="2"/>
      <c r="T216" s="2"/>
    </row>
    <row r="217" spans="1:20" ht="12.75">
      <c r="A217" s="2" t="s">
        <v>984</v>
      </c>
      <c r="B217" s="20">
        <f>'Apprp. Database'!E409</f>
        <v>93555428.735</v>
      </c>
      <c r="C217" s="20">
        <f>'Apprp. Database'!F409</f>
        <v>97013304.335</v>
      </c>
      <c r="D217" s="20">
        <v>0</v>
      </c>
      <c r="E217" s="20">
        <v>0</v>
      </c>
      <c r="F217" s="291" t="s">
        <v>983</v>
      </c>
      <c r="G217" s="291" t="s">
        <v>983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"/>
      <c r="P217" s="2"/>
      <c r="Q217" s="2"/>
      <c r="R217" s="2"/>
      <c r="S217" s="2"/>
      <c r="T217" s="2"/>
    </row>
    <row r="218" spans="1:20" ht="12.75">
      <c r="A218" s="2" t="s">
        <v>985</v>
      </c>
      <c r="B218" s="20">
        <f>SUM('Apprp. Database'!E410:E412)</f>
        <v>141375875.165</v>
      </c>
      <c r="C218" s="20">
        <f>SUM('Apprp. Database'!F410:F412)</f>
        <v>146691276.175</v>
      </c>
      <c r="D218" s="20">
        <v>0</v>
      </c>
      <c r="E218" s="20">
        <f>'Apprp. Database'!J410</f>
        <v>22972700</v>
      </c>
      <c r="F218" s="291" t="s">
        <v>983</v>
      </c>
      <c r="G218" s="291" t="s">
        <v>983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"/>
      <c r="P218" s="2"/>
      <c r="Q218" s="2"/>
      <c r="R218" s="2"/>
      <c r="S218" s="2"/>
      <c r="T218" s="2"/>
    </row>
    <row r="219" spans="1:20" ht="12.75">
      <c r="A219" s="2" t="s">
        <v>986</v>
      </c>
      <c r="B219" s="20">
        <f>SUM('Apprp. Database'!E413:E415)</f>
        <v>101615815.13499999</v>
      </c>
      <c r="C219" s="20">
        <f>SUM('Apprp. Database'!F413:F415)</f>
        <v>104628597.95000002</v>
      </c>
      <c r="D219" s="20">
        <v>0</v>
      </c>
      <c r="E219" s="20">
        <v>0</v>
      </c>
      <c r="F219" s="291" t="s">
        <v>983</v>
      </c>
      <c r="G219" s="291" t="s">
        <v>983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"/>
      <c r="P219" s="2"/>
      <c r="Q219" s="2"/>
      <c r="R219" s="2"/>
      <c r="S219" s="2"/>
      <c r="T219" s="2"/>
    </row>
    <row r="220" spans="1:20" ht="12.75">
      <c r="A220" s="2" t="s">
        <v>987</v>
      </c>
      <c r="B220" s="20">
        <f>'Apprp. Database'!E416</f>
        <v>25324997.325000003</v>
      </c>
      <c r="C220" s="20">
        <f>'Apprp. Database'!F416</f>
        <v>26172047.975</v>
      </c>
      <c r="D220" s="20">
        <v>0</v>
      </c>
      <c r="E220" s="20">
        <v>0</v>
      </c>
      <c r="F220" s="291" t="s">
        <v>983</v>
      </c>
      <c r="G220" s="291" t="s">
        <v>983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"/>
      <c r="P220" s="2"/>
      <c r="Q220" s="2"/>
      <c r="R220" s="2"/>
      <c r="S220" s="2"/>
      <c r="T220" s="2"/>
    </row>
    <row r="221" spans="1:20" ht="12.75">
      <c r="A221" s="2" t="s">
        <v>988</v>
      </c>
      <c r="B221" s="20">
        <v>0</v>
      </c>
      <c r="C221" s="20">
        <v>0</v>
      </c>
      <c r="D221" s="20">
        <v>0</v>
      </c>
      <c r="E221" s="20">
        <v>0</v>
      </c>
      <c r="F221" s="291" t="s">
        <v>983</v>
      </c>
      <c r="G221" s="291" t="s">
        <v>983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"/>
      <c r="P221" s="2"/>
      <c r="Q221" s="2"/>
      <c r="R221" s="2"/>
      <c r="S221" s="2"/>
      <c r="T221" s="2"/>
    </row>
    <row r="222" spans="1:20" ht="12.75">
      <c r="A222" s="2" t="s">
        <v>994</v>
      </c>
      <c r="B222" s="20">
        <f>SUM('Apprp. Database'!E417:E430)</f>
        <v>159578000</v>
      </c>
      <c r="C222" s="20">
        <f>SUM('Apprp. Database'!F417:F430)</f>
        <v>165768293.85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"/>
      <c r="P222" s="2"/>
      <c r="Q222" s="2"/>
      <c r="R222" s="2"/>
      <c r="S222" s="2"/>
      <c r="T222" s="2"/>
    </row>
    <row r="223" spans="1:20" ht="12.75">
      <c r="A223" s="2" t="s">
        <v>991</v>
      </c>
      <c r="B223" s="20">
        <f>SUM('Apprp. Database'!E431:E457)</f>
        <v>29401600</v>
      </c>
      <c r="C223" s="20">
        <f>SUM('Apprp. Database'!F431:F457)</f>
        <v>31475663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"/>
      <c r="P223" s="2"/>
      <c r="Q223" s="2"/>
      <c r="R223" s="2"/>
      <c r="S223" s="2"/>
      <c r="T223" s="2"/>
    </row>
    <row r="224" spans="1:20" ht="12.75">
      <c r="A224" s="2" t="s">
        <v>992</v>
      </c>
      <c r="B224" s="20">
        <f>SUM('Apprp. Database'!E459)</f>
        <v>7051338</v>
      </c>
      <c r="C224" s="20">
        <f>'Apprp. Database'!F459</f>
        <v>7510838</v>
      </c>
      <c r="D224" s="20">
        <f>'Apprp. Database'!I460</f>
        <v>12074400</v>
      </c>
      <c r="E224" s="20">
        <f>'Apprp. Database'!J458</f>
        <v>89991525.735</v>
      </c>
      <c r="F224" s="291" t="s">
        <v>983</v>
      </c>
      <c r="G224" s="291" t="s">
        <v>983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 t="s">
        <v>993</v>
      </c>
      <c r="B226" s="2">
        <f aca="true" t="shared" si="10" ref="B226:N226">SUM(B216:B224)</f>
        <v>711510051.2749999</v>
      </c>
      <c r="C226" s="2">
        <f t="shared" si="10"/>
        <v>737048771.8100001</v>
      </c>
      <c r="D226" s="2">
        <f t="shared" si="10"/>
        <v>12074400</v>
      </c>
      <c r="E226" s="2">
        <f t="shared" si="10"/>
        <v>112964225.735</v>
      </c>
      <c r="F226" s="2">
        <f t="shared" si="10"/>
        <v>0</v>
      </c>
      <c r="G226" s="2">
        <f t="shared" si="10"/>
        <v>0</v>
      </c>
      <c r="H226" s="2">
        <f t="shared" si="10"/>
        <v>6527100</v>
      </c>
      <c r="I226" s="2">
        <f t="shared" si="10"/>
        <v>0</v>
      </c>
      <c r="J226" s="2">
        <f t="shared" si="10"/>
        <v>21721200</v>
      </c>
      <c r="K226" s="2">
        <f t="shared" si="10"/>
        <v>18724100</v>
      </c>
      <c r="L226" s="2">
        <f t="shared" si="10"/>
        <v>0</v>
      </c>
      <c r="M226" s="2">
        <f t="shared" si="10"/>
        <v>0</v>
      </c>
      <c r="N226" s="2">
        <f t="shared" si="10"/>
        <v>0</v>
      </c>
      <c r="O226" s="2"/>
      <c r="P226" s="2"/>
      <c r="Q226" s="2"/>
      <c r="R226" s="2"/>
      <c r="S226" s="2"/>
      <c r="T226" s="2"/>
    </row>
    <row r="227" spans="1:20" ht="12.75">
      <c r="A227" s="2"/>
      <c r="B227" s="291" t="s">
        <v>977</v>
      </c>
      <c r="C227" s="291" t="s">
        <v>977</v>
      </c>
      <c r="D227" s="291" t="s">
        <v>977</v>
      </c>
      <c r="E227" s="291" t="s">
        <v>977</v>
      </c>
      <c r="F227" s="291" t="s">
        <v>977</v>
      </c>
      <c r="G227" s="291" t="s">
        <v>977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0" t="s">
        <v>673</v>
      </c>
      <c r="B229" s="195"/>
      <c r="C229" s="195"/>
      <c r="D229" s="196" t="s">
        <v>997</v>
      </c>
      <c r="E229" s="195"/>
      <c r="F229" s="195"/>
      <c r="G229" s="195"/>
      <c r="H229" s="196"/>
      <c r="I229" s="116"/>
      <c r="J229" s="116"/>
      <c r="K229" s="116"/>
      <c r="L229" s="116"/>
      <c r="M229" s="116"/>
      <c r="N229" s="116"/>
      <c r="O229" s="2"/>
      <c r="P229" s="2"/>
      <c r="Q229" s="2"/>
      <c r="R229" s="2"/>
      <c r="S229" s="2"/>
      <c r="T229" s="2"/>
    </row>
    <row r="230" spans="1:20" ht="12.75">
      <c r="A230" s="2"/>
      <c r="B230" s="195"/>
      <c r="C230" s="195"/>
      <c r="D230" s="195" t="s">
        <v>998</v>
      </c>
      <c r="E230" s="195"/>
      <c r="F230" s="195"/>
      <c r="G230" s="195"/>
      <c r="H230" s="197" t="s">
        <v>929</v>
      </c>
      <c r="I230" s="197"/>
      <c r="J230" s="197"/>
      <c r="K230" s="197"/>
      <c r="L230" s="197"/>
      <c r="M230" s="197"/>
      <c r="N230" s="197"/>
      <c r="O230" s="2"/>
      <c r="P230" s="2"/>
      <c r="Q230" s="2"/>
      <c r="R230" s="2"/>
      <c r="S230" s="2"/>
      <c r="T230" s="2"/>
    </row>
    <row r="231" spans="1:20" ht="12.75">
      <c r="A231" s="2"/>
      <c r="B231" s="293" t="s">
        <v>977</v>
      </c>
      <c r="C231" s="293" t="s">
        <v>977</v>
      </c>
      <c r="D231" s="293" t="s">
        <v>977</v>
      </c>
      <c r="E231" s="293" t="s">
        <v>977</v>
      </c>
      <c r="F231" s="293" t="s">
        <v>977</v>
      </c>
      <c r="G231" s="293" t="s">
        <v>977</v>
      </c>
      <c r="H231" s="116" t="s">
        <v>932</v>
      </c>
      <c r="I231" s="196"/>
      <c r="J231" s="116"/>
      <c r="K231" s="196"/>
      <c r="L231" s="116"/>
      <c r="M231" s="116"/>
      <c r="N231" s="196"/>
      <c r="O231" s="2"/>
      <c r="P231" s="2"/>
      <c r="Q231" s="2"/>
      <c r="R231" s="2"/>
      <c r="S231" s="2"/>
      <c r="T231" s="2"/>
    </row>
    <row r="232" spans="1:20" ht="12.75">
      <c r="A232" s="2"/>
      <c r="B232" s="196" t="s">
        <v>999</v>
      </c>
      <c r="C232" s="196" t="s">
        <v>999</v>
      </c>
      <c r="D232" s="195"/>
      <c r="E232" s="195"/>
      <c r="F232" s="195"/>
      <c r="G232" s="195"/>
      <c r="H232" s="116" t="s">
        <v>935</v>
      </c>
      <c r="I232" s="116" t="s">
        <v>936</v>
      </c>
      <c r="J232" s="116" t="s">
        <v>937</v>
      </c>
      <c r="K232" s="116" t="s">
        <v>937</v>
      </c>
      <c r="L232" s="116" t="s">
        <v>938</v>
      </c>
      <c r="M232" s="196"/>
      <c r="N232" s="196"/>
      <c r="O232" s="2"/>
      <c r="P232" s="2"/>
      <c r="Q232" s="2"/>
      <c r="R232" s="2"/>
      <c r="S232" s="2"/>
      <c r="T232" s="2"/>
    </row>
    <row r="233" spans="1:20" ht="12.75">
      <c r="A233" s="2"/>
      <c r="B233" s="196" t="s">
        <v>1000</v>
      </c>
      <c r="C233" s="196" t="s">
        <v>1000</v>
      </c>
      <c r="D233" s="196" t="s">
        <v>1001</v>
      </c>
      <c r="E233" s="196" t="s">
        <v>950</v>
      </c>
      <c r="F233" s="196" t="s">
        <v>1002</v>
      </c>
      <c r="G233" s="196" t="s">
        <v>1002</v>
      </c>
      <c r="H233" s="116" t="s">
        <v>942</v>
      </c>
      <c r="I233" s="116" t="s">
        <v>943</v>
      </c>
      <c r="J233" s="116" t="s">
        <v>944</v>
      </c>
      <c r="K233" s="116" t="s">
        <v>945</v>
      </c>
      <c r="L233" s="116" t="s">
        <v>945</v>
      </c>
      <c r="M233" s="116" t="s">
        <v>946</v>
      </c>
      <c r="N233" s="196"/>
      <c r="O233" s="2"/>
      <c r="P233" s="2"/>
      <c r="Q233" s="2"/>
      <c r="R233" s="2"/>
      <c r="S233" s="2"/>
      <c r="T233" s="2"/>
    </row>
    <row r="234" spans="1:20" ht="12.75">
      <c r="A234" s="2"/>
      <c r="B234" s="198" t="s">
        <v>1003</v>
      </c>
      <c r="C234" s="198" t="s">
        <v>930</v>
      </c>
      <c r="D234" s="199"/>
      <c r="E234" s="199"/>
      <c r="F234" s="198" t="s">
        <v>947</v>
      </c>
      <c r="G234" s="198" t="s">
        <v>930</v>
      </c>
      <c r="H234" s="197" t="s">
        <v>951</v>
      </c>
      <c r="I234" s="197" t="s">
        <v>941</v>
      </c>
      <c r="J234" s="197" t="s">
        <v>952</v>
      </c>
      <c r="K234" s="197" t="s">
        <v>953</v>
      </c>
      <c r="L234" s="197" t="s">
        <v>953</v>
      </c>
      <c r="M234" s="197" t="s">
        <v>951</v>
      </c>
      <c r="N234" s="197" t="s">
        <v>950</v>
      </c>
      <c r="O234" s="2"/>
      <c r="P234" s="2"/>
      <c r="Q234" s="2"/>
      <c r="R234" s="2"/>
      <c r="S234" s="2"/>
      <c r="T234" s="2"/>
    </row>
    <row r="235" spans="1:20" ht="12.75">
      <c r="A235" s="2" t="s">
        <v>982</v>
      </c>
      <c r="B235" s="20">
        <f>SUM('Apprp. Database'!E463:E467)</f>
        <v>922094806</v>
      </c>
      <c r="C235" s="20">
        <f>SUM('Apprp. Database'!F463:F467)</f>
        <v>928144772</v>
      </c>
      <c r="D235" s="20">
        <f>'Apprp. Database'!I463</f>
        <v>23749258</v>
      </c>
      <c r="E235" s="20">
        <f>'Apprp. Database'!J463</f>
        <v>16302477</v>
      </c>
      <c r="F235" s="291" t="s">
        <v>983</v>
      </c>
      <c r="G235" s="291" t="s">
        <v>983</v>
      </c>
      <c r="H235" s="20">
        <v>0</v>
      </c>
      <c r="I235" s="20">
        <v>0</v>
      </c>
      <c r="J235" s="20">
        <f>'Apprp. Database'!M463</f>
        <v>43843727</v>
      </c>
      <c r="K235" s="20">
        <f>'Apprp. Database'!N463</f>
        <v>51971274</v>
      </c>
      <c r="L235" s="20">
        <f>'Apprp. Database'!O463</f>
        <v>12493730</v>
      </c>
      <c r="M235" s="20">
        <v>0</v>
      </c>
      <c r="N235" s="20">
        <v>0</v>
      </c>
      <c r="O235" s="2"/>
      <c r="P235" s="2"/>
      <c r="Q235" s="2"/>
      <c r="R235" s="2"/>
      <c r="S235" s="2"/>
      <c r="T235" s="2"/>
    </row>
    <row r="236" spans="1:20" ht="12.75">
      <c r="A236" s="2" t="s">
        <v>984</v>
      </c>
      <c r="B236" s="20">
        <f>SUM('Apprp. Database'!E468:E470)</f>
        <v>169370724</v>
      </c>
      <c r="C236" s="20">
        <f>SUM('Apprp. Database'!F468:F470)</f>
        <v>169886029</v>
      </c>
      <c r="D236" s="20">
        <v>0</v>
      </c>
      <c r="E236" s="20">
        <v>0</v>
      </c>
      <c r="F236" s="291" t="s">
        <v>983</v>
      </c>
      <c r="G236" s="291" t="s">
        <v>983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"/>
      <c r="P236" s="2"/>
      <c r="Q236" s="2"/>
      <c r="R236" s="2"/>
      <c r="S236" s="2"/>
      <c r="T236" s="2"/>
    </row>
    <row r="237" spans="1:20" ht="12.75">
      <c r="A237" s="2" t="s">
        <v>985</v>
      </c>
      <c r="B237" s="20">
        <f>SUM('Apprp. Database'!E471:E485)</f>
        <v>496625055</v>
      </c>
      <c r="C237" s="20">
        <f>SUM('Apprp. Database'!F471:F485)</f>
        <v>499512599</v>
      </c>
      <c r="D237" s="20">
        <v>0</v>
      </c>
      <c r="E237" s="20">
        <v>0</v>
      </c>
      <c r="F237" s="291" t="s">
        <v>983</v>
      </c>
      <c r="G237" s="291" t="s">
        <v>983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"/>
      <c r="P237" s="2"/>
      <c r="Q237" s="2"/>
      <c r="R237" s="2"/>
      <c r="S237" s="2"/>
      <c r="T237" s="2"/>
    </row>
    <row r="238" spans="1:20" ht="12.75">
      <c r="A238" s="2" t="s">
        <v>986</v>
      </c>
      <c r="B238" s="20">
        <f>SUM('Apprp. Database'!E486:E491)</f>
        <v>127937684</v>
      </c>
      <c r="C238" s="20">
        <f>SUM('Apprp. Database'!F486:F491)</f>
        <v>127242053</v>
      </c>
      <c r="D238" s="20">
        <v>0</v>
      </c>
      <c r="E238" s="20">
        <v>0</v>
      </c>
      <c r="F238" s="291" t="s">
        <v>983</v>
      </c>
      <c r="G238" s="291" t="s">
        <v>983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"/>
      <c r="P238" s="2"/>
      <c r="Q238" s="2"/>
      <c r="R238" s="2"/>
      <c r="S238" s="2"/>
      <c r="T238" s="2"/>
    </row>
    <row r="239" spans="1:20" ht="12.75">
      <c r="A239" s="2" t="s">
        <v>987</v>
      </c>
      <c r="B239" s="20">
        <f>SUM('Apprp. Database'!E492:E495)</f>
        <v>27426272</v>
      </c>
      <c r="C239" s="20">
        <f>SUM('Apprp. Database'!F492:F495)</f>
        <v>28101657</v>
      </c>
      <c r="D239" s="20">
        <v>0</v>
      </c>
      <c r="E239" s="20">
        <v>0</v>
      </c>
      <c r="F239" s="291" t="s">
        <v>983</v>
      </c>
      <c r="G239" s="291" t="s">
        <v>983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"/>
      <c r="P239" s="2"/>
      <c r="Q239" s="2"/>
      <c r="R239" s="2"/>
      <c r="S239" s="2"/>
      <c r="T239" s="2"/>
    </row>
    <row r="240" spans="1:20" ht="12.75">
      <c r="A240" s="2" t="s">
        <v>988</v>
      </c>
      <c r="B240" s="20">
        <f>SUM('Apprp. Database'!E496:E497)</f>
        <v>25185407</v>
      </c>
      <c r="C240" s="20">
        <f>SUM('Apprp. Database'!F496:F497)</f>
        <v>25314428</v>
      </c>
      <c r="D240" s="20">
        <v>0</v>
      </c>
      <c r="E240" s="20">
        <v>0</v>
      </c>
      <c r="F240" s="291" t="s">
        <v>983</v>
      </c>
      <c r="G240" s="291" t="s">
        <v>983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"/>
      <c r="P240" s="2"/>
      <c r="Q240" s="2"/>
      <c r="R240" s="2"/>
      <c r="S240" s="2"/>
      <c r="T240" s="2"/>
    </row>
    <row r="241" spans="1:20" ht="12.75">
      <c r="A241" s="2" t="s">
        <v>994</v>
      </c>
      <c r="B241" s="20">
        <f>SUM('Apprp. Database'!E498:E564)</f>
        <v>758821326</v>
      </c>
      <c r="C241" s="20">
        <f>SUM('Apprp. Database'!F498:F564)</f>
        <v>754900165</v>
      </c>
      <c r="D241" s="20">
        <v>0</v>
      </c>
      <c r="E241" s="20">
        <v>0</v>
      </c>
      <c r="F241" s="20">
        <f>SUM('Apprp. Database'!G498:G566)</f>
        <v>291363233</v>
      </c>
      <c r="G241" s="20">
        <f>SUM('Apprp. Database'!H498:H566)</f>
        <v>312306759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"/>
      <c r="P241" s="2"/>
      <c r="Q241" s="2"/>
      <c r="R241" s="2"/>
      <c r="S241" s="2"/>
      <c r="T241" s="2"/>
    </row>
    <row r="242" spans="1:20" ht="12.75">
      <c r="A242" s="2" t="s">
        <v>991</v>
      </c>
      <c r="B242" s="20"/>
      <c r="C242" s="20"/>
      <c r="D242" s="20">
        <v>0</v>
      </c>
      <c r="E242" s="20">
        <v>0</v>
      </c>
      <c r="F242" s="2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"/>
      <c r="P242" s="2"/>
      <c r="Q242" s="2"/>
      <c r="R242" s="2"/>
      <c r="S242" s="2"/>
      <c r="T242" s="2"/>
    </row>
    <row r="243" spans="1:20" ht="12.75">
      <c r="A243" s="2" t="s">
        <v>992</v>
      </c>
      <c r="B243" s="20">
        <f>SUM('Apprp. Database'!E565:E576)</f>
        <v>0</v>
      </c>
      <c r="C243" s="20">
        <f>SUM('Apprp. Database'!F565:F576)</f>
        <v>0</v>
      </c>
      <c r="D243" s="20">
        <v>0</v>
      </c>
      <c r="E243" s="20">
        <f>SUM('Apprp. Database'!J565:J577)</f>
        <v>735058262</v>
      </c>
      <c r="F243" s="291" t="s">
        <v>983</v>
      </c>
      <c r="G243" s="291" t="s">
        <v>983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/>
      <c r="N243" s="20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 t="s">
        <v>993</v>
      </c>
      <c r="B245" s="2">
        <f aca="true" t="shared" si="11" ref="B245:N245">SUM(B235:B243)</f>
        <v>2527461274</v>
      </c>
      <c r="C245" s="2">
        <f t="shared" si="11"/>
        <v>2533101703</v>
      </c>
      <c r="D245" s="2">
        <f t="shared" si="11"/>
        <v>23749258</v>
      </c>
      <c r="E245" s="2">
        <f t="shared" si="11"/>
        <v>751360739</v>
      </c>
      <c r="F245" s="2">
        <f t="shared" si="11"/>
        <v>291363233</v>
      </c>
      <c r="G245" s="2">
        <f t="shared" si="11"/>
        <v>312306759</v>
      </c>
      <c r="H245" s="2">
        <f t="shared" si="11"/>
        <v>0</v>
      </c>
      <c r="I245" s="2">
        <f t="shared" si="11"/>
        <v>0</v>
      </c>
      <c r="J245" s="2">
        <f t="shared" si="11"/>
        <v>43843727</v>
      </c>
      <c r="K245" s="2">
        <f t="shared" si="11"/>
        <v>51971274</v>
      </c>
      <c r="L245" s="2">
        <f t="shared" si="11"/>
        <v>12493730</v>
      </c>
      <c r="M245" s="2">
        <f t="shared" si="11"/>
        <v>0</v>
      </c>
      <c r="N245" s="2">
        <f t="shared" si="11"/>
        <v>0</v>
      </c>
      <c r="O245" s="2"/>
      <c r="P245" s="2"/>
      <c r="Q245" s="2"/>
      <c r="R245" s="2"/>
      <c r="S245" s="2"/>
      <c r="T245" s="2"/>
    </row>
    <row r="246" spans="1:20" ht="12.75">
      <c r="A246" s="2"/>
      <c r="B246" s="291" t="s">
        <v>977</v>
      </c>
      <c r="C246" s="291" t="s">
        <v>977</v>
      </c>
      <c r="D246" s="291" t="s">
        <v>977</v>
      </c>
      <c r="E246" s="291" t="s">
        <v>977</v>
      </c>
      <c r="F246" s="291" t="s">
        <v>977</v>
      </c>
      <c r="G246" s="291" t="s">
        <v>977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0" t="s">
        <v>887</v>
      </c>
      <c r="B248" s="195"/>
      <c r="C248" s="195"/>
      <c r="D248" s="196" t="s">
        <v>997</v>
      </c>
      <c r="E248" s="195"/>
      <c r="F248" s="195"/>
      <c r="G248" s="195"/>
      <c r="H248" s="196"/>
      <c r="I248" s="116"/>
      <c r="J248" s="116"/>
      <c r="K248" s="116"/>
      <c r="L248" s="116"/>
      <c r="M248" s="116"/>
      <c r="N248" s="116"/>
      <c r="O248" s="2"/>
      <c r="P248" s="2"/>
      <c r="Q248" s="2"/>
      <c r="R248" s="2"/>
      <c r="S248" s="2"/>
      <c r="T248" s="2"/>
    </row>
    <row r="249" spans="1:20" ht="12.75">
      <c r="A249" s="2"/>
      <c r="B249" s="195"/>
      <c r="C249" s="195"/>
      <c r="D249" s="195" t="s">
        <v>998</v>
      </c>
      <c r="E249" s="195"/>
      <c r="F249" s="195"/>
      <c r="G249" s="195"/>
      <c r="H249" s="197" t="s">
        <v>929</v>
      </c>
      <c r="I249" s="197"/>
      <c r="J249" s="197"/>
      <c r="K249" s="197"/>
      <c r="L249" s="197"/>
      <c r="M249" s="197"/>
      <c r="N249" s="197"/>
      <c r="O249" s="2"/>
      <c r="P249" s="2"/>
      <c r="Q249" s="2"/>
      <c r="R249" s="2"/>
      <c r="S249" s="2"/>
      <c r="T249" s="2"/>
    </row>
    <row r="250" spans="1:20" ht="12.75">
      <c r="A250" s="2"/>
      <c r="B250" s="293" t="s">
        <v>977</v>
      </c>
      <c r="C250" s="293" t="s">
        <v>977</v>
      </c>
      <c r="D250" s="293" t="s">
        <v>977</v>
      </c>
      <c r="E250" s="293" t="s">
        <v>977</v>
      </c>
      <c r="F250" s="293" t="s">
        <v>977</v>
      </c>
      <c r="G250" s="293" t="s">
        <v>977</v>
      </c>
      <c r="H250" s="116" t="s">
        <v>932</v>
      </c>
      <c r="I250" s="196"/>
      <c r="J250" s="116"/>
      <c r="K250" s="196"/>
      <c r="L250" s="116"/>
      <c r="M250" s="116"/>
      <c r="N250" s="196"/>
      <c r="O250" s="2"/>
      <c r="P250" s="2"/>
      <c r="Q250" s="2"/>
      <c r="R250" s="2"/>
      <c r="S250" s="2"/>
      <c r="T250" s="2"/>
    </row>
    <row r="251" spans="1:20" ht="12.75">
      <c r="A251" s="2"/>
      <c r="B251" s="196" t="s">
        <v>999</v>
      </c>
      <c r="C251" s="196" t="s">
        <v>999</v>
      </c>
      <c r="D251" s="195"/>
      <c r="E251" s="195"/>
      <c r="F251" s="195"/>
      <c r="G251" s="195"/>
      <c r="H251" s="116" t="s">
        <v>935</v>
      </c>
      <c r="I251" s="116" t="s">
        <v>936</v>
      </c>
      <c r="J251" s="116" t="s">
        <v>937</v>
      </c>
      <c r="K251" s="116" t="s">
        <v>937</v>
      </c>
      <c r="L251" s="116" t="s">
        <v>938</v>
      </c>
      <c r="M251" s="196"/>
      <c r="N251" s="196"/>
      <c r="O251" s="2"/>
      <c r="P251" s="2"/>
      <c r="Q251" s="2"/>
      <c r="R251" s="2"/>
      <c r="S251" s="2"/>
      <c r="T251" s="2"/>
    </row>
    <row r="252" spans="1:20" ht="12.75">
      <c r="A252" s="2"/>
      <c r="B252" s="196" t="s">
        <v>1000</v>
      </c>
      <c r="C252" s="196" t="s">
        <v>1000</v>
      </c>
      <c r="D252" s="196" t="s">
        <v>1001</v>
      </c>
      <c r="E252" s="196" t="s">
        <v>950</v>
      </c>
      <c r="F252" s="196" t="s">
        <v>1002</v>
      </c>
      <c r="G252" s="196" t="s">
        <v>1002</v>
      </c>
      <c r="H252" s="116" t="s">
        <v>942</v>
      </c>
      <c r="I252" s="116" t="s">
        <v>943</v>
      </c>
      <c r="J252" s="116" t="s">
        <v>944</v>
      </c>
      <c r="K252" s="116" t="s">
        <v>945</v>
      </c>
      <c r="L252" s="116" t="s">
        <v>945</v>
      </c>
      <c r="M252" s="116" t="s">
        <v>946</v>
      </c>
      <c r="N252" s="196"/>
      <c r="O252" s="2"/>
      <c r="P252" s="2"/>
      <c r="Q252" s="2"/>
      <c r="R252" s="2"/>
      <c r="S252" s="2"/>
      <c r="T252" s="2"/>
    </row>
    <row r="253" spans="1:20" ht="12.75">
      <c r="A253" s="2"/>
      <c r="B253" s="198" t="s">
        <v>1003</v>
      </c>
      <c r="C253" s="198" t="s">
        <v>930</v>
      </c>
      <c r="D253" s="199"/>
      <c r="E253" s="199"/>
      <c r="F253" s="198" t="s">
        <v>947</v>
      </c>
      <c r="G253" s="198" t="s">
        <v>930</v>
      </c>
      <c r="H253" s="197" t="s">
        <v>951</v>
      </c>
      <c r="I253" s="197" t="s">
        <v>941</v>
      </c>
      <c r="J253" s="197" t="s">
        <v>952</v>
      </c>
      <c r="K253" s="197" t="s">
        <v>953</v>
      </c>
      <c r="L253" s="197" t="s">
        <v>953</v>
      </c>
      <c r="M253" s="197" t="s">
        <v>951</v>
      </c>
      <c r="N253" s="197" t="s">
        <v>950</v>
      </c>
      <c r="O253" s="2"/>
      <c r="P253" s="2"/>
      <c r="Q253" s="2"/>
      <c r="R253" s="2"/>
      <c r="S253" s="2"/>
      <c r="T253" s="2"/>
    </row>
    <row r="254" spans="1:20" ht="12.75">
      <c r="A254" s="2" t="s">
        <v>982</v>
      </c>
      <c r="B254" s="20">
        <f>SUM('Apprp. Database'!E592:E593)</f>
        <v>190345432</v>
      </c>
      <c r="C254" s="20">
        <f>SUM('Apprp. Database'!F592:F593)</f>
        <v>217112624</v>
      </c>
      <c r="D254" s="20">
        <f>SUM('Apprp. Database'!I592:I593)</f>
        <v>8542546</v>
      </c>
      <c r="E254" s="20">
        <f>SUM('Apprp. Database'!J592:J593)</f>
        <v>17500276</v>
      </c>
      <c r="F254" s="291" t="s">
        <v>983</v>
      </c>
      <c r="G254" s="291" t="s">
        <v>983</v>
      </c>
      <c r="H254" s="20">
        <f>SUM('Apprp. Database'!K592:K593)</f>
        <v>0</v>
      </c>
      <c r="I254" s="20">
        <f>SUM('Apprp. Database'!L592:L593)</f>
        <v>0</v>
      </c>
      <c r="J254" s="20">
        <f>SUM('Apprp. Database'!M592:M593)</f>
        <v>23276722</v>
      </c>
      <c r="K254" s="20">
        <f>SUM('Apprp. Database'!N592:N593)</f>
        <v>20923119</v>
      </c>
      <c r="L254" s="20">
        <f>SUM('Apprp. Database'!O592:O593)</f>
        <v>0</v>
      </c>
      <c r="M254" s="20">
        <f>SUM('Apprp. Database'!P592:P593)</f>
        <v>0</v>
      </c>
      <c r="N254" s="20">
        <f>SUM('Apprp. Database'!Q592:Q593)</f>
        <v>0</v>
      </c>
      <c r="O254" s="20"/>
      <c r="P254" s="2"/>
      <c r="Q254" s="2"/>
      <c r="R254" s="2"/>
      <c r="S254" s="2"/>
      <c r="T254" s="2"/>
    </row>
    <row r="255" spans="1:20" ht="12.75">
      <c r="A255" s="2" t="s">
        <v>984</v>
      </c>
      <c r="B255" s="20">
        <f>SUM('Apprp. Database'!E594:E597)</f>
        <v>210763225</v>
      </c>
      <c r="C255" s="20">
        <f>SUM('Apprp. Database'!F594:F597)</f>
        <v>240818340</v>
      </c>
      <c r="D255" s="20">
        <f>SUM('Apprp. Database'!I594:I597)</f>
        <v>0</v>
      </c>
      <c r="E255" s="20">
        <f>SUM('Apprp. Database'!J596:J597)</f>
        <v>25982873</v>
      </c>
      <c r="F255" s="291" t="s">
        <v>983</v>
      </c>
      <c r="G255" s="291" t="s">
        <v>983</v>
      </c>
      <c r="H255" s="20">
        <f>SUM('Apprp. Database'!K593:K594)</f>
        <v>0</v>
      </c>
      <c r="I255" s="20">
        <f>SUM('Apprp. Database'!L593:L594)</f>
        <v>0</v>
      </c>
      <c r="J255" s="20">
        <v>0</v>
      </c>
      <c r="K255" s="20">
        <v>0</v>
      </c>
      <c r="L255" s="20">
        <f>SUM('Apprp. Database'!O593:O594)</f>
        <v>0</v>
      </c>
      <c r="M255" s="20">
        <f>SUM('Apprp. Database'!P593:P594)</f>
        <v>12090551</v>
      </c>
      <c r="N255" s="20">
        <f>SUM('Apprp. Database'!Q593:Q594)</f>
        <v>0</v>
      </c>
      <c r="O255" s="20"/>
      <c r="P255" s="2"/>
      <c r="Q255" s="2"/>
      <c r="R255" s="2"/>
      <c r="S255" s="2"/>
      <c r="T255" s="2"/>
    </row>
    <row r="256" spans="1:20" ht="12.75">
      <c r="A256" s="2" t="s">
        <v>985</v>
      </c>
      <c r="B256" s="20">
        <f>SUM('Apprp. Database'!E598:E599)</f>
        <v>57545767</v>
      </c>
      <c r="C256" s="20">
        <f>SUM('Apprp. Database'!F598:F599)</f>
        <v>65522751</v>
      </c>
      <c r="D256" s="20">
        <f>SUM('Apprp. Database'!I598:I599)</f>
        <v>0</v>
      </c>
      <c r="E256" s="20">
        <f>SUM('Apprp. Database'!J594:J595)</f>
        <v>0</v>
      </c>
      <c r="F256" s="291" t="s">
        <v>983</v>
      </c>
      <c r="G256" s="291" t="s">
        <v>983</v>
      </c>
      <c r="H256" s="20">
        <f>SUM('Apprp. Database'!K594:K595)</f>
        <v>0</v>
      </c>
      <c r="I256" s="20">
        <f>SUM('Apprp. Database'!L594:L595)</f>
        <v>0</v>
      </c>
      <c r="J256" s="20">
        <f>SUM('Apprp. Database'!M594:M595)</f>
        <v>0</v>
      </c>
      <c r="K256" s="20">
        <f>SUM('Apprp. Database'!N594:N595)</f>
        <v>0</v>
      </c>
      <c r="L256" s="20">
        <f>SUM('Apprp. Database'!O594:O595)</f>
        <v>0</v>
      </c>
      <c r="M256" s="20">
        <v>0</v>
      </c>
      <c r="N256" s="20">
        <f>SUM('Apprp. Database'!Q594:Q595)</f>
        <v>0</v>
      </c>
      <c r="O256" s="20"/>
      <c r="P256" s="2"/>
      <c r="Q256" s="2"/>
      <c r="R256" s="2"/>
      <c r="S256" s="2"/>
      <c r="T256" s="2"/>
    </row>
    <row r="257" spans="1:20" ht="12.75">
      <c r="A257" s="2" t="s">
        <v>986</v>
      </c>
      <c r="B257" s="20">
        <f>SUM('Apprp. Database'!E600:E601)</f>
        <v>35007945</v>
      </c>
      <c r="C257" s="20">
        <f>SUM('Apprp. Database'!F600:F601)</f>
        <v>39330004</v>
      </c>
      <c r="D257" s="20">
        <f>SUM('Apprp. Database'!I600:I601)</f>
        <v>0</v>
      </c>
      <c r="E257" s="20">
        <f>SUM('Apprp. Database'!J595:J596)</f>
        <v>0</v>
      </c>
      <c r="F257" s="291" t="s">
        <v>983</v>
      </c>
      <c r="G257" s="291" t="s">
        <v>983</v>
      </c>
      <c r="H257" s="20">
        <f>SUM('Apprp. Database'!K595:K596)</f>
        <v>0</v>
      </c>
      <c r="I257" s="20">
        <f>SUM('Apprp. Database'!L595:L596)</f>
        <v>0</v>
      </c>
      <c r="J257" s="20">
        <f>SUM('Apprp. Database'!M595:M596)</f>
        <v>0</v>
      </c>
      <c r="K257" s="20">
        <f>SUM('Apprp. Database'!N595:N596)</f>
        <v>0</v>
      </c>
      <c r="L257" s="20">
        <f>SUM('Apprp. Database'!O595:O596)</f>
        <v>0</v>
      </c>
      <c r="M257" s="20">
        <f>SUM('Apprp. Database'!P595:P596)</f>
        <v>0</v>
      </c>
      <c r="N257" s="20">
        <f>SUM('Apprp. Database'!Q595:Q596)</f>
        <v>0</v>
      </c>
      <c r="O257" s="20"/>
      <c r="P257" s="2"/>
      <c r="Q257" s="2"/>
      <c r="R257" s="2"/>
      <c r="S257" s="2"/>
      <c r="T257" s="2"/>
    </row>
    <row r="258" spans="1:20" ht="12.75">
      <c r="A258" s="2" t="s">
        <v>987</v>
      </c>
      <c r="B258" s="20">
        <f>SUM('Apprp. Database'!E602)</f>
        <v>10748022</v>
      </c>
      <c r="C258" s="20">
        <f>SUM('Apprp. Database'!F602)</f>
        <v>11698585</v>
      </c>
      <c r="D258" s="20">
        <f>SUM('Apprp. Database'!I602)</f>
        <v>0</v>
      </c>
      <c r="E258" s="2"/>
      <c r="F258" s="291" t="s">
        <v>983</v>
      </c>
      <c r="G258" s="291" t="s">
        <v>983</v>
      </c>
      <c r="H258" s="20">
        <f>SUM('Apprp. Database'!K596:K597)</f>
        <v>0</v>
      </c>
      <c r="I258" s="20">
        <f>SUM('Apprp. Database'!L596:L597)</f>
        <v>0</v>
      </c>
      <c r="J258" s="20">
        <f>SUM('Apprp. Database'!M596:M597)</f>
        <v>0</v>
      </c>
      <c r="K258" s="20">
        <f>SUM('Apprp. Database'!N596:N597)</f>
        <v>0</v>
      </c>
      <c r="L258" s="20">
        <f>SUM('Apprp. Database'!O596:O597)</f>
        <v>0</v>
      </c>
      <c r="M258" s="20">
        <f>SUM('Apprp. Database'!P596:P597)</f>
        <v>0</v>
      </c>
      <c r="N258" s="20">
        <f>SUM('Apprp. Database'!Q596:Q597)</f>
        <v>0</v>
      </c>
      <c r="O258" s="20"/>
      <c r="P258" s="2"/>
      <c r="Q258" s="2"/>
      <c r="R258" s="2"/>
      <c r="S258" s="2"/>
      <c r="T258" s="2"/>
    </row>
    <row r="259" spans="1:20" ht="12.75">
      <c r="A259" s="2" t="s">
        <v>988</v>
      </c>
      <c r="B259" s="20">
        <f>SUM('Apprp. Database'!E603:E605)</f>
        <v>26481122</v>
      </c>
      <c r="C259" s="20">
        <f>SUM('Apprp. Database'!F603:F605)</f>
        <v>30347227</v>
      </c>
      <c r="D259" s="20">
        <f>SUM('Apprp. Database'!I603:I605)</f>
        <v>0</v>
      </c>
      <c r="E259" s="20">
        <v>0</v>
      </c>
      <c r="F259" s="291" t="s">
        <v>983</v>
      </c>
      <c r="G259" s="291" t="s">
        <v>983</v>
      </c>
      <c r="H259" s="20">
        <f>SUM('Apprp. Database'!K597:K598)</f>
        <v>0</v>
      </c>
      <c r="I259" s="20">
        <f>SUM('Apprp. Database'!L597:L598)</f>
        <v>0</v>
      </c>
      <c r="J259" s="20">
        <f>SUM('Apprp. Database'!M597:M598)</f>
        <v>0</v>
      </c>
      <c r="K259" s="20">
        <f>SUM('Apprp. Database'!N597:N598)</f>
        <v>0</v>
      </c>
      <c r="L259" s="20">
        <f>SUM('Apprp. Database'!O597:O598)</f>
        <v>0</v>
      </c>
      <c r="M259" s="20">
        <f>SUM('Apprp. Database'!P597:P598)</f>
        <v>0</v>
      </c>
      <c r="N259" s="20">
        <f>SUM('Apprp. Database'!Q597:Q598)</f>
        <v>0</v>
      </c>
      <c r="O259" s="20"/>
      <c r="P259" s="2"/>
      <c r="Q259" s="2"/>
      <c r="R259" s="2"/>
      <c r="S259" s="2"/>
      <c r="T259" s="2"/>
    </row>
    <row r="260" spans="1:20" ht="12.75">
      <c r="A260" s="2" t="s">
        <v>994</v>
      </c>
      <c r="B260" s="20">
        <f>SUM('Apprp. Database'!E606:E607)</f>
        <v>182669125</v>
      </c>
      <c r="C260" s="20">
        <f>SUM('Apprp. Database'!F606:F607)</f>
        <v>205225595</v>
      </c>
      <c r="D260" s="20">
        <f>SUM('Apprp. Database'!I606:I607)</f>
        <v>0</v>
      </c>
      <c r="E260" s="20">
        <f>SUM('Apprp. Database'!J598:J599)</f>
        <v>0</v>
      </c>
      <c r="F260" s="20">
        <f>'Apprp. Database'!G607</f>
        <v>1301858</v>
      </c>
      <c r="G260" s="20">
        <f>'Apprp. Database'!H607</f>
        <v>1300000</v>
      </c>
      <c r="H260" s="20">
        <f>SUM('Apprp. Database'!K598:K599)</f>
        <v>0</v>
      </c>
      <c r="I260" s="20">
        <f>SUM('Apprp. Database'!L598:L599)</f>
        <v>0</v>
      </c>
      <c r="J260" s="20">
        <f>SUM('Apprp. Database'!M598:M599)</f>
        <v>0</v>
      </c>
      <c r="K260" s="20">
        <f>SUM('Apprp. Database'!N598:N599)</f>
        <v>0</v>
      </c>
      <c r="L260" s="20">
        <f>SUM('Apprp. Database'!O598:O599)</f>
        <v>0</v>
      </c>
      <c r="M260" s="20">
        <f>SUM('Apprp. Database'!P598:P599)</f>
        <v>0</v>
      </c>
      <c r="N260" s="20">
        <f>SUM('Apprp. Database'!Q598:Q599)</f>
        <v>0</v>
      </c>
      <c r="O260" s="20"/>
      <c r="P260" s="2"/>
      <c r="Q260" s="2"/>
      <c r="R260" s="2"/>
      <c r="S260" s="2"/>
      <c r="T260" s="2"/>
    </row>
    <row r="261" spans="1:20" ht="12.75">
      <c r="A261" s="2" t="s">
        <v>991</v>
      </c>
      <c r="B261" s="20"/>
      <c r="C261" s="20"/>
      <c r="D261" s="20">
        <f>SUM('Apprp. Database'!I599:I600)</f>
        <v>0</v>
      </c>
      <c r="E261" s="20">
        <f>SUM('Apprp. Database'!J599:J600)</f>
        <v>0</v>
      </c>
      <c r="F261" s="2">
        <v>0</v>
      </c>
      <c r="G261" s="20">
        <v>0</v>
      </c>
      <c r="H261" s="20">
        <f>SUM('Apprp. Database'!K599:K600)</f>
        <v>0</v>
      </c>
      <c r="I261" s="20">
        <f>SUM('Apprp. Database'!L599:L600)</f>
        <v>0</v>
      </c>
      <c r="J261" s="20">
        <f>SUM('Apprp. Database'!M599:M600)</f>
        <v>0</v>
      </c>
      <c r="K261" s="20">
        <f>SUM('Apprp. Database'!N599:N600)</f>
        <v>0</v>
      </c>
      <c r="L261" s="20">
        <f>SUM('Apprp. Database'!O599:O600)</f>
        <v>0</v>
      </c>
      <c r="M261" s="20">
        <f>SUM('Apprp. Database'!P599:P600)</f>
        <v>0</v>
      </c>
      <c r="N261" s="20">
        <f>SUM('Apprp. Database'!Q599:Q600)</f>
        <v>0</v>
      </c>
      <c r="O261" s="20"/>
      <c r="P261" s="2"/>
      <c r="Q261" s="2"/>
      <c r="R261" s="2"/>
      <c r="S261" s="2"/>
      <c r="T261" s="2"/>
    </row>
    <row r="262" spans="1:20" ht="12.75">
      <c r="A262" s="2" t="s">
        <v>992</v>
      </c>
      <c r="B262" s="20">
        <f>SUM('Apprp. Database'!E608)</f>
        <v>9930467</v>
      </c>
      <c r="C262" s="20">
        <f>SUM('Apprp. Database'!F608)</f>
        <v>11119977</v>
      </c>
      <c r="D262" s="20">
        <f>SUM('Apprp. Database'!I600:I601)</f>
        <v>0</v>
      </c>
      <c r="E262" s="20">
        <f>SUM('Apprp. Database'!J600:J601)</f>
        <v>0</v>
      </c>
      <c r="F262" s="291" t="s">
        <v>983</v>
      </c>
      <c r="G262" s="291" t="s">
        <v>983</v>
      </c>
      <c r="H262" s="20">
        <f>SUM('Apprp. Database'!K600:K601)</f>
        <v>0</v>
      </c>
      <c r="I262" s="20">
        <f>SUM('Apprp. Database'!L600:L601)</f>
        <v>0</v>
      </c>
      <c r="J262" s="20">
        <f>SUM('Apprp. Database'!M600:M601)</f>
        <v>0</v>
      </c>
      <c r="K262" s="20">
        <f>SUM('Apprp. Database'!N600:N601)</f>
        <v>0</v>
      </c>
      <c r="L262" s="20">
        <f>SUM('Apprp. Database'!O600:O601)</f>
        <v>0</v>
      </c>
      <c r="M262" s="20">
        <f>SUM('Apprp. Database'!P600:P601)</f>
        <v>0</v>
      </c>
      <c r="N262" s="20">
        <f>SUM('Apprp. Database'!Q600:Q601)</f>
        <v>0</v>
      </c>
      <c r="O262" s="20"/>
      <c r="P262" s="2"/>
      <c r="Q262" s="2"/>
      <c r="R262" s="2"/>
      <c r="S262" s="2"/>
      <c r="T262" s="2"/>
    </row>
    <row r="263" spans="1:20" ht="12.75">
      <c r="A263" s="2"/>
      <c r="B263" s="20"/>
      <c r="C263" s="2"/>
      <c r="D263" s="20"/>
      <c r="E263" s="20"/>
      <c r="F263" s="2"/>
      <c r="G263" s="20"/>
      <c r="H263" s="20"/>
      <c r="I263" s="20"/>
      <c r="J263" s="20"/>
      <c r="K263" s="20"/>
      <c r="L263" s="20"/>
      <c r="M263" s="20"/>
      <c r="N263" s="20"/>
      <c r="O263" s="20"/>
      <c r="P263" s="2"/>
      <c r="Q263" s="2"/>
      <c r="R263" s="2"/>
      <c r="S263" s="2"/>
      <c r="T263" s="2"/>
    </row>
    <row r="264" spans="1:20" ht="12.75">
      <c r="A264" s="2" t="s">
        <v>993</v>
      </c>
      <c r="B264" s="2">
        <f aca="true" t="shared" si="12" ref="B264:N264">SUM(B254:B262)</f>
        <v>723491105</v>
      </c>
      <c r="C264" s="2">
        <f t="shared" si="12"/>
        <v>821175103</v>
      </c>
      <c r="D264" s="2">
        <f t="shared" si="12"/>
        <v>8542546</v>
      </c>
      <c r="E264" s="2">
        <f t="shared" si="12"/>
        <v>43483149</v>
      </c>
      <c r="F264" s="2">
        <f t="shared" si="12"/>
        <v>1301858</v>
      </c>
      <c r="G264" s="2">
        <f t="shared" si="12"/>
        <v>1300000</v>
      </c>
      <c r="H264" s="2">
        <f t="shared" si="12"/>
        <v>0</v>
      </c>
      <c r="I264" s="2">
        <f t="shared" si="12"/>
        <v>0</v>
      </c>
      <c r="J264" s="2">
        <f t="shared" si="12"/>
        <v>23276722</v>
      </c>
      <c r="K264" s="2">
        <f t="shared" si="12"/>
        <v>20923119</v>
      </c>
      <c r="L264" s="2">
        <f t="shared" si="12"/>
        <v>0</v>
      </c>
      <c r="M264" s="2">
        <f t="shared" si="12"/>
        <v>12090551</v>
      </c>
      <c r="N264" s="2">
        <f t="shared" si="12"/>
        <v>0</v>
      </c>
      <c r="O264" s="2"/>
      <c r="P264" s="2"/>
      <c r="Q264" s="2"/>
      <c r="R264" s="2"/>
      <c r="S264" s="2"/>
      <c r="T264" s="2"/>
    </row>
    <row r="265" spans="1:20" ht="12.75">
      <c r="A265" s="2"/>
      <c r="B265" s="291" t="s">
        <v>977</v>
      </c>
      <c r="C265" s="291" t="s">
        <v>977</v>
      </c>
      <c r="D265" s="291" t="s">
        <v>977</v>
      </c>
      <c r="E265" s="291" t="s">
        <v>977</v>
      </c>
      <c r="F265" s="291" t="s">
        <v>977</v>
      </c>
      <c r="G265" s="291" t="s">
        <v>977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0" t="s">
        <v>905</v>
      </c>
      <c r="B267" s="195"/>
      <c r="C267" s="195"/>
      <c r="D267" s="196" t="s">
        <v>997</v>
      </c>
      <c r="E267" s="195"/>
      <c r="F267" s="195"/>
      <c r="G267" s="195"/>
      <c r="H267" s="196"/>
      <c r="I267" s="116"/>
      <c r="J267" s="116"/>
      <c r="K267" s="116"/>
      <c r="L267" s="116"/>
      <c r="M267" s="116"/>
      <c r="N267" s="116"/>
      <c r="O267" s="2"/>
      <c r="P267" s="2"/>
      <c r="Q267" s="2"/>
      <c r="R267" s="2"/>
      <c r="S267" s="2"/>
      <c r="T267" s="2"/>
    </row>
    <row r="268" spans="1:20" ht="12.75">
      <c r="A268" s="2"/>
      <c r="B268" s="195"/>
      <c r="C268" s="195"/>
      <c r="D268" s="195" t="s">
        <v>998</v>
      </c>
      <c r="E268" s="195"/>
      <c r="F268" s="195"/>
      <c r="G268" s="195"/>
      <c r="H268" s="197" t="s">
        <v>929</v>
      </c>
      <c r="I268" s="197"/>
      <c r="J268" s="197"/>
      <c r="K268" s="197"/>
      <c r="L268" s="197"/>
      <c r="M268" s="197"/>
      <c r="N268" s="197"/>
      <c r="O268" s="2"/>
      <c r="P268" s="2"/>
      <c r="Q268" s="2"/>
      <c r="R268" s="2"/>
      <c r="S268" s="2"/>
      <c r="T268" s="2"/>
    </row>
    <row r="269" spans="1:20" ht="12.75">
      <c r="A269" s="2"/>
      <c r="B269" s="293" t="s">
        <v>977</v>
      </c>
      <c r="C269" s="293" t="s">
        <v>977</v>
      </c>
      <c r="D269" s="293" t="s">
        <v>977</v>
      </c>
      <c r="E269" s="293" t="s">
        <v>977</v>
      </c>
      <c r="F269" s="293" t="s">
        <v>977</v>
      </c>
      <c r="G269" s="293" t="s">
        <v>977</v>
      </c>
      <c r="H269" s="116" t="s">
        <v>932</v>
      </c>
      <c r="I269" s="196"/>
      <c r="J269" s="116"/>
      <c r="K269" s="196"/>
      <c r="L269" s="116"/>
      <c r="M269" s="116"/>
      <c r="N269" s="196"/>
      <c r="O269" s="2"/>
      <c r="P269" s="2"/>
      <c r="Q269" s="2"/>
      <c r="R269" s="2"/>
      <c r="S269" s="2"/>
      <c r="T269" s="2"/>
    </row>
    <row r="270" spans="1:20" ht="12.75">
      <c r="A270" s="2"/>
      <c r="B270" s="196" t="s">
        <v>999</v>
      </c>
      <c r="C270" s="196" t="s">
        <v>999</v>
      </c>
      <c r="D270" s="195"/>
      <c r="E270" s="195"/>
      <c r="F270" s="195"/>
      <c r="G270" s="195"/>
      <c r="H270" s="116" t="s">
        <v>935</v>
      </c>
      <c r="I270" s="116" t="s">
        <v>936</v>
      </c>
      <c r="J270" s="116" t="s">
        <v>937</v>
      </c>
      <c r="K270" s="116" t="s">
        <v>937</v>
      </c>
      <c r="L270" s="116" t="s">
        <v>938</v>
      </c>
      <c r="M270" s="196"/>
      <c r="N270" s="196"/>
      <c r="O270" s="2"/>
      <c r="P270" s="2"/>
      <c r="Q270" s="2"/>
      <c r="R270" s="2"/>
      <c r="S270" s="2"/>
      <c r="T270" s="2"/>
    </row>
    <row r="271" spans="1:20" ht="12.75">
      <c r="A271" s="2"/>
      <c r="B271" s="196" t="s">
        <v>1000</v>
      </c>
      <c r="C271" s="196" t="s">
        <v>1000</v>
      </c>
      <c r="D271" s="196" t="s">
        <v>1001</v>
      </c>
      <c r="E271" s="196" t="s">
        <v>950</v>
      </c>
      <c r="F271" s="196" t="s">
        <v>1002</v>
      </c>
      <c r="G271" s="196" t="s">
        <v>1002</v>
      </c>
      <c r="H271" s="116" t="s">
        <v>942</v>
      </c>
      <c r="I271" s="116" t="s">
        <v>943</v>
      </c>
      <c r="J271" s="116" t="s">
        <v>944</v>
      </c>
      <c r="K271" s="116" t="s">
        <v>945</v>
      </c>
      <c r="L271" s="116" t="s">
        <v>945</v>
      </c>
      <c r="M271" s="116" t="s">
        <v>946</v>
      </c>
      <c r="N271" s="196"/>
      <c r="O271" s="2"/>
      <c r="P271" s="2"/>
      <c r="Q271" s="2"/>
      <c r="R271" s="2"/>
      <c r="S271" s="2"/>
      <c r="T271" s="2"/>
    </row>
    <row r="272" spans="1:20" ht="12.75">
      <c r="A272" s="2"/>
      <c r="B272" s="198" t="s">
        <v>1003</v>
      </c>
      <c r="C272" s="198" t="s">
        <v>930</v>
      </c>
      <c r="D272" s="199"/>
      <c r="E272" s="199"/>
      <c r="F272" s="198" t="s">
        <v>947</v>
      </c>
      <c r="G272" s="198" t="s">
        <v>930</v>
      </c>
      <c r="H272" s="197" t="s">
        <v>951</v>
      </c>
      <c r="I272" s="197" t="s">
        <v>941</v>
      </c>
      <c r="J272" s="197" t="s">
        <v>952</v>
      </c>
      <c r="K272" s="197" t="s">
        <v>953</v>
      </c>
      <c r="L272" s="197" t="s">
        <v>953</v>
      </c>
      <c r="M272" s="197" t="s">
        <v>951</v>
      </c>
      <c r="N272" s="197" t="s">
        <v>950</v>
      </c>
      <c r="O272" s="2"/>
      <c r="P272" s="2"/>
      <c r="Q272" s="2"/>
      <c r="R272" s="2"/>
      <c r="S272" s="2"/>
      <c r="T272" s="2"/>
    </row>
    <row r="273" spans="1:20" ht="12.75">
      <c r="A273" s="2" t="s">
        <v>982</v>
      </c>
      <c r="B273" s="20">
        <f>'Apprp. Database'!E609</f>
        <v>79395448</v>
      </c>
      <c r="C273" s="20">
        <f>'Apprp. Database'!F609</f>
        <v>81603394</v>
      </c>
      <c r="D273" s="20">
        <v>0</v>
      </c>
      <c r="E273" s="20">
        <f>'Apprp. Database'!J609</f>
        <v>60345058</v>
      </c>
      <c r="F273" s="291" t="s">
        <v>983</v>
      </c>
      <c r="G273" s="291" t="s">
        <v>983</v>
      </c>
      <c r="H273" s="20">
        <f>'Apprp. Database'!K609</f>
        <v>1260462</v>
      </c>
      <c r="I273" s="20">
        <v>0</v>
      </c>
      <c r="J273" s="20">
        <f>'Apprp. Database'!M609</f>
        <v>11183203</v>
      </c>
      <c r="K273" s="20">
        <f>'Apprp. Database'!N609</f>
        <v>6365869</v>
      </c>
      <c r="L273" s="20">
        <f>'Apprp. Database'!O609</f>
        <v>1288456</v>
      </c>
      <c r="M273" s="20">
        <f>'Apprp. Database'!P609</f>
        <v>2963016</v>
      </c>
      <c r="N273" s="20">
        <f>'Apprp. Database'!Q609</f>
        <v>2477331</v>
      </c>
      <c r="O273" s="20"/>
      <c r="P273" s="20"/>
      <c r="Q273" s="20"/>
      <c r="R273" s="2"/>
      <c r="S273" s="2"/>
      <c r="T273" s="2"/>
    </row>
    <row r="274" spans="1:20" ht="12.75">
      <c r="A274" s="2" t="s">
        <v>984</v>
      </c>
      <c r="B274" s="20">
        <v>0</v>
      </c>
      <c r="C274" s="20">
        <v>0</v>
      </c>
      <c r="D274" s="20">
        <v>0</v>
      </c>
      <c r="E274" s="20">
        <v>0</v>
      </c>
      <c r="F274" s="291" t="s">
        <v>983</v>
      </c>
      <c r="G274" s="291" t="s">
        <v>983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/>
      <c r="P274" s="20"/>
      <c r="Q274" s="20"/>
      <c r="R274" s="2"/>
      <c r="S274" s="2"/>
      <c r="T274" s="2"/>
    </row>
    <row r="275" spans="1:20" ht="12.75">
      <c r="A275" s="2" t="s">
        <v>985</v>
      </c>
      <c r="B275" s="20">
        <f>'Apprp. Database'!E610</f>
        <v>33367847</v>
      </c>
      <c r="C275" s="20">
        <f>'Apprp. Database'!F610</f>
        <v>34100395</v>
      </c>
      <c r="D275" s="20">
        <v>0</v>
      </c>
      <c r="E275" s="20">
        <f>'Apprp. Database'!J610</f>
        <v>13644067</v>
      </c>
      <c r="F275" s="291" t="s">
        <v>983</v>
      </c>
      <c r="G275" s="291" t="s">
        <v>983</v>
      </c>
      <c r="H275" s="20">
        <f>'Apprp. Database'!K610</f>
        <v>1493695</v>
      </c>
      <c r="I275" s="20">
        <v>0</v>
      </c>
      <c r="J275" s="20">
        <v>0</v>
      </c>
      <c r="K275" s="20">
        <v>0</v>
      </c>
      <c r="L275" s="20">
        <v>0</v>
      </c>
      <c r="M275" s="20">
        <f>'Apprp. Database'!P610</f>
        <v>1372640</v>
      </c>
      <c r="N275" s="20">
        <v>0</v>
      </c>
      <c r="O275" s="20"/>
      <c r="P275" s="20"/>
      <c r="Q275" s="20"/>
      <c r="R275" s="2"/>
      <c r="S275" s="2"/>
      <c r="T275" s="2"/>
    </row>
    <row r="276" spans="1:20" ht="12.75">
      <c r="A276" s="2" t="s">
        <v>986</v>
      </c>
      <c r="B276" s="20">
        <v>0</v>
      </c>
      <c r="C276" s="20">
        <v>0</v>
      </c>
      <c r="D276" s="20">
        <v>0</v>
      </c>
      <c r="E276" s="20">
        <v>0</v>
      </c>
      <c r="F276" s="291" t="s">
        <v>983</v>
      </c>
      <c r="G276" s="291" t="s">
        <v>983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/>
      <c r="P276" s="20"/>
      <c r="Q276" s="20"/>
      <c r="R276" s="2"/>
      <c r="S276" s="2"/>
      <c r="T276" s="2"/>
    </row>
    <row r="277" spans="1:20" ht="12.75">
      <c r="A277" s="2" t="s">
        <v>987</v>
      </c>
      <c r="B277" s="20">
        <v>0</v>
      </c>
      <c r="C277" s="20">
        <v>0</v>
      </c>
      <c r="D277" s="20">
        <v>0</v>
      </c>
      <c r="E277" s="20">
        <v>0</v>
      </c>
      <c r="F277" s="291" t="s">
        <v>983</v>
      </c>
      <c r="G277" s="291" t="s">
        <v>983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/>
      <c r="P277" s="20"/>
      <c r="Q277" s="20"/>
      <c r="R277" s="2"/>
      <c r="S277" s="2"/>
      <c r="T277" s="2"/>
    </row>
    <row r="278" spans="1:20" ht="12.75">
      <c r="A278" s="2" t="s">
        <v>988</v>
      </c>
      <c r="B278" s="20">
        <f>SUM('Apprp. Database'!E611:E618)</f>
        <v>73914712</v>
      </c>
      <c r="C278" s="20">
        <f>SUM('Apprp. Database'!F611:F618)</f>
        <v>76657062</v>
      </c>
      <c r="D278" s="20">
        <v>0</v>
      </c>
      <c r="E278" s="20">
        <v>0</v>
      </c>
      <c r="F278" s="291" t="s">
        <v>983</v>
      </c>
      <c r="G278" s="291" t="s">
        <v>983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/>
      <c r="P278" s="20"/>
      <c r="Q278" s="20"/>
      <c r="R278" s="2"/>
      <c r="S278" s="2"/>
      <c r="T278" s="2"/>
    </row>
    <row r="279" spans="1:20" ht="12.75">
      <c r="A279" s="2" t="s">
        <v>994</v>
      </c>
      <c r="B279" s="20">
        <f>SUM('Apprp. Database'!E619:E622)</f>
        <v>19756735</v>
      </c>
      <c r="C279" s="20">
        <f>SUM('Apprp. Database'!F619:F622)</f>
        <v>20536054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/>
      <c r="P279" s="20"/>
      <c r="Q279" s="20"/>
      <c r="R279" s="2"/>
      <c r="S279" s="2"/>
      <c r="T279" s="2"/>
    </row>
    <row r="280" spans="1:20" ht="12.75">
      <c r="A280" s="2" t="s">
        <v>991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"/>
      <c r="S280" s="2"/>
      <c r="T280" s="2"/>
    </row>
    <row r="281" spans="1:20" ht="12.75">
      <c r="A281" s="2" t="s">
        <v>992</v>
      </c>
      <c r="B281" s="20">
        <f>'Apprp. Database'!E623</f>
        <v>6399152</v>
      </c>
      <c r="C281" s="20">
        <f>'Apprp. Database'!F623</f>
        <v>6589136</v>
      </c>
      <c r="D281" s="20">
        <v>0</v>
      </c>
      <c r="E281" s="20">
        <f>'Apprp. Database'!J624</f>
        <v>6475003</v>
      </c>
      <c r="F281" s="291" t="s">
        <v>983</v>
      </c>
      <c r="G281" s="291" t="s">
        <v>983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/>
      <c r="P281" s="20"/>
      <c r="Q281" s="20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"/>
      <c r="S282" s="2"/>
      <c r="T282" s="2"/>
    </row>
    <row r="283" spans="1:20" ht="12.75">
      <c r="A283" s="2" t="s">
        <v>993</v>
      </c>
      <c r="B283" s="2">
        <f>SUM(B273:B281)</f>
        <v>212833894</v>
      </c>
      <c r="C283" s="2">
        <f>SUM(C273:C280)</f>
        <v>212896905</v>
      </c>
      <c r="D283" s="2">
        <f aca="true" t="shared" si="13" ref="D283:N283">SUM(D273:D281)</f>
        <v>0</v>
      </c>
      <c r="E283" s="2">
        <f t="shared" si="13"/>
        <v>80464128</v>
      </c>
      <c r="F283" s="2">
        <f t="shared" si="13"/>
        <v>0</v>
      </c>
      <c r="G283" s="2">
        <f t="shared" si="13"/>
        <v>0</v>
      </c>
      <c r="H283" s="2">
        <f t="shared" si="13"/>
        <v>2754157</v>
      </c>
      <c r="I283" s="2">
        <f t="shared" si="13"/>
        <v>0</v>
      </c>
      <c r="J283" s="2">
        <f t="shared" si="13"/>
        <v>11183203</v>
      </c>
      <c r="K283" s="204">
        <f t="shared" si="13"/>
        <v>6365869</v>
      </c>
      <c r="L283" s="2">
        <f t="shared" si="13"/>
        <v>1288456</v>
      </c>
      <c r="M283" s="2">
        <f t="shared" si="13"/>
        <v>4335656</v>
      </c>
      <c r="N283" s="2">
        <f t="shared" si="13"/>
        <v>2477331</v>
      </c>
      <c r="O283" s="20"/>
      <c r="P283" s="20"/>
      <c r="Q283" s="20"/>
      <c r="R283" s="2"/>
      <c r="S283" s="2"/>
      <c r="T283" s="2"/>
    </row>
    <row r="284" spans="1:20" ht="12.75">
      <c r="A284" s="2"/>
      <c r="B284" s="291" t="s">
        <v>977</v>
      </c>
      <c r="C284" s="291" t="s">
        <v>977</v>
      </c>
      <c r="D284" s="291" t="s">
        <v>977</v>
      </c>
      <c r="E284" s="291" t="s">
        <v>977</v>
      </c>
      <c r="F284" s="291" t="s">
        <v>977</v>
      </c>
      <c r="G284" s="291" t="s">
        <v>977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91" t="s">
        <v>996</v>
      </c>
      <c r="C285" s="291" t="s">
        <v>996</v>
      </c>
      <c r="D285" s="291" t="s">
        <v>996</v>
      </c>
      <c r="E285" s="291" t="s">
        <v>996</v>
      </c>
      <c r="F285" s="291" t="s">
        <v>996</v>
      </c>
      <c r="G285" s="291" t="s">
        <v>996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5" manualBreakCount="5">
    <brk id="39" max="255" man="1"/>
    <brk id="40" max="255" man="1"/>
    <brk id="80" max="255" man="1"/>
    <brk id="120" max="255" man="1"/>
    <brk id="160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285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sheetData>
    <row r="1" spans="1:5" ht="12.75">
      <c r="A1" s="20" t="s">
        <v>61</v>
      </c>
      <c r="B1" s="2" t="s">
        <v>1004</v>
      </c>
      <c r="C1" s="2"/>
      <c r="D1" s="2"/>
      <c r="E1" s="2"/>
    </row>
    <row r="2" spans="1:5" ht="12.75">
      <c r="A2" s="2" t="s">
        <v>62</v>
      </c>
      <c r="B2" s="291" t="s">
        <v>977</v>
      </c>
      <c r="C2" s="291" t="s">
        <v>977</v>
      </c>
      <c r="D2" s="291" t="s">
        <v>977</v>
      </c>
      <c r="E2" s="291" t="s">
        <v>977</v>
      </c>
    </row>
    <row r="3" spans="1:5" ht="12.75">
      <c r="A3" s="2"/>
      <c r="B3" s="205" t="s">
        <v>1005</v>
      </c>
      <c r="C3" s="205" t="s">
        <v>47</v>
      </c>
      <c r="D3" s="205" t="s">
        <v>1006</v>
      </c>
      <c r="E3" s="2" t="s">
        <v>1007</v>
      </c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 t="s">
        <v>982</v>
      </c>
      <c r="B6" s="2">
        <f>'SCH Summary'!C7/30</f>
        <v>33065.86666666667</v>
      </c>
      <c r="C6" s="2">
        <f>'SCH Summary'!E7/24</f>
        <v>5775.375</v>
      </c>
      <c r="D6" s="2"/>
      <c r="E6" s="2">
        <f aca="true" t="shared" si="0" ref="E6:E14">SUM(B6:D6)</f>
        <v>38841.24166666667</v>
      </c>
    </row>
    <row r="7" spans="1:5" ht="12.75">
      <c r="A7" s="2" t="s">
        <v>984</v>
      </c>
      <c r="B7" s="2">
        <f>'SCH Summary'!C8/30</f>
        <v>9152.333333333334</v>
      </c>
      <c r="C7" s="2">
        <f>'SCH Summary'!E8/24</f>
        <v>1702.5</v>
      </c>
      <c r="D7" s="2"/>
      <c r="E7" s="2">
        <f t="shared" si="0"/>
        <v>10854.833333333334</v>
      </c>
    </row>
    <row r="8" spans="1:5" ht="12.75">
      <c r="A8" s="2" t="s">
        <v>985</v>
      </c>
      <c r="B8" s="2">
        <f>'SCH Summary'!C9/30</f>
        <v>22309.866666666665</v>
      </c>
      <c r="C8" s="2">
        <f>'SCH Summary'!E9/24</f>
        <v>3479.5</v>
      </c>
      <c r="D8" s="2"/>
      <c r="E8" s="2">
        <f t="shared" si="0"/>
        <v>25789.366666666665</v>
      </c>
    </row>
    <row r="9" spans="1:5" ht="12.75">
      <c r="A9" s="2" t="s">
        <v>986</v>
      </c>
      <c r="B9" s="2">
        <f>'SCH Summary'!C10/30</f>
        <v>14341.633333333333</v>
      </c>
      <c r="C9" s="2">
        <f>'SCH Summary'!E10/24</f>
        <v>2501.6666666666665</v>
      </c>
      <c r="D9" s="2"/>
      <c r="E9" s="2">
        <f t="shared" si="0"/>
        <v>16843.3</v>
      </c>
    </row>
    <row r="10" spans="1:5" ht="12.75">
      <c r="A10" s="2" t="s">
        <v>987</v>
      </c>
      <c r="B10" s="2">
        <f>'SCH Summary'!C11/30</f>
        <v>12853.333333333334</v>
      </c>
      <c r="C10" s="2">
        <f>'SCH Summary'!E11/24</f>
        <v>1505</v>
      </c>
      <c r="D10" s="2"/>
      <c r="E10" s="2">
        <f t="shared" si="0"/>
        <v>14358.333333333334</v>
      </c>
    </row>
    <row r="11" spans="1:5" ht="12.75">
      <c r="A11" s="2" t="s">
        <v>988</v>
      </c>
      <c r="B11" s="2">
        <f>'SCH Summary'!C12/30</f>
        <v>2696.9666666666667</v>
      </c>
      <c r="C11" s="2">
        <f>'SCH Summary'!E12/24</f>
        <v>0</v>
      </c>
      <c r="D11" s="2"/>
      <c r="E11" s="2">
        <f t="shared" si="0"/>
        <v>2696.9666666666667</v>
      </c>
    </row>
    <row r="12" spans="1:5" ht="12.75">
      <c r="A12" s="2" t="s">
        <v>994</v>
      </c>
      <c r="B12" s="2">
        <f>'SCH Summary'!C14/30</f>
        <v>61425.902103333334</v>
      </c>
      <c r="C12" s="2"/>
      <c r="D12" s="2"/>
      <c r="E12" s="2">
        <f t="shared" si="0"/>
        <v>61425.902103333334</v>
      </c>
    </row>
    <row r="13" spans="1:5" ht="12.75">
      <c r="A13" s="2" t="s">
        <v>991</v>
      </c>
      <c r="B13" s="2">
        <f>'SCH Summary'!C15/30</f>
        <v>7732.231036666667</v>
      </c>
      <c r="C13" s="2">
        <f>'SCH Summary'!E15/24</f>
        <v>0</v>
      </c>
      <c r="D13" s="2">
        <f>'SCH Summary'!D15/900</f>
        <v>0</v>
      </c>
      <c r="E13" s="2">
        <f t="shared" si="0"/>
        <v>7732.231036666667</v>
      </c>
    </row>
    <row r="14" spans="1:5" ht="12.75">
      <c r="A14" s="2" t="s">
        <v>992</v>
      </c>
      <c r="B14" s="2">
        <f>'SCH Summary'!C16/30</f>
        <v>0</v>
      </c>
      <c r="C14" s="2">
        <f>'SCH Summary'!E16/24</f>
        <v>0</v>
      </c>
      <c r="D14" s="2"/>
      <c r="E14" s="2">
        <f t="shared" si="0"/>
        <v>0</v>
      </c>
    </row>
    <row r="15" spans="1:5" ht="12.75">
      <c r="A15" s="2"/>
      <c r="B15" s="2"/>
      <c r="C15" s="2"/>
      <c r="D15" s="2"/>
      <c r="E15" s="2"/>
    </row>
    <row r="16" spans="1:5" ht="12.75">
      <c r="A16" s="2"/>
      <c r="B16" s="2">
        <f>SUM(B6:B14)</f>
        <v>163578.13314</v>
      </c>
      <c r="C16" s="2">
        <f>SUM(C6:C14)</f>
        <v>14964.041666666666</v>
      </c>
      <c r="D16" s="2">
        <f>SUM(D6:D14)</f>
        <v>0</v>
      </c>
      <c r="E16" s="2">
        <f>SUM(B16:D16)</f>
        <v>178542.17480666665</v>
      </c>
    </row>
    <row r="17" spans="1:5" ht="12.75">
      <c r="A17" s="2"/>
      <c r="B17" s="291" t="s">
        <v>977</v>
      </c>
      <c r="C17" s="291" t="s">
        <v>977</v>
      </c>
      <c r="D17" s="291" t="s">
        <v>977</v>
      </c>
      <c r="E17" s="291" t="s">
        <v>977</v>
      </c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0" t="s">
        <v>111</v>
      </c>
      <c r="B20" s="2" t="s">
        <v>1004</v>
      </c>
      <c r="C20" s="2"/>
      <c r="D20" s="2"/>
      <c r="E20" s="2"/>
    </row>
    <row r="21" spans="1:5" ht="12.75">
      <c r="A21" s="2" t="s">
        <v>62</v>
      </c>
      <c r="B21" s="291" t="s">
        <v>977</v>
      </c>
      <c r="C21" s="291" t="s">
        <v>977</v>
      </c>
      <c r="D21" s="291" t="s">
        <v>977</v>
      </c>
      <c r="E21" s="291" t="s">
        <v>977</v>
      </c>
    </row>
    <row r="22" spans="1:5" ht="12.75">
      <c r="A22" s="2"/>
      <c r="B22" s="2" t="s">
        <v>1008</v>
      </c>
      <c r="C22" s="2" t="s">
        <v>1009</v>
      </c>
      <c r="D22" s="205" t="s">
        <v>1010</v>
      </c>
      <c r="E22" s="2" t="s">
        <v>1011</v>
      </c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 t="s">
        <v>982</v>
      </c>
      <c r="B25" s="2">
        <f>'SCH Summary'!C27/30</f>
        <v>11041.333333333334</v>
      </c>
      <c r="C25" s="2">
        <f>'SCH Summary'!E27/24</f>
        <v>2196.4166666666665</v>
      </c>
      <c r="D25" s="2"/>
      <c r="E25" s="2">
        <f aca="true" t="shared" si="1" ref="E25:E33">SUM(B25:D25)</f>
        <v>13237.75</v>
      </c>
    </row>
    <row r="26" spans="1:5" ht="12.75">
      <c r="A26" s="2" t="s">
        <v>984</v>
      </c>
      <c r="B26" s="2">
        <f>'SCH Summary'!C28/30</f>
        <v>0</v>
      </c>
      <c r="C26" s="2">
        <f>'SCH Summary'!E28/24</f>
        <v>0</v>
      </c>
      <c r="D26" s="2"/>
      <c r="E26" s="2">
        <f t="shared" si="1"/>
        <v>0</v>
      </c>
    </row>
    <row r="27" spans="1:5" ht="12.75">
      <c r="A27" s="2" t="s">
        <v>985</v>
      </c>
      <c r="B27" s="2">
        <f>'SCH Summary'!C29/30</f>
        <v>22015.6</v>
      </c>
      <c r="C27" s="2">
        <f>'SCH Summary'!E29/24</f>
        <v>2940.5416666666665</v>
      </c>
      <c r="D27" s="2"/>
      <c r="E27" s="2">
        <f t="shared" si="1"/>
        <v>24956.141666666666</v>
      </c>
    </row>
    <row r="28" spans="1:5" ht="12.75">
      <c r="A28" s="2" t="s">
        <v>986</v>
      </c>
      <c r="B28" s="2">
        <f>'SCH Summary'!C30/30</f>
        <v>0</v>
      </c>
      <c r="C28" s="2">
        <f>'SCH Summary'!E30/24</f>
        <v>0</v>
      </c>
      <c r="D28" s="2"/>
      <c r="E28" s="2">
        <f t="shared" si="1"/>
        <v>0</v>
      </c>
    </row>
    <row r="29" spans="1:5" ht="12.75">
      <c r="A29" s="2" t="s">
        <v>987</v>
      </c>
      <c r="B29" s="2">
        <f>'SCH Summary'!C31/30</f>
        <v>7033.066666666667</v>
      </c>
      <c r="C29" s="2">
        <f>'SCH Summary'!E31/24</f>
        <v>293.9166666666667</v>
      </c>
      <c r="D29" s="2"/>
      <c r="E29" s="2">
        <f t="shared" si="1"/>
        <v>7326.983333333334</v>
      </c>
    </row>
    <row r="30" spans="1:5" ht="12.75">
      <c r="A30" s="2" t="s">
        <v>988</v>
      </c>
      <c r="B30" s="2">
        <f>'SCH Summary'!C32/30</f>
        <v>7233.433333333333</v>
      </c>
      <c r="C30" s="2">
        <f>'SCH Summary'!E32/24</f>
        <v>205.75</v>
      </c>
      <c r="D30" s="2"/>
      <c r="E30" s="2">
        <f t="shared" si="1"/>
        <v>7439.183333333333</v>
      </c>
    </row>
    <row r="31" spans="1:5" ht="12.75">
      <c r="A31" s="2" t="s">
        <v>994</v>
      </c>
      <c r="B31" s="2">
        <f>'SCH Summary'!C33/30</f>
        <v>19816.566666666666</v>
      </c>
      <c r="C31" s="2">
        <f>'SCH Summary'!E33/24</f>
        <v>0</v>
      </c>
      <c r="D31" s="2">
        <f>'SCH Summary'!D33/900</f>
        <v>0</v>
      </c>
      <c r="E31" s="2">
        <f t="shared" si="1"/>
        <v>19816.566666666666</v>
      </c>
    </row>
    <row r="32" spans="1:5" ht="12.75">
      <c r="A32" s="2" t="s">
        <v>991</v>
      </c>
      <c r="B32" s="2">
        <f>'SCH Summary'!C34/30</f>
        <v>0</v>
      </c>
      <c r="C32" s="2">
        <f>'SCH Summary'!E34/24</f>
        <v>0</v>
      </c>
      <c r="D32" s="2">
        <f>'SCH Summary'!D34/900</f>
        <v>0</v>
      </c>
      <c r="E32" s="2">
        <f t="shared" si="1"/>
        <v>0</v>
      </c>
    </row>
    <row r="33" spans="1:5" ht="12.75">
      <c r="A33" s="2" t="s">
        <v>992</v>
      </c>
      <c r="B33" s="2">
        <f>'SCH Summary'!C35/30</f>
        <v>203.83333333333334</v>
      </c>
      <c r="C33" s="2">
        <f>'SCH Summary'!E35/24</f>
        <v>788.5416666666666</v>
      </c>
      <c r="D33" s="2"/>
      <c r="E33" s="2">
        <f t="shared" si="1"/>
        <v>992.375</v>
      </c>
    </row>
    <row r="34" spans="1:5" ht="12.75">
      <c r="A34" s="2"/>
      <c r="B34" s="2"/>
      <c r="C34" s="2"/>
      <c r="D34" s="2"/>
      <c r="E34" s="2"/>
    </row>
    <row r="35" spans="1:5" ht="12.75">
      <c r="A35" s="2"/>
      <c r="B35" s="2">
        <f>SUM(B25:B33)</f>
        <v>67343.83333333333</v>
      </c>
      <c r="C35" s="2">
        <f>SUM(C25:C33)</f>
        <v>6425.166666666667</v>
      </c>
      <c r="D35" s="2">
        <f>SUM(D25:D33)</f>
        <v>0</v>
      </c>
      <c r="E35" s="2">
        <f>SUM(B35:D35)</f>
        <v>73769</v>
      </c>
    </row>
    <row r="36" spans="1:5" ht="12.75">
      <c r="A36" s="2"/>
      <c r="B36" s="291" t="s">
        <v>977</v>
      </c>
      <c r="C36" s="291" t="s">
        <v>977</v>
      </c>
      <c r="D36" s="291" t="s">
        <v>977</v>
      </c>
      <c r="E36" s="291" t="s">
        <v>977</v>
      </c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0" t="s">
        <v>144</v>
      </c>
      <c r="B39" s="2" t="s">
        <v>1004</v>
      </c>
      <c r="C39" s="2"/>
      <c r="D39" s="2"/>
      <c r="E39" s="2"/>
    </row>
    <row r="40" spans="1:5" ht="12.75">
      <c r="A40" s="2" t="s">
        <v>62</v>
      </c>
      <c r="B40" s="291" t="s">
        <v>977</v>
      </c>
      <c r="C40" s="291" t="s">
        <v>977</v>
      </c>
      <c r="D40" s="291" t="s">
        <v>977</v>
      </c>
      <c r="E40" s="291" t="s">
        <v>977</v>
      </c>
    </row>
    <row r="41" spans="1:5" ht="12.75">
      <c r="A41" s="2"/>
      <c r="B41" s="2" t="s">
        <v>1008</v>
      </c>
      <c r="C41" s="2" t="s">
        <v>1009</v>
      </c>
      <c r="D41" s="205" t="s">
        <v>1010</v>
      </c>
      <c r="E41" s="2" t="s">
        <v>1011</v>
      </c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 t="s">
        <v>982</v>
      </c>
      <c r="B44" s="2">
        <f>'SCH Summary'!C46/30</f>
        <v>69168.64333333334</v>
      </c>
      <c r="C44" s="2">
        <f>'SCH Summary'!E46/24</f>
        <v>15867.75</v>
      </c>
      <c r="D44" s="2"/>
      <c r="E44" s="2">
        <f aca="true" t="shared" si="2" ref="E44:E52">SUM(B44:D44)</f>
        <v>85036.39333333334</v>
      </c>
    </row>
    <row r="45" spans="1:5" ht="12.75">
      <c r="A45" s="2" t="s">
        <v>984</v>
      </c>
      <c r="B45" s="2">
        <f>'SCH Summary'!C47/30</f>
        <v>30125.233333333334</v>
      </c>
      <c r="C45" s="2">
        <f>'SCH Summary'!E47/24</f>
        <v>4695.375</v>
      </c>
      <c r="D45" s="2"/>
      <c r="E45" s="2">
        <f t="shared" si="2"/>
        <v>34820.60833333334</v>
      </c>
    </row>
    <row r="46" spans="1:5" ht="12.75">
      <c r="A46" s="2" t="s">
        <v>985</v>
      </c>
      <c r="B46" s="2">
        <f>'SCH Summary'!C48/30</f>
        <v>23231.066666666666</v>
      </c>
      <c r="C46" s="2">
        <f>'SCH Summary'!E48/24</f>
        <v>4385.583333333333</v>
      </c>
      <c r="D46" s="2"/>
      <c r="E46" s="2">
        <f t="shared" si="2"/>
        <v>27616.649999999998</v>
      </c>
    </row>
    <row r="47" spans="1:5" ht="12.75">
      <c r="A47" s="2" t="s">
        <v>986</v>
      </c>
      <c r="B47" s="2">
        <f>'SCH Summary'!C49/30</f>
        <v>15542.466666666667</v>
      </c>
      <c r="C47" s="2">
        <f>'SCH Summary'!E49/24</f>
        <v>1711.3333333333333</v>
      </c>
      <c r="D47" s="2"/>
      <c r="E47" s="2">
        <f t="shared" si="2"/>
        <v>17253.8</v>
      </c>
    </row>
    <row r="48" spans="1:5" ht="12.75">
      <c r="A48" s="2" t="s">
        <v>987</v>
      </c>
      <c r="B48" s="2">
        <f>'SCH Summary'!C50/30</f>
        <v>0</v>
      </c>
      <c r="C48" s="2">
        <f>'SCH Summary'!E50/24</f>
        <v>0</v>
      </c>
      <c r="D48" s="2"/>
      <c r="E48" s="2">
        <f t="shared" si="2"/>
        <v>0</v>
      </c>
    </row>
    <row r="49" spans="1:5" ht="12.75">
      <c r="A49" s="2" t="s">
        <v>988</v>
      </c>
      <c r="B49" s="2">
        <f>'SCH Summary'!C51/30</f>
        <v>0</v>
      </c>
      <c r="C49" s="2">
        <f>'SCH Summary'!E51/24</f>
        <v>0</v>
      </c>
      <c r="D49" s="2"/>
      <c r="E49" s="2">
        <f t="shared" si="2"/>
        <v>0</v>
      </c>
    </row>
    <row r="50" spans="1:5" ht="12.75">
      <c r="A50" s="2" t="s">
        <v>994</v>
      </c>
      <c r="B50" s="2">
        <f>'SCH Summary'!C52/30</f>
        <v>180682</v>
      </c>
      <c r="C50" s="2">
        <f>'SCH Summary'!E52/24</f>
        <v>0</v>
      </c>
      <c r="D50" s="2">
        <f>'SCH Summary'!D52/900</f>
        <v>55494.916666666664</v>
      </c>
      <c r="E50" s="2">
        <f t="shared" si="2"/>
        <v>236176.91666666666</v>
      </c>
    </row>
    <row r="51" spans="1:5" ht="12.75">
      <c r="A51" s="2" t="s">
        <v>991</v>
      </c>
      <c r="B51" s="2">
        <f>'SCH Summary'!C53/30</f>
        <v>0</v>
      </c>
      <c r="C51" s="2">
        <f>'SCH Summary'!E53/24</f>
        <v>0</v>
      </c>
      <c r="D51" s="2">
        <f>'SCH Summary'!D53/900</f>
        <v>0</v>
      </c>
      <c r="E51" s="2">
        <f t="shared" si="2"/>
        <v>0</v>
      </c>
    </row>
    <row r="52" spans="1:5" ht="12.75">
      <c r="A52" s="2" t="s">
        <v>992</v>
      </c>
      <c r="B52" s="2">
        <f>'SCH Summary'!C54/30</f>
        <v>0</v>
      </c>
      <c r="C52" s="2">
        <f>'SCH Summary'!E54/24</f>
        <v>0</v>
      </c>
      <c r="D52" s="2"/>
      <c r="E52" s="2">
        <f t="shared" si="2"/>
        <v>0</v>
      </c>
    </row>
    <row r="53" spans="1:5" ht="12.75">
      <c r="A53" s="2"/>
      <c r="B53" s="2"/>
      <c r="C53" s="2"/>
      <c r="D53" s="2"/>
      <c r="E53" s="2"/>
    </row>
    <row r="54" spans="1:5" ht="12.75">
      <c r="A54" s="2"/>
      <c r="B54" s="2">
        <f>SUM(B44:B52)</f>
        <v>318749.41000000003</v>
      </c>
      <c r="C54" s="2">
        <f>SUM(C44:C52)</f>
        <v>26660.041666666664</v>
      </c>
      <c r="D54" s="2">
        <f>SUM(D44:D52)</f>
        <v>55494.916666666664</v>
      </c>
      <c r="E54" s="2">
        <f>SUM(B54:D54)</f>
        <v>400904.3683333334</v>
      </c>
    </row>
    <row r="55" spans="1:5" ht="12.75">
      <c r="A55" s="2"/>
      <c r="B55" s="291" t="s">
        <v>977</v>
      </c>
      <c r="C55" s="291" t="s">
        <v>977</v>
      </c>
      <c r="D55" s="291" t="s">
        <v>977</v>
      </c>
      <c r="E55" s="291" t="s">
        <v>977</v>
      </c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0" t="s">
        <v>195</v>
      </c>
      <c r="B58" s="2" t="s">
        <v>1004</v>
      </c>
      <c r="C58" s="2"/>
      <c r="D58" s="2"/>
      <c r="E58" s="2"/>
    </row>
    <row r="59" spans="1:5" ht="12.75">
      <c r="A59" s="2" t="s">
        <v>196</v>
      </c>
      <c r="B59" s="291" t="s">
        <v>977</v>
      </c>
      <c r="C59" s="291" t="s">
        <v>977</v>
      </c>
      <c r="D59" s="291" t="s">
        <v>977</v>
      </c>
      <c r="E59" s="291" t="s">
        <v>977</v>
      </c>
    </row>
    <row r="60" spans="1:5" ht="12.75">
      <c r="A60" s="2"/>
      <c r="B60" s="2" t="s">
        <v>1008</v>
      </c>
      <c r="C60" s="2" t="s">
        <v>1009</v>
      </c>
      <c r="D60" s="205" t="s">
        <v>1010</v>
      </c>
      <c r="E60" s="2" t="s">
        <v>1011</v>
      </c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 t="s">
        <v>982</v>
      </c>
      <c r="B63" s="2">
        <f>'SCH Summary'!C65/45</f>
        <v>36856.15555555555</v>
      </c>
      <c r="C63" s="2">
        <f>'SCH Summary'!E65/36</f>
        <v>13030.638888888889</v>
      </c>
      <c r="D63" s="2"/>
      <c r="E63" s="2">
        <f aca="true" t="shared" si="3" ref="E63:E71">SUM(B63:D63)</f>
        <v>49886.794444444444</v>
      </c>
    </row>
    <row r="64" spans="1:5" ht="12.75">
      <c r="A64" s="2" t="s">
        <v>984</v>
      </c>
      <c r="B64" s="2">
        <f>'SCH Summary'!C66/45</f>
        <v>10052.577777777778</v>
      </c>
      <c r="C64" s="2">
        <f>'SCH Summary'!E66/36</f>
        <v>4337.5</v>
      </c>
      <c r="D64" s="2"/>
      <c r="E64" s="2">
        <f t="shared" si="3"/>
        <v>14390.077777777778</v>
      </c>
    </row>
    <row r="65" spans="1:5" ht="12.75">
      <c r="A65" s="2" t="s">
        <v>985</v>
      </c>
      <c r="B65" s="2">
        <f>'SCH Summary'!C67/45</f>
        <v>12881.644444444444</v>
      </c>
      <c r="C65" s="2">
        <f>'SCH Summary'!E67/36</f>
        <v>1263.0833333333333</v>
      </c>
      <c r="D65" s="2"/>
      <c r="E65" s="2">
        <f t="shared" si="3"/>
        <v>14144.727777777778</v>
      </c>
    </row>
    <row r="66" spans="1:5" ht="12.75">
      <c r="A66" s="2" t="s">
        <v>986</v>
      </c>
      <c r="B66" s="2">
        <f>'SCH Summary'!C68/45</f>
        <v>21558.022222222222</v>
      </c>
      <c r="C66" s="2">
        <f>'SCH Summary'!E68/36</f>
        <v>4117.194444444444</v>
      </c>
      <c r="D66" s="2"/>
      <c r="E66" s="2">
        <f t="shared" si="3"/>
        <v>25675.216666666667</v>
      </c>
    </row>
    <row r="67" spans="1:5" ht="12.75">
      <c r="A67" s="2" t="s">
        <v>987</v>
      </c>
      <c r="B67" s="2">
        <f>'SCH Summary'!C69/45</f>
        <v>25814.11111111111</v>
      </c>
      <c r="C67" s="2">
        <f>'SCH Summary'!E69/36</f>
        <v>2847.3888888888887</v>
      </c>
      <c r="D67" s="2"/>
      <c r="E67" s="2">
        <f t="shared" si="3"/>
        <v>28661.5</v>
      </c>
    </row>
    <row r="68" spans="1:5" ht="12.75">
      <c r="A68" s="2" t="s">
        <v>988</v>
      </c>
      <c r="B68" s="2">
        <f>'SCH Summary'!C70/45</f>
        <v>10932.711111111112</v>
      </c>
      <c r="C68" s="2">
        <f>'SCH Summary'!E70/36</f>
        <v>328.3611111111111</v>
      </c>
      <c r="D68" s="2"/>
      <c r="E68" s="2">
        <f t="shared" si="3"/>
        <v>11261.072222222223</v>
      </c>
    </row>
    <row r="69" spans="1:5" ht="12.75">
      <c r="A69" s="2" t="s">
        <v>994</v>
      </c>
      <c r="B69" s="2">
        <f>'SCH Summary'!C71/45</f>
        <v>34606.22222222222</v>
      </c>
      <c r="C69" s="2">
        <f>'SCH Summary'!E71/36</f>
        <v>0</v>
      </c>
      <c r="D69" s="2">
        <f>'SCH Summary'!D71/900</f>
        <v>0</v>
      </c>
      <c r="E69" s="2">
        <f t="shared" si="3"/>
        <v>34606.22222222222</v>
      </c>
    </row>
    <row r="70" spans="1:5" ht="12.75">
      <c r="A70" s="2" t="s">
        <v>991</v>
      </c>
      <c r="B70" s="2">
        <f>'SCH Summary'!C72/45</f>
        <v>35524.042222222226</v>
      </c>
      <c r="C70" s="2">
        <f>'SCH Summary'!E72/36</f>
        <v>0</v>
      </c>
      <c r="D70" s="2">
        <f>'SCH Summary'!D72/900</f>
        <v>0</v>
      </c>
      <c r="E70" s="2">
        <f t="shared" si="3"/>
        <v>35524.042222222226</v>
      </c>
    </row>
    <row r="71" spans="1:5" ht="12.75">
      <c r="A71" s="2" t="s">
        <v>992</v>
      </c>
      <c r="B71" s="2">
        <f>'SCH Summary'!C73/45</f>
        <v>3980.1111111111113</v>
      </c>
      <c r="C71" s="2">
        <f>'SCH Summary'!E73/36</f>
        <v>0</v>
      </c>
      <c r="D71" s="2"/>
      <c r="E71" s="2">
        <f t="shared" si="3"/>
        <v>3980.1111111111113</v>
      </c>
    </row>
    <row r="72" spans="1:5" ht="12.75">
      <c r="A72" s="2"/>
      <c r="B72" s="2"/>
      <c r="C72" s="2"/>
      <c r="D72" s="2"/>
      <c r="E72" s="2"/>
    </row>
    <row r="73" spans="1:5" ht="12.75">
      <c r="A73" s="2"/>
      <c r="B73" s="2">
        <f>SUM(B63:B71)</f>
        <v>192205.5977777778</v>
      </c>
      <c r="C73" s="2">
        <f>SUM(C63:C71)</f>
        <v>25924.166666666664</v>
      </c>
      <c r="D73" s="2">
        <f>SUM(D63:D71)</f>
        <v>0</v>
      </c>
      <c r="E73" s="2">
        <f>SUM(B73:D73)</f>
        <v>218129.76444444444</v>
      </c>
    </row>
    <row r="74" spans="1:5" ht="12.75">
      <c r="A74" s="2"/>
      <c r="B74" s="291" t="s">
        <v>977</v>
      </c>
      <c r="C74" s="291" t="s">
        <v>977</v>
      </c>
      <c r="D74" s="291" t="s">
        <v>977</v>
      </c>
      <c r="E74" s="291" t="s">
        <v>977</v>
      </c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0" t="s">
        <v>305</v>
      </c>
      <c r="B77" s="2" t="s">
        <v>1004</v>
      </c>
      <c r="C77" s="2"/>
      <c r="D77" s="2"/>
      <c r="E77" s="2"/>
    </row>
    <row r="78" spans="1:5" ht="12.75">
      <c r="A78" s="2" t="s">
        <v>62</v>
      </c>
      <c r="B78" s="291" t="s">
        <v>977</v>
      </c>
      <c r="C78" s="291" t="s">
        <v>977</v>
      </c>
      <c r="D78" s="291" t="s">
        <v>977</v>
      </c>
      <c r="E78" s="291" t="s">
        <v>977</v>
      </c>
    </row>
    <row r="79" spans="1:5" ht="12.75">
      <c r="A79" s="2"/>
      <c r="B79" s="2" t="s">
        <v>1008</v>
      </c>
      <c r="C79" s="2" t="s">
        <v>1009</v>
      </c>
      <c r="D79" s="205" t="s">
        <v>1010</v>
      </c>
      <c r="E79" s="2" t="s">
        <v>1011</v>
      </c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 t="s">
        <v>982</v>
      </c>
      <c r="B82" s="2">
        <f>'SCH Summary'!C84/30</f>
        <v>15277.933333333332</v>
      </c>
      <c r="C82" s="2">
        <f>'SCH Summary'!E84/24</f>
        <v>3202.8333333333335</v>
      </c>
      <c r="D82" s="2"/>
      <c r="E82" s="2">
        <f aca="true" t="shared" si="4" ref="E82:E90">SUM(B82:D82)</f>
        <v>18480.766666666666</v>
      </c>
    </row>
    <row r="83" spans="1:5" ht="12.75">
      <c r="A83" s="2" t="s">
        <v>984</v>
      </c>
      <c r="B83" s="2">
        <f>'SCH Summary'!C85/30</f>
        <v>11205.133333333333</v>
      </c>
      <c r="C83" s="2">
        <f>'SCH Summary'!E85/24</f>
        <v>3025.0416666666665</v>
      </c>
      <c r="D83" s="2"/>
      <c r="E83" s="2">
        <f t="shared" si="4"/>
        <v>14230.175</v>
      </c>
    </row>
    <row r="84" spans="1:5" ht="12.75">
      <c r="A84" s="2" t="s">
        <v>985</v>
      </c>
      <c r="B84" s="2">
        <f>'SCH Summary'!C86/30</f>
        <v>29292.9</v>
      </c>
      <c r="C84" s="2">
        <f>'SCH Summary'!E86/24</f>
        <v>3568.5416666666665</v>
      </c>
      <c r="D84" s="2"/>
      <c r="E84" s="2">
        <f t="shared" si="4"/>
        <v>32861.441666666666</v>
      </c>
    </row>
    <row r="85" spans="1:5" ht="12.75">
      <c r="A85" s="2" t="s">
        <v>986</v>
      </c>
      <c r="B85" s="2">
        <f>'SCH Summary'!C87/30</f>
        <v>6324.8</v>
      </c>
      <c r="C85" s="2">
        <f>'SCH Summary'!E87/24</f>
        <v>928.5</v>
      </c>
      <c r="D85" s="2"/>
      <c r="E85" s="2">
        <f t="shared" si="4"/>
        <v>7253.3</v>
      </c>
    </row>
    <row r="86" spans="1:5" ht="12.75">
      <c r="A86" s="2" t="s">
        <v>987</v>
      </c>
      <c r="B86" s="2">
        <f>'SCH Summary'!C88/30</f>
        <v>8022.633333333333</v>
      </c>
      <c r="C86" s="2">
        <f>'SCH Summary'!E88/24</f>
        <v>826.3333333333334</v>
      </c>
      <c r="D86" s="2"/>
      <c r="E86" s="2">
        <f t="shared" si="4"/>
        <v>8848.966666666667</v>
      </c>
    </row>
    <row r="87" spans="1:5" ht="12.75">
      <c r="A87" s="2" t="s">
        <v>988</v>
      </c>
      <c r="B87" s="2">
        <f>'SCH Summary'!C89/30</f>
        <v>2065.266666666667</v>
      </c>
      <c r="C87" s="2">
        <f>'SCH Summary'!E89/24</f>
        <v>51.625</v>
      </c>
      <c r="D87" s="2"/>
      <c r="E87" s="2">
        <f t="shared" si="4"/>
        <v>2116.891666666667</v>
      </c>
    </row>
    <row r="88" spans="1:5" ht="12.75">
      <c r="A88" s="2" t="s">
        <v>994</v>
      </c>
      <c r="B88" s="2">
        <f>'SCH Summary'!C90/30</f>
        <v>27819.7</v>
      </c>
      <c r="C88" s="2">
        <f>'SCH Summary'!E90/24</f>
        <v>0</v>
      </c>
      <c r="D88" s="2">
        <f>'SCH Summary'!D90/900</f>
        <v>0</v>
      </c>
      <c r="E88" s="2">
        <f t="shared" si="4"/>
        <v>27819.7</v>
      </c>
    </row>
    <row r="89" spans="1:5" ht="12.75">
      <c r="A89" s="2" t="s">
        <v>991</v>
      </c>
      <c r="B89" s="2">
        <f>'SCH Summary'!C91/30</f>
        <v>0</v>
      </c>
      <c r="C89" s="2">
        <f>'SCH Summary'!E91/24</f>
        <v>0</v>
      </c>
      <c r="D89" s="2">
        <f>'SCH Summary'!D91/900</f>
        <v>0</v>
      </c>
      <c r="E89" s="2">
        <f t="shared" si="4"/>
        <v>0</v>
      </c>
    </row>
    <row r="90" spans="1:5" ht="12.75">
      <c r="A90" s="2" t="s">
        <v>992</v>
      </c>
      <c r="B90" s="2">
        <f>'SCH Summary'!C92/30</f>
        <v>0</v>
      </c>
      <c r="C90" s="2">
        <f>'SCH Summary'!E92/24</f>
        <v>0</v>
      </c>
      <c r="D90" s="2"/>
      <c r="E90" s="2">
        <f t="shared" si="4"/>
        <v>0</v>
      </c>
    </row>
    <row r="91" spans="1:5" ht="12.75">
      <c r="A91" s="2"/>
      <c r="B91" s="2"/>
      <c r="C91" s="2"/>
      <c r="D91" s="2"/>
      <c r="E91" s="2"/>
    </row>
    <row r="92" spans="1:5" ht="12.75">
      <c r="A92" s="2"/>
      <c r="B92" s="2">
        <f>SUM(B82:B90)</f>
        <v>100008.36666666667</v>
      </c>
      <c r="C92" s="2">
        <f>SUM(C82:C90)</f>
        <v>11602.875</v>
      </c>
      <c r="D92" s="2">
        <f>SUM(D82:D90)</f>
        <v>0</v>
      </c>
      <c r="E92" s="2">
        <f>SUM(B92:D92)</f>
        <v>111611.24166666667</v>
      </c>
    </row>
    <row r="93" spans="1:5" ht="12.75">
      <c r="A93" s="2"/>
      <c r="B93" s="291" t="s">
        <v>977</v>
      </c>
      <c r="C93" s="291" t="s">
        <v>977</v>
      </c>
      <c r="D93" s="291" t="s">
        <v>977</v>
      </c>
      <c r="E93" s="291" t="s">
        <v>977</v>
      </c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0" t="s">
        <v>315</v>
      </c>
      <c r="B96" s="2" t="s">
        <v>1004</v>
      </c>
      <c r="C96" s="2"/>
      <c r="D96" s="2"/>
      <c r="E96" s="2"/>
    </row>
    <row r="97" spans="1:5" ht="12.75">
      <c r="A97" s="2" t="s">
        <v>62</v>
      </c>
      <c r="B97" s="291" t="s">
        <v>977</v>
      </c>
      <c r="C97" s="291" t="s">
        <v>977</v>
      </c>
      <c r="D97" s="291" t="s">
        <v>977</v>
      </c>
      <c r="E97" s="291" t="s">
        <v>977</v>
      </c>
    </row>
    <row r="98" spans="1:5" ht="12.75">
      <c r="A98" s="2"/>
      <c r="B98" s="2" t="s">
        <v>1008</v>
      </c>
      <c r="C98" s="2" t="s">
        <v>1009</v>
      </c>
      <c r="D98" s="205" t="s">
        <v>1010</v>
      </c>
      <c r="E98" s="2" t="s">
        <v>1011</v>
      </c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 t="s">
        <v>982</v>
      </c>
      <c r="B101" s="2">
        <f>'SCH Summary'!C103/30</f>
        <v>20062.066666666666</v>
      </c>
      <c r="C101" s="2">
        <f>'SCH Summary'!E103/24</f>
        <v>4176.375</v>
      </c>
      <c r="D101" s="2"/>
      <c r="E101" s="2">
        <f aca="true" t="shared" si="5" ref="E101:E109">SUM(B101:D101)</f>
        <v>24238.441666666666</v>
      </c>
    </row>
    <row r="102" spans="1:5" ht="12.75">
      <c r="A102" s="2" t="s">
        <v>984</v>
      </c>
      <c r="B102" s="2">
        <f>'SCH Summary'!C104/30</f>
        <v>23004.7</v>
      </c>
      <c r="C102" s="2">
        <f>'SCH Summary'!E104/24</f>
        <v>3588.3333333333335</v>
      </c>
      <c r="D102" s="2"/>
      <c r="E102" s="2">
        <f t="shared" si="5"/>
        <v>26593.033333333333</v>
      </c>
    </row>
    <row r="103" spans="1:5" ht="12.75">
      <c r="A103" s="2" t="s">
        <v>985</v>
      </c>
      <c r="B103" s="2">
        <f>'SCH Summary'!C105/30</f>
        <v>33780.46666666667</v>
      </c>
      <c r="C103" s="2">
        <f>'SCH Summary'!E105/24</f>
        <v>3665.0833333333335</v>
      </c>
      <c r="D103" s="2"/>
      <c r="E103" s="2">
        <f t="shared" si="5"/>
        <v>37445.55</v>
      </c>
    </row>
    <row r="104" spans="1:5" ht="12.75">
      <c r="A104" s="2" t="s">
        <v>986</v>
      </c>
      <c r="B104" s="2">
        <f>'SCH Summary'!C106/30</f>
        <v>26742.6</v>
      </c>
      <c r="C104" s="2">
        <f>'SCH Summary'!E106/24</f>
        <v>2091.9166666666665</v>
      </c>
      <c r="D104" s="2"/>
      <c r="E104" s="2">
        <f t="shared" si="5"/>
        <v>28834.516666666666</v>
      </c>
    </row>
    <row r="105" spans="1:5" ht="12.75">
      <c r="A105" s="2" t="s">
        <v>987</v>
      </c>
      <c r="B105" s="2">
        <f>'SCH Summary'!C107/30</f>
        <v>12302.433333333332</v>
      </c>
      <c r="C105" s="2">
        <f>'SCH Summary'!E107/24</f>
        <v>1170.625</v>
      </c>
      <c r="D105" s="2"/>
      <c r="E105" s="2">
        <f t="shared" si="5"/>
        <v>13473.058333333332</v>
      </c>
    </row>
    <row r="106" spans="1:5" ht="12.75">
      <c r="A106" s="2" t="s">
        <v>988</v>
      </c>
      <c r="B106" s="2">
        <f>'SCH Summary'!C108/30</f>
        <v>0</v>
      </c>
      <c r="C106" s="2">
        <f>'SCH Summary'!E108/24</f>
        <v>0</v>
      </c>
      <c r="D106" s="2"/>
      <c r="E106" s="2">
        <f t="shared" si="5"/>
        <v>0</v>
      </c>
    </row>
    <row r="107" spans="1:5" ht="12.75">
      <c r="A107" s="2" t="s">
        <v>994</v>
      </c>
      <c r="B107" s="2">
        <f>'SCH Summary'!C109/30</f>
        <v>15554.533333333333</v>
      </c>
      <c r="C107" s="2">
        <f>'SCH Summary'!E109/24</f>
        <v>0</v>
      </c>
      <c r="D107" s="2">
        <f>'SCH Summary'!D109/900</f>
        <v>0</v>
      </c>
      <c r="E107" s="2">
        <f t="shared" si="5"/>
        <v>15554.533333333333</v>
      </c>
    </row>
    <row r="108" spans="1:5" ht="12.75">
      <c r="A108" s="2" t="s">
        <v>991</v>
      </c>
      <c r="B108" s="2">
        <f>'SCH Summary'!C110/30</f>
        <v>0</v>
      </c>
      <c r="C108" s="2">
        <f>'SCH Summary'!E110/24</f>
        <v>0</v>
      </c>
      <c r="D108" s="2">
        <f>'SCH Summary'!D110/900</f>
        <v>13700.356666666667</v>
      </c>
      <c r="E108" s="2">
        <f t="shared" si="5"/>
        <v>13700.356666666667</v>
      </c>
    </row>
    <row r="109" spans="1:5" ht="12.75">
      <c r="A109" s="2" t="s">
        <v>992</v>
      </c>
      <c r="B109" s="2">
        <f>'SCH Summary'!C111/30</f>
        <v>0</v>
      </c>
      <c r="C109" s="2">
        <f>'SCH Summary'!E111/24</f>
        <v>826.0416666666666</v>
      </c>
      <c r="D109" s="2"/>
      <c r="E109" s="2">
        <f t="shared" si="5"/>
        <v>826.0416666666666</v>
      </c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>
        <f>SUM(B101:B109)</f>
        <v>131446.80000000002</v>
      </c>
      <c r="C111" s="2">
        <f>SUM(C101:C109)</f>
        <v>15518.375</v>
      </c>
      <c r="D111" s="2">
        <f>SUM(D101:D109)</f>
        <v>13700.356666666667</v>
      </c>
      <c r="E111" s="2">
        <f>SUM(B111:D111)</f>
        <v>160665.53166666668</v>
      </c>
    </row>
    <row r="112" spans="1:5" ht="12.75">
      <c r="A112" s="2"/>
      <c r="B112" s="291" t="s">
        <v>977</v>
      </c>
      <c r="C112" s="291" t="s">
        <v>977</v>
      </c>
      <c r="D112" s="291" t="s">
        <v>977</v>
      </c>
      <c r="E112" s="291" t="s">
        <v>977</v>
      </c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0" t="s">
        <v>402</v>
      </c>
      <c r="B115" s="2" t="s">
        <v>1004</v>
      </c>
      <c r="C115" s="2"/>
      <c r="D115" s="2"/>
      <c r="E115" s="2"/>
    </row>
    <row r="116" spans="1:5" ht="12.75">
      <c r="A116" s="2" t="s">
        <v>62</v>
      </c>
      <c r="B116" s="291" t="s">
        <v>977</v>
      </c>
      <c r="C116" s="291" t="s">
        <v>977</v>
      </c>
      <c r="D116" s="291" t="s">
        <v>977</v>
      </c>
      <c r="E116" s="291" t="s">
        <v>977</v>
      </c>
    </row>
    <row r="117" spans="1:5" ht="12.75">
      <c r="A117" s="2"/>
      <c r="B117" s="2" t="s">
        <v>1008</v>
      </c>
      <c r="C117" s="2" t="s">
        <v>1009</v>
      </c>
      <c r="D117" s="205" t="s">
        <v>1010</v>
      </c>
      <c r="E117" s="2" t="s">
        <v>1011</v>
      </c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 t="s">
        <v>982</v>
      </c>
      <c r="B120" s="2">
        <f>'SCH Summary'!C122/30</f>
        <v>22902.666666666668</v>
      </c>
      <c r="C120" s="2">
        <f>'SCH Summary'!E122/24</f>
        <v>3923.5416666666665</v>
      </c>
      <c r="D120" s="2"/>
      <c r="E120" s="2">
        <f aca="true" t="shared" si="6" ref="E120:E128">SUM(B120:D120)</f>
        <v>26826.208333333336</v>
      </c>
    </row>
    <row r="121" spans="1:5" ht="12.75">
      <c r="A121" s="2" t="s">
        <v>984</v>
      </c>
      <c r="B121" s="2">
        <f>'SCH Summary'!C123/30</f>
        <v>7451.2</v>
      </c>
      <c r="C121" s="2">
        <f>'SCH Summary'!E123/24</f>
        <v>690.0416666666666</v>
      </c>
      <c r="D121" s="2"/>
      <c r="E121" s="2">
        <f t="shared" si="6"/>
        <v>8141.241666666667</v>
      </c>
    </row>
    <row r="122" spans="1:5" ht="12.75">
      <c r="A122" s="2" t="s">
        <v>985</v>
      </c>
      <c r="B122" s="2">
        <f>'SCH Summary'!C124/30</f>
        <v>0</v>
      </c>
      <c r="C122" s="2">
        <f>'SCH Summary'!E124/24</f>
        <v>0</v>
      </c>
      <c r="D122" s="2"/>
      <c r="E122" s="2">
        <f t="shared" si="6"/>
        <v>0</v>
      </c>
    </row>
    <row r="123" spans="1:5" ht="12.75">
      <c r="A123" s="2" t="s">
        <v>986</v>
      </c>
      <c r="B123" s="2">
        <f>'SCH Summary'!C125/30</f>
        <v>28973.833333333332</v>
      </c>
      <c r="C123" s="2">
        <f>'SCH Summary'!E125/24</f>
        <v>4884</v>
      </c>
      <c r="D123" s="2"/>
      <c r="E123" s="2">
        <f t="shared" si="6"/>
        <v>33857.83333333333</v>
      </c>
    </row>
    <row r="124" spans="1:5" ht="12.75">
      <c r="A124" s="2" t="s">
        <v>987</v>
      </c>
      <c r="B124" s="2">
        <f>'SCH Summary'!C126/30</f>
        <v>5136.033333333334</v>
      </c>
      <c r="C124" s="2">
        <f>'SCH Summary'!E126/24</f>
        <v>562.4166666666666</v>
      </c>
      <c r="D124" s="2"/>
      <c r="E124" s="2">
        <f t="shared" si="6"/>
        <v>5698.450000000001</v>
      </c>
    </row>
    <row r="125" spans="1:5" ht="12.75">
      <c r="A125" s="2" t="s">
        <v>988</v>
      </c>
      <c r="B125" s="2">
        <f>'SCH Summary'!C127/30</f>
        <v>1625.7666666666667</v>
      </c>
      <c r="C125" s="2">
        <f>'SCH Summary'!E127/24</f>
        <v>0</v>
      </c>
      <c r="D125" s="2"/>
      <c r="E125" s="2">
        <f t="shared" si="6"/>
        <v>1625.7666666666667</v>
      </c>
    </row>
    <row r="126" spans="1:5" ht="12.75">
      <c r="A126" s="2" t="s">
        <v>994</v>
      </c>
      <c r="B126" s="2">
        <f>'SCH Summary'!C128/30</f>
        <v>61728.78333333333</v>
      </c>
      <c r="C126" s="2">
        <f>'SCH Summary'!E128/24</f>
        <v>0</v>
      </c>
      <c r="D126" s="2">
        <f>'SCH Summary'!D128/900</f>
        <v>0</v>
      </c>
      <c r="E126" s="2">
        <f t="shared" si="6"/>
        <v>61728.78333333333</v>
      </c>
    </row>
    <row r="127" spans="1:5" ht="12.75">
      <c r="A127" s="2" t="s">
        <v>991</v>
      </c>
      <c r="B127" s="2">
        <f>'SCH Summary'!C129/30</f>
        <v>0</v>
      </c>
      <c r="C127" s="2">
        <f>'SCH Summary'!E129/24</f>
        <v>0</v>
      </c>
      <c r="D127" s="2">
        <f>'SCH Summary'!D129/900</f>
        <v>0</v>
      </c>
      <c r="E127" s="2">
        <f t="shared" si="6"/>
        <v>0</v>
      </c>
    </row>
    <row r="128" spans="1:5" ht="12.75">
      <c r="A128" s="2" t="s">
        <v>992</v>
      </c>
      <c r="B128" s="2">
        <f>'SCH Summary'!C130/30</f>
        <v>4964.933333333333</v>
      </c>
      <c r="C128" s="2">
        <f>'SCH Summary'!E130/24</f>
        <v>1424.9583333333333</v>
      </c>
      <c r="D128" s="2"/>
      <c r="E128" s="2">
        <f t="shared" si="6"/>
        <v>6389.891666666666</v>
      </c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>
        <f>SUM(B120:B128)</f>
        <v>132783.21666666665</v>
      </c>
      <c r="C130" s="2">
        <f>SUM(C120:C128)</f>
        <v>11484.958333333332</v>
      </c>
      <c r="D130" s="2">
        <f>SUM(D120:D128)</f>
        <v>0</v>
      </c>
      <c r="E130" s="2">
        <f>SUM(B130:D130)</f>
        <v>144268.175</v>
      </c>
    </row>
    <row r="131" spans="1:5" ht="12.75">
      <c r="A131" s="2"/>
      <c r="B131" s="291" t="s">
        <v>977</v>
      </c>
      <c r="C131" s="291" t="s">
        <v>977</v>
      </c>
      <c r="D131" s="291" t="s">
        <v>977</v>
      </c>
      <c r="E131" s="291" t="s">
        <v>977</v>
      </c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0" t="s">
        <v>435</v>
      </c>
      <c r="B134" s="2" t="s">
        <v>1004</v>
      </c>
      <c r="C134" s="2"/>
      <c r="D134" s="2"/>
      <c r="E134" s="2"/>
    </row>
    <row r="135" spans="1:5" ht="12.75">
      <c r="A135" s="2" t="s">
        <v>62</v>
      </c>
      <c r="B135" s="291" t="s">
        <v>977</v>
      </c>
      <c r="C135" s="291" t="s">
        <v>977</v>
      </c>
      <c r="D135" s="291" t="s">
        <v>977</v>
      </c>
      <c r="E135" s="291" t="s">
        <v>977</v>
      </c>
    </row>
    <row r="136" spans="1:5" ht="12.75">
      <c r="A136" s="2"/>
      <c r="B136" s="2" t="s">
        <v>1008</v>
      </c>
      <c r="C136" s="2" t="s">
        <v>1009</v>
      </c>
      <c r="D136" s="205" t="s">
        <v>1010</v>
      </c>
      <c r="E136" s="2" t="s">
        <v>1011</v>
      </c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 t="s">
        <v>982</v>
      </c>
      <c r="B139" s="2">
        <f>'SCH Summary'!C141/30</f>
        <v>11359.266666666666</v>
      </c>
      <c r="C139" s="2">
        <f>'SCH Summary'!E141/24</f>
        <v>2082.0833333333335</v>
      </c>
      <c r="D139" s="2"/>
      <c r="E139" s="2">
        <f aca="true" t="shared" si="7" ref="E139:E147">SUM(B139:D139)</f>
        <v>13441.35</v>
      </c>
    </row>
    <row r="140" spans="1:5" ht="12.75">
      <c r="A140" s="2" t="s">
        <v>984</v>
      </c>
      <c r="B140" s="2">
        <f>'SCH Summary'!C142/30</f>
        <v>19351.766666666666</v>
      </c>
      <c r="C140" s="2">
        <f>'SCH Summary'!E142/24</f>
        <v>5034.208333333333</v>
      </c>
      <c r="D140" s="2"/>
      <c r="E140" s="2">
        <f t="shared" si="7"/>
        <v>24385.975</v>
      </c>
    </row>
    <row r="141" spans="1:5" ht="12.75">
      <c r="A141" s="2" t="s">
        <v>985</v>
      </c>
      <c r="B141" s="2">
        <f>'SCH Summary'!C143/30</f>
        <v>5232.633333333333</v>
      </c>
      <c r="C141" s="2">
        <f>'SCH Summary'!E143/24</f>
        <v>684.6666666666666</v>
      </c>
      <c r="D141" s="2"/>
      <c r="E141" s="2">
        <f t="shared" si="7"/>
        <v>5917.3</v>
      </c>
    </row>
    <row r="142" spans="1:5" ht="12.75">
      <c r="A142" s="2" t="s">
        <v>986</v>
      </c>
      <c r="B142" s="2">
        <f>'SCH Summary'!C144/30</f>
        <v>0</v>
      </c>
      <c r="C142" s="2">
        <f>'SCH Summary'!E144/24</f>
        <v>0</v>
      </c>
      <c r="D142" s="2"/>
      <c r="E142" s="2">
        <f t="shared" si="7"/>
        <v>0</v>
      </c>
    </row>
    <row r="143" spans="1:5" ht="12.75">
      <c r="A143" s="2" t="s">
        <v>987</v>
      </c>
      <c r="B143" s="2">
        <f>'SCH Summary'!C145/30</f>
        <v>6275.833333333333</v>
      </c>
      <c r="C143" s="2">
        <f>'SCH Summary'!E145/24</f>
        <v>671.625</v>
      </c>
      <c r="D143" s="2"/>
      <c r="E143" s="2">
        <f t="shared" si="7"/>
        <v>6947.458333333333</v>
      </c>
    </row>
    <row r="144" spans="1:5" ht="12.75">
      <c r="A144" s="2" t="s">
        <v>988</v>
      </c>
      <c r="B144" s="2">
        <f>'SCH Summary'!C146/30</f>
        <v>4627.233333333334</v>
      </c>
      <c r="C144" s="2">
        <f>'SCH Summary'!E146/24</f>
        <v>177.58333333333334</v>
      </c>
      <c r="D144" s="2"/>
      <c r="E144" s="2">
        <f t="shared" si="7"/>
        <v>4804.816666666667</v>
      </c>
    </row>
    <row r="145" spans="1:9" ht="12.75">
      <c r="A145" s="2" t="s">
        <v>994</v>
      </c>
      <c r="B145" s="2">
        <f>'SCH Summary'!C147/15</f>
        <v>40852.8</v>
      </c>
      <c r="C145" s="2">
        <f>'SCH Summary'!E147/24</f>
        <v>0</v>
      </c>
      <c r="D145" s="2">
        <f>'SCH Summary'!D147/900</f>
        <v>0</v>
      </c>
      <c r="E145" s="2">
        <f t="shared" si="7"/>
        <v>40852.8</v>
      </c>
      <c r="F145" s="2"/>
      <c r="G145" s="2"/>
      <c r="H145" s="2"/>
      <c r="I145" s="2"/>
    </row>
    <row r="146" spans="1:9" ht="12.75">
      <c r="A146" s="2" t="s">
        <v>991</v>
      </c>
      <c r="B146" s="2">
        <f>'SCH Summary'!C148/30</f>
        <v>0</v>
      </c>
      <c r="C146" s="2">
        <f>'SCH Summary'!E148/24</f>
        <v>0</v>
      </c>
      <c r="D146" s="2">
        <f>'SCH Summary'!D148/900</f>
        <v>0</v>
      </c>
      <c r="E146" s="2">
        <f t="shared" si="7"/>
        <v>0</v>
      </c>
      <c r="F146" s="2"/>
      <c r="G146" s="2"/>
      <c r="H146" s="2"/>
      <c r="I146" s="2"/>
    </row>
    <row r="147" spans="1:9" ht="12.75">
      <c r="A147" s="2" t="s">
        <v>992</v>
      </c>
      <c r="B147" s="2">
        <f>'SCH Summary'!C149/30</f>
        <v>691.6333333333333</v>
      </c>
      <c r="C147" s="2">
        <f>'SCH Summary'!E149/24</f>
        <v>0</v>
      </c>
      <c r="D147" s="2"/>
      <c r="E147" s="2">
        <f t="shared" si="7"/>
        <v>691.6333333333333</v>
      </c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>
        <f>SUM(B139:B147)</f>
        <v>88391.16666666667</v>
      </c>
      <c r="C149" s="2">
        <f>SUM(C139:C147)</f>
        <v>8650.166666666666</v>
      </c>
      <c r="D149" s="2">
        <f>SUM(D139:D147)</f>
        <v>0</v>
      </c>
      <c r="E149" s="2">
        <f>SUM(B149:D149)</f>
        <v>97041.33333333334</v>
      </c>
      <c r="F149" s="2"/>
      <c r="G149" s="2"/>
      <c r="H149" s="2"/>
      <c r="I149" s="2"/>
    </row>
    <row r="150" spans="1:9" ht="12.75">
      <c r="A150" s="2"/>
      <c r="B150" s="291" t="s">
        <v>977</v>
      </c>
      <c r="C150" s="291" t="s">
        <v>977</v>
      </c>
      <c r="D150" s="291" t="s">
        <v>977</v>
      </c>
      <c r="E150" s="291" t="s">
        <v>977</v>
      </c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0" t="s">
        <v>461</v>
      </c>
      <c r="B153" s="2" t="s">
        <v>1004</v>
      </c>
      <c r="C153" s="2"/>
      <c r="D153" s="2"/>
      <c r="E153" s="2"/>
      <c r="F153" s="2"/>
      <c r="G153" s="2"/>
      <c r="H153" s="2"/>
      <c r="I153" s="2"/>
    </row>
    <row r="154" spans="1:9" ht="12.75">
      <c r="A154" s="2" t="s">
        <v>1012</v>
      </c>
      <c r="B154" s="291" t="s">
        <v>977</v>
      </c>
      <c r="C154" s="291" t="s">
        <v>977</v>
      </c>
      <c r="D154" s="291" t="s">
        <v>977</v>
      </c>
      <c r="E154" s="291" t="s">
        <v>977</v>
      </c>
      <c r="F154" s="2"/>
      <c r="G154" s="2"/>
      <c r="H154" s="2"/>
      <c r="I154" s="2"/>
    </row>
    <row r="155" spans="1:9" ht="12.75">
      <c r="A155" s="2" t="s">
        <v>1013</v>
      </c>
      <c r="B155" s="2" t="s">
        <v>1008</v>
      </c>
      <c r="C155" s="2" t="s">
        <v>1009</v>
      </c>
      <c r="D155" s="205" t="s">
        <v>1010</v>
      </c>
      <c r="E155" s="2" t="s">
        <v>1011</v>
      </c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 t="s">
        <v>982</v>
      </c>
      <c r="B158" s="2">
        <f>'SCH Summary'!C160/30</f>
        <v>34332.4</v>
      </c>
      <c r="C158" s="2">
        <f>'SCH Summary'!E160/24</f>
        <v>7000.625</v>
      </c>
      <c r="D158" s="2"/>
      <c r="E158" s="2">
        <f aca="true" t="shared" si="8" ref="E158:E166">SUM(B158:D158)</f>
        <v>41333.025</v>
      </c>
      <c r="F158" s="2"/>
      <c r="G158" s="2"/>
      <c r="H158" s="2"/>
      <c r="I158" s="2"/>
    </row>
    <row r="159" spans="1:9" ht="12.75">
      <c r="A159" s="2" t="s">
        <v>984</v>
      </c>
      <c r="B159" s="2">
        <f>'SCH Summary'!C161/30</f>
        <v>8932.6</v>
      </c>
      <c r="C159" s="2">
        <f>'SCH Summary'!E161/24</f>
        <v>2042.25</v>
      </c>
      <c r="D159" s="2"/>
      <c r="E159" s="2">
        <f t="shared" si="8"/>
        <v>10974.85</v>
      </c>
      <c r="F159" s="2"/>
      <c r="G159" s="2"/>
      <c r="H159" s="2"/>
      <c r="I159" s="2"/>
    </row>
    <row r="160" spans="1:9" ht="12.75">
      <c r="A160" s="2" t="s">
        <v>985</v>
      </c>
      <c r="B160" s="2">
        <f>'SCH Summary'!C162/30</f>
        <v>53207.63333333333</v>
      </c>
      <c r="C160" s="2">
        <f>'SCH Summary'!E162/24</f>
        <v>6861.125</v>
      </c>
      <c r="D160" s="2"/>
      <c r="E160" s="2">
        <f t="shared" si="8"/>
        <v>60068.75833333333</v>
      </c>
      <c r="F160" s="2"/>
      <c r="G160" s="2"/>
      <c r="H160" s="2"/>
      <c r="I160" s="2"/>
    </row>
    <row r="161" spans="1:9" ht="12.75">
      <c r="A161" s="2" t="s">
        <v>986</v>
      </c>
      <c r="B161" s="2">
        <f>'SCH Summary'!C163/30</f>
        <v>11536.366666666667</v>
      </c>
      <c r="C161" s="2">
        <f>'SCH Summary'!E163/24</f>
        <v>698.1666666666666</v>
      </c>
      <c r="D161" s="2"/>
      <c r="E161" s="2">
        <f t="shared" si="8"/>
        <v>12234.533333333333</v>
      </c>
      <c r="F161" s="2"/>
      <c r="G161" s="2"/>
      <c r="H161" s="2"/>
      <c r="I161" s="2"/>
    </row>
    <row r="162" spans="1:9" ht="12.75">
      <c r="A162" s="2" t="s">
        <v>987</v>
      </c>
      <c r="B162" s="2">
        <f>'SCH Summary'!C164/30</f>
        <v>2470.5333333333333</v>
      </c>
      <c r="C162" s="2">
        <f>'SCH Summary'!E164/24</f>
        <v>163.375</v>
      </c>
      <c r="D162" s="2"/>
      <c r="E162" s="2">
        <f t="shared" si="8"/>
        <v>2633.9083333333333</v>
      </c>
      <c r="F162" s="2"/>
      <c r="G162" s="2"/>
      <c r="H162" s="2"/>
      <c r="I162" s="2"/>
    </row>
    <row r="163" spans="1:9" ht="12.75">
      <c r="A163" s="2" t="s">
        <v>988</v>
      </c>
      <c r="B163" s="2">
        <f>'SCH Summary'!C165/30</f>
        <v>7129.566666666667</v>
      </c>
      <c r="C163" s="2">
        <f>'SCH Summary'!E165/24</f>
        <v>21.166666666666668</v>
      </c>
      <c r="D163" s="2"/>
      <c r="E163" s="2">
        <f t="shared" si="8"/>
        <v>7150.733333333334</v>
      </c>
      <c r="F163" s="2"/>
      <c r="G163" s="2"/>
      <c r="H163" s="2"/>
      <c r="I163" s="2"/>
    </row>
    <row r="164" spans="1:9" ht="12.75">
      <c r="A164" s="2" t="s">
        <v>994</v>
      </c>
      <c r="B164" s="2">
        <f>'SCH Summary'!C166/45</f>
        <v>100709.95555555556</v>
      </c>
      <c r="C164" s="2">
        <f>'SCH Summary'!E166/36</f>
        <v>0</v>
      </c>
      <c r="D164" s="2">
        <f>'SCH Summary'!D166/900</f>
        <v>0</v>
      </c>
      <c r="E164" s="2">
        <f t="shared" si="8"/>
        <v>100709.95555555556</v>
      </c>
      <c r="F164" s="2"/>
      <c r="G164" s="2"/>
      <c r="H164" s="2"/>
      <c r="I164" s="2"/>
    </row>
    <row r="165" spans="1:9" ht="12.75">
      <c r="A165" s="2" t="s">
        <v>991</v>
      </c>
      <c r="B165" s="2">
        <f>'SCH Summary'!C167/30</f>
        <v>0</v>
      </c>
      <c r="C165" s="2">
        <f>'SCH Summary'!E167/24</f>
        <v>0</v>
      </c>
      <c r="D165" s="2">
        <f>'SCH Summary'!D167/900</f>
        <v>0</v>
      </c>
      <c r="E165" s="2">
        <f t="shared" si="8"/>
        <v>0</v>
      </c>
      <c r="F165" s="2"/>
      <c r="G165" s="2"/>
      <c r="H165" s="2"/>
      <c r="I165" s="2"/>
    </row>
    <row r="166" spans="1:9" ht="12.75">
      <c r="A166" s="2" t="s">
        <v>992</v>
      </c>
      <c r="B166" s="2">
        <f>'SCH Summary'!C168/30</f>
        <v>1182.9666666666667</v>
      </c>
      <c r="C166" s="2">
        <f>'SCH Summary'!E168/24</f>
        <v>48.958333333333336</v>
      </c>
      <c r="D166" s="2"/>
      <c r="E166" s="2">
        <f t="shared" si="8"/>
        <v>1231.925</v>
      </c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>
        <f>SUM(B158:B166)</f>
        <v>219502.02222222224</v>
      </c>
      <c r="C168" s="2">
        <f>SUM(C158:C166)</f>
        <v>16835.666666666668</v>
      </c>
      <c r="D168" s="2">
        <f>SUM(D158:D166)</f>
        <v>0</v>
      </c>
      <c r="E168" s="2">
        <f>SUM(B168:D168)</f>
        <v>236337.6888888889</v>
      </c>
      <c r="F168" s="2"/>
      <c r="G168" s="2"/>
      <c r="H168" s="2"/>
      <c r="I168" s="2"/>
    </row>
    <row r="169" spans="1:9" ht="12.75">
      <c r="A169" s="2"/>
      <c r="B169" s="291" t="s">
        <v>977</v>
      </c>
      <c r="C169" s="291" t="s">
        <v>977</v>
      </c>
      <c r="D169" s="291" t="s">
        <v>977</v>
      </c>
      <c r="E169" s="291" t="s">
        <v>977</v>
      </c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0" t="s">
        <v>552</v>
      </c>
      <c r="B172" s="2" t="s">
        <v>1004</v>
      </c>
      <c r="C172" s="2"/>
      <c r="D172" s="2"/>
      <c r="E172" s="2"/>
      <c r="F172" s="2"/>
      <c r="G172" s="2"/>
      <c r="H172" s="2"/>
      <c r="I172" s="2"/>
    </row>
    <row r="173" spans="1:9" ht="12.75">
      <c r="A173" s="2" t="s">
        <v>62</v>
      </c>
      <c r="B173" s="291" t="s">
        <v>977</v>
      </c>
      <c r="C173" s="291" t="s">
        <v>977</v>
      </c>
      <c r="D173" s="291" t="s">
        <v>977</v>
      </c>
      <c r="E173" s="291" t="s">
        <v>977</v>
      </c>
      <c r="F173" s="2"/>
      <c r="G173" s="2"/>
      <c r="H173" s="2"/>
      <c r="I173" s="2"/>
    </row>
    <row r="174" spans="1:9" ht="12.75">
      <c r="A174" s="2"/>
      <c r="B174" s="2" t="s">
        <v>1008</v>
      </c>
      <c r="C174" s="2" t="s">
        <v>1009</v>
      </c>
      <c r="D174" s="205" t="s">
        <v>1010</v>
      </c>
      <c r="E174" s="2" t="s">
        <v>1011</v>
      </c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 t="s">
        <v>982</v>
      </c>
      <c r="B177" s="2">
        <f>'SCH Summary'!C179/30</f>
        <v>27288.166666666668</v>
      </c>
      <c r="C177" s="2">
        <f>'SCH Summary'!E179/24</f>
        <v>6611.166666666667</v>
      </c>
      <c r="D177" s="2"/>
      <c r="E177" s="2">
        <f aca="true" t="shared" si="9" ref="E177:E185">SUM(B177:D177)</f>
        <v>33899.333333333336</v>
      </c>
      <c r="F177" s="2"/>
      <c r="G177" s="2"/>
      <c r="H177" s="2"/>
      <c r="I177" s="2"/>
    </row>
    <row r="178" spans="1:9" ht="12.75">
      <c r="A178" s="2" t="s">
        <v>984</v>
      </c>
      <c r="B178" s="2">
        <f>'SCH Summary'!C180/30</f>
        <v>0</v>
      </c>
      <c r="C178" s="2">
        <f>'SCH Summary'!E180/24</f>
        <v>0</v>
      </c>
      <c r="D178" s="2"/>
      <c r="E178" s="2">
        <f t="shared" si="9"/>
        <v>0</v>
      </c>
      <c r="F178" s="2"/>
      <c r="G178" s="2"/>
      <c r="H178" s="2"/>
      <c r="I178" s="2"/>
    </row>
    <row r="179" spans="1:9" ht="12.75">
      <c r="A179" s="2" t="s">
        <v>985</v>
      </c>
      <c r="B179" s="2">
        <f>'SCH Summary'!C181/30</f>
        <v>9378.233333333334</v>
      </c>
      <c r="C179" s="2">
        <f>'SCH Summary'!E181/24</f>
        <v>2039.9583333333333</v>
      </c>
      <c r="D179" s="2"/>
      <c r="E179" s="2">
        <f t="shared" si="9"/>
        <v>11418.191666666668</v>
      </c>
      <c r="F179" s="2"/>
      <c r="G179" s="2"/>
      <c r="H179" s="2"/>
      <c r="I179" s="2"/>
    </row>
    <row r="180" spans="1:9" ht="12.75">
      <c r="A180" s="2" t="s">
        <v>986</v>
      </c>
      <c r="B180" s="2">
        <f>'SCH Summary'!C182/30</f>
        <v>9999.1</v>
      </c>
      <c r="C180" s="2">
        <f>'SCH Summary'!E182/24</f>
        <v>1057.625</v>
      </c>
      <c r="D180" s="2"/>
      <c r="E180" s="2">
        <f t="shared" si="9"/>
        <v>11056.725</v>
      </c>
      <c r="F180" s="2"/>
      <c r="G180" s="2"/>
      <c r="H180" s="2"/>
      <c r="I180" s="2"/>
    </row>
    <row r="181" spans="1:9" ht="12.75">
      <c r="A181" s="2" t="s">
        <v>987</v>
      </c>
      <c r="B181" s="2">
        <f>'SCH Summary'!C183/30</f>
        <v>11703</v>
      </c>
      <c r="C181" s="2">
        <f>'SCH Summary'!E183/24</f>
        <v>1209.6666666666667</v>
      </c>
      <c r="D181" s="2"/>
      <c r="E181" s="2">
        <f t="shared" si="9"/>
        <v>12912.666666666666</v>
      </c>
      <c r="F181" s="2"/>
      <c r="G181" s="2"/>
      <c r="H181" s="2"/>
      <c r="I181" s="2"/>
    </row>
    <row r="182" spans="1:9" ht="12.75">
      <c r="A182" s="2" t="s">
        <v>988</v>
      </c>
      <c r="B182" s="2">
        <f>'SCH Summary'!C184/30</f>
        <v>5147.766666666666</v>
      </c>
      <c r="C182" s="2">
        <f>'SCH Summary'!E184/24</f>
        <v>0</v>
      </c>
      <c r="D182" s="2"/>
      <c r="E182" s="2">
        <f t="shared" si="9"/>
        <v>5147.766666666666</v>
      </c>
      <c r="F182" s="2"/>
      <c r="G182" s="2"/>
      <c r="H182" s="2"/>
      <c r="I182" s="2"/>
    </row>
    <row r="183" spans="1:9" ht="12.75">
      <c r="A183" s="2" t="s">
        <v>994</v>
      </c>
      <c r="B183" s="2">
        <f>'SCH Summary'!C185/30</f>
        <v>42890.4</v>
      </c>
      <c r="C183" s="2">
        <f>'SCH Summary'!E185/24</f>
        <v>0</v>
      </c>
      <c r="D183" s="2">
        <f>'SCH Summary'!D185/900</f>
        <v>0</v>
      </c>
      <c r="E183" s="2">
        <f t="shared" si="9"/>
        <v>42890.4</v>
      </c>
      <c r="F183" s="2"/>
      <c r="G183" s="2"/>
      <c r="H183" s="2"/>
      <c r="I183" s="2"/>
    </row>
    <row r="184" spans="1:9" ht="12.75">
      <c r="A184" s="2" t="s">
        <v>991</v>
      </c>
      <c r="B184" s="2">
        <f>'SCH Summary'!C186/30</f>
        <v>0</v>
      </c>
      <c r="C184" s="2">
        <f>'SCH Summary'!E186/24</f>
        <v>0</v>
      </c>
      <c r="D184" s="2">
        <f>'SCH Summary'!D186/900</f>
        <v>0</v>
      </c>
      <c r="E184" s="2">
        <f t="shared" si="9"/>
        <v>0</v>
      </c>
      <c r="F184" s="2"/>
      <c r="G184" s="2"/>
      <c r="H184" s="2"/>
      <c r="I184" s="2"/>
    </row>
    <row r="185" spans="1:9" ht="12.75">
      <c r="A185" s="2" t="s">
        <v>992</v>
      </c>
      <c r="B185" s="2">
        <f>'SCH Summary'!C187/30</f>
        <v>1057.4666666666667</v>
      </c>
      <c r="C185" s="2">
        <f>'SCH Summary'!E187/24</f>
        <v>4563.5</v>
      </c>
      <c r="D185" s="2"/>
      <c r="E185" s="2">
        <f t="shared" si="9"/>
        <v>5620.966666666667</v>
      </c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>
        <f>SUM(B177:B185)</f>
        <v>107464.13333333332</v>
      </c>
      <c r="C187" s="2">
        <f>SUM(C177:C185)</f>
        <v>15481.916666666666</v>
      </c>
      <c r="D187" s="2">
        <f>SUM(D177:D185)</f>
        <v>0</v>
      </c>
      <c r="E187" s="2">
        <f>SUM(B187:D187)</f>
        <v>122946.04999999999</v>
      </c>
      <c r="F187" s="2"/>
      <c r="G187" s="2"/>
      <c r="H187" s="2"/>
      <c r="I187" s="2"/>
    </row>
    <row r="188" spans="1:9" ht="12.75">
      <c r="A188" s="2"/>
      <c r="B188" s="291" t="s">
        <v>977</v>
      </c>
      <c r="C188" s="291" t="s">
        <v>977</v>
      </c>
      <c r="D188" s="291" t="s">
        <v>977</v>
      </c>
      <c r="E188" s="291" t="s">
        <v>977</v>
      </c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0" t="s">
        <v>584</v>
      </c>
      <c r="B191" s="2" t="s">
        <v>1004</v>
      </c>
      <c r="C191" s="2"/>
      <c r="D191" s="2"/>
      <c r="E191" s="2"/>
      <c r="F191" s="2"/>
      <c r="G191" s="2"/>
      <c r="H191" s="2"/>
      <c r="I191" s="2"/>
    </row>
    <row r="192" spans="1:9" ht="12.75">
      <c r="A192" s="2" t="s">
        <v>62</v>
      </c>
      <c r="B192" s="291" t="s">
        <v>977</v>
      </c>
      <c r="C192" s="291" t="s">
        <v>977</v>
      </c>
      <c r="D192" s="291" t="s">
        <v>977</v>
      </c>
      <c r="E192" s="291" t="s">
        <v>977</v>
      </c>
      <c r="F192" s="2"/>
      <c r="G192" s="2"/>
      <c r="H192" s="2"/>
      <c r="I192" s="2"/>
    </row>
    <row r="193" spans="1:9" ht="12.75">
      <c r="A193" s="2"/>
      <c r="B193" s="2" t="s">
        <v>1008</v>
      </c>
      <c r="C193" s="2" t="s">
        <v>1009</v>
      </c>
      <c r="D193" s="205" t="s">
        <v>1010</v>
      </c>
      <c r="E193" s="2" t="s">
        <v>1011</v>
      </c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 t="s">
        <v>982</v>
      </c>
      <c r="B196" s="2">
        <f>'SCH Summary'!C198/30</f>
        <v>14498.366666666667</v>
      </c>
      <c r="C196" s="2">
        <f>'SCH Summary'!E198/24</f>
        <v>6381.625</v>
      </c>
      <c r="D196" s="2"/>
      <c r="E196" s="2">
        <f aca="true" t="shared" si="10" ref="E196:E204">SUM(B196:D196)</f>
        <v>20879.99166666667</v>
      </c>
      <c r="F196" s="2"/>
      <c r="G196" s="2"/>
      <c r="H196" s="2"/>
      <c r="I196" s="2"/>
    </row>
    <row r="197" spans="1:9" ht="12.75">
      <c r="A197" s="2" t="s">
        <v>984</v>
      </c>
      <c r="B197" s="2">
        <f>'SCH Summary'!C199/30</f>
        <v>13040.6</v>
      </c>
      <c r="C197" s="2">
        <f>'SCH Summary'!E199/24</f>
        <v>2882.0833333333335</v>
      </c>
      <c r="D197" s="2"/>
      <c r="E197" s="2">
        <f t="shared" si="10"/>
        <v>15922.683333333334</v>
      </c>
      <c r="F197" s="2"/>
      <c r="G197" s="2"/>
      <c r="H197" s="2"/>
      <c r="I197" s="2"/>
    </row>
    <row r="198" spans="1:9" ht="12.75">
      <c r="A198" s="2" t="s">
        <v>985</v>
      </c>
      <c r="B198" s="2">
        <f>'SCH Summary'!C200/30</f>
        <v>3847.3</v>
      </c>
      <c r="C198" s="2">
        <f>'SCH Summary'!E200/24</f>
        <v>778.2083333333334</v>
      </c>
      <c r="D198" s="2"/>
      <c r="E198" s="2">
        <f t="shared" si="10"/>
        <v>4625.508333333333</v>
      </c>
      <c r="F198" s="2"/>
      <c r="G198" s="2"/>
      <c r="H198" s="2"/>
      <c r="I198" s="2"/>
    </row>
    <row r="199" spans="1:9" ht="12.75">
      <c r="A199" s="2" t="s">
        <v>986</v>
      </c>
      <c r="B199" s="2">
        <f>'SCH Summary'!C201/30</f>
        <v>10818.933333333332</v>
      </c>
      <c r="C199" s="2">
        <f>'SCH Summary'!E201/24</f>
        <v>2021.625</v>
      </c>
      <c r="D199" s="2"/>
      <c r="E199" s="2">
        <f t="shared" si="10"/>
        <v>12840.558333333332</v>
      </c>
      <c r="F199" s="2"/>
      <c r="G199" s="2"/>
      <c r="H199" s="2"/>
      <c r="I199" s="2"/>
    </row>
    <row r="200" spans="1:9" ht="12.75">
      <c r="A200" s="2" t="s">
        <v>987</v>
      </c>
      <c r="B200" s="2">
        <f>'SCH Summary'!C202/30</f>
        <v>7255.6</v>
      </c>
      <c r="C200" s="2">
        <f>'SCH Summary'!E202/24</f>
        <v>847.5416666666666</v>
      </c>
      <c r="D200" s="2"/>
      <c r="E200" s="2">
        <f t="shared" si="10"/>
        <v>8103.141666666667</v>
      </c>
      <c r="F200" s="2"/>
      <c r="G200" s="2"/>
      <c r="H200" s="2"/>
      <c r="I200" s="2"/>
    </row>
    <row r="201" spans="1:9" ht="12.75">
      <c r="A201" s="2" t="s">
        <v>988</v>
      </c>
      <c r="B201" s="2">
        <f>'SCH Summary'!C203/30</f>
        <v>11083.4</v>
      </c>
      <c r="C201" s="2">
        <f>'SCH Summary'!E203/24</f>
        <v>368.2083333333333</v>
      </c>
      <c r="D201" s="2"/>
      <c r="E201" s="2">
        <f t="shared" si="10"/>
        <v>11451.608333333334</v>
      </c>
      <c r="F201" s="2"/>
      <c r="G201" s="2"/>
      <c r="H201" s="2"/>
      <c r="I201" s="2"/>
    </row>
    <row r="202" spans="1:9" ht="12.75">
      <c r="A202" s="2" t="s">
        <v>994</v>
      </c>
      <c r="B202" s="2">
        <f>'SCH Summary'!C204/30</f>
        <v>44277.7</v>
      </c>
      <c r="C202" s="2">
        <f>'SCH Summary'!E204/24</f>
        <v>0</v>
      </c>
      <c r="D202" s="2">
        <f>'SCH Summary'!D204/900</f>
        <v>0</v>
      </c>
      <c r="E202" s="2">
        <f t="shared" si="10"/>
        <v>44277.7</v>
      </c>
      <c r="F202" s="2"/>
      <c r="G202" s="2"/>
      <c r="H202" s="2"/>
      <c r="I202" s="2"/>
    </row>
    <row r="203" spans="1:9" ht="12.75">
      <c r="A203" s="2" t="s">
        <v>991</v>
      </c>
      <c r="B203" s="2">
        <f>'SCH Summary'!C205/30</f>
        <v>0</v>
      </c>
      <c r="C203" s="2">
        <f>'SCH Summary'!E205/24</f>
        <v>0</v>
      </c>
      <c r="D203" s="2">
        <f>'SCH Summary'!D205/900</f>
        <v>0</v>
      </c>
      <c r="E203" s="2">
        <f t="shared" si="10"/>
        <v>0</v>
      </c>
      <c r="F203" s="2"/>
      <c r="G203" s="2"/>
      <c r="H203" s="2"/>
      <c r="I203" s="2"/>
    </row>
    <row r="204" spans="1:9" ht="12.75">
      <c r="A204" s="2" t="s">
        <v>992</v>
      </c>
      <c r="B204" s="2">
        <f>'SCH Summary'!C206/30</f>
        <v>1082.8666666666666</v>
      </c>
      <c r="C204" s="2">
        <f>'SCH Summary'!E206/24</f>
        <v>0</v>
      </c>
      <c r="D204" s="2"/>
      <c r="E204" s="2">
        <f t="shared" si="10"/>
        <v>1082.8666666666666</v>
      </c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>
        <f>SUM(B196:B204)</f>
        <v>105904.76666666666</v>
      </c>
      <c r="C206" s="2">
        <f>SUM(C196:C204)</f>
        <v>13279.291666666668</v>
      </c>
      <c r="D206" s="2">
        <f>SUM(D196:D204)</f>
        <v>0</v>
      </c>
      <c r="E206" s="2">
        <f>SUM(B206:D206)</f>
        <v>119184.05833333333</v>
      </c>
      <c r="F206" s="2"/>
      <c r="G206" s="2"/>
      <c r="H206" s="2"/>
      <c r="I206" s="2"/>
    </row>
    <row r="207" spans="1:9" ht="12.75">
      <c r="A207" s="2"/>
      <c r="B207" s="291" t="s">
        <v>977</v>
      </c>
      <c r="C207" s="291" t="s">
        <v>977</v>
      </c>
      <c r="D207" s="291" t="s">
        <v>977</v>
      </c>
      <c r="E207" s="291" t="s">
        <v>977</v>
      </c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0" t="s">
        <v>618</v>
      </c>
      <c r="B210" s="2" t="s">
        <v>1004</v>
      </c>
      <c r="C210" s="2"/>
      <c r="D210" s="2"/>
      <c r="E210" s="2"/>
      <c r="F210" s="2"/>
      <c r="G210" s="2"/>
      <c r="H210" s="2"/>
      <c r="I210" s="2"/>
    </row>
    <row r="211" spans="1:9" ht="12.75">
      <c r="A211" s="2" t="s">
        <v>62</v>
      </c>
      <c r="B211" s="291" t="s">
        <v>977</v>
      </c>
      <c r="C211" s="291" t="s">
        <v>977</v>
      </c>
      <c r="D211" s="291" t="s">
        <v>977</v>
      </c>
      <c r="E211" s="291" t="s">
        <v>977</v>
      </c>
      <c r="F211" s="2"/>
      <c r="G211" s="2"/>
      <c r="H211" s="2"/>
      <c r="I211" s="2"/>
    </row>
    <row r="212" spans="1:9" ht="12.75">
      <c r="A212" s="2"/>
      <c r="B212" s="2" t="s">
        <v>1008</v>
      </c>
      <c r="C212" s="2" t="s">
        <v>1009</v>
      </c>
      <c r="D212" s="205" t="s">
        <v>1010</v>
      </c>
      <c r="E212" s="2" t="s">
        <v>1011</v>
      </c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 t="s">
        <v>982</v>
      </c>
      <c r="B215" s="2">
        <f>'SCH Summary'!C217/30</f>
        <v>17173.433333333334</v>
      </c>
      <c r="C215" s="2">
        <f>'SCH Summary'!E217/24</f>
        <v>5442.333333333333</v>
      </c>
      <c r="D215" s="2"/>
      <c r="E215" s="2">
        <f aca="true" t="shared" si="11" ref="E215:E223">SUM(B215:D215)</f>
        <v>22615.766666666666</v>
      </c>
      <c r="F215" s="2"/>
      <c r="G215" s="2"/>
      <c r="H215" s="2"/>
      <c r="I215" s="2"/>
    </row>
    <row r="216" spans="1:9" ht="12.75">
      <c r="A216" s="2" t="s">
        <v>984</v>
      </c>
      <c r="B216" s="2">
        <f>'SCH Summary'!C218/30</f>
        <v>12942.583333333334</v>
      </c>
      <c r="C216" s="2">
        <f>'SCH Summary'!E218/24</f>
        <v>3864.3333333333335</v>
      </c>
      <c r="D216" s="2"/>
      <c r="E216" s="2">
        <f t="shared" si="11"/>
        <v>16806.916666666668</v>
      </c>
      <c r="F216" s="2"/>
      <c r="G216" s="2"/>
      <c r="H216" s="2"/>
      <c r="I216" s="2"/>
    </row>
    <row r="217" spans="1:9" ht="12.75">
      <c r="A217" s="2" t="s">
        <v>985</v>
      </c>
      <c r="B217" s="2">
        <f>'SCH Summary'!C219/30</f>
        <v>29267.733333333334</v>
      </c>
      <c r="C217" s="2">
        <f>'SCH Summary'!E219/24</f>
        <v>3793.75</v>
      </c>
      <c r="D217" s="2"/>
      <c r="E217" s="2">
        <f t="shared" si="11"/>
        <v>33061.48333333334</v>
      </c>
      <c r="F217" s="2"/>
      <c r="G217" s="2"/>
      <c r="H217" s="2"/>
      <c r="I217" s="2"/>
    </row>
    <row r="218" spans="1:9" ht="12.75">
      <c r="A218" s="2" t="s">
        <v>986</v>
      </c>
      <c r="B218" s="2">
        <f>'SCH Summary'!C220/30</f>
        <v>19227.4</v>
      </c>
      <c r="C218" s="2">
        <f>'SCH Summary'!E220/24</f>
        <v>1926.75</v>
      </c>
      <c r="D218" s="2"/>
      <c r="E218" s="2">
        <f t="shared" si="11"/>
        <v>21154.15</v>
      </c>
      <c r="F218" s="2"/>
      <c r="G218" s="2"/>
      <c r="H218" s="2"/>
      <c r="I218" s="2"/>
    </row>
    <row r="219" spans="1:9" ht="12.75">
      <c r="A219" s="2" t="s">
        <v>987</v>
      </c>
      <c r="B219" s="2">
        <f>'SCH Summary'!C221/30</f>
        <v>5383.7</v>
      </c>
      <c r="C219" s="2">
        <f>'SCH Summary'!E221/24</f>
        <v>216.70833333333334</v>
      </c>
      <c r="D219" s="2"/>
      <c r="E219" s="2">
        <f t="shared" si="11"/>
        <v>5600.408333333333</v>
      </c>
      <c r="F219" s="2"/>
      <c r="G219" s="2"/>
      <c r="H219" s="2"/>
      <c r="I219" s="2"/>
    </row>
    <row r="220" spans="1:9" ht="12.75">
      <c r="A220" s="2" t="s">
        <v>988</v>
      </c>
      <c r="B220" s="2">
        <f>'SCH Summary'!C222/30</f>
        <v>0</v>
      </c>
      <c r="C220" s="2">
        <f>'SCH Summary'!E222/24</f>
        <v>0</v>
      </c>
      <c r="D220" s="2"/>
      <c r="E220" s="2">
        <f t="shared" si="11"/>
        <v>0</v>
      </c>
      <c r="F220" s="2"/>
      <c r="G220" s="2"/>
      <c r="H220" s="2"/>
      <c r="I220" s="2"/>
    </row>
    <row r="221" spans="1:9" ht="12.75">
      <c r="A221" s="2" t="s">
        <v>994</v>
      </c>
      <c r="B221" s="2">
        <f>'SCH Summary'!C223/30</f>
        <v>48945.51666666667</v>
      </c>
      <c r="C221" s="2">
        <f>'SCH Summary'!E223/24</f>
        <v>0</v>
      </c>
      <c r="D221" s="2">
        <f>'SCH Summary'!D223/900</f>
        <v>0</v>
      </c>
      <c r="E221" s="2">
        <f t="shared" si="11"/>
        <v>48945.51666666667</v>
      </c>
      <c r="F221" s="2"/>
      <c r="G221" s="2"/>
      <c r="H221" s="2"/>
      <c r="I221" s="2"/>
    </row>
    <row r="222" spans="1:9" ht="12.75">
      <c r="A222" s="2" t="s">
        <v>991</v>
      </c>
      <c r="B222" s="2">
        <f>'SCH Summary'!C224/30</f>
        <v>0</v>
      </c>
      <c r="C222" s="2">
        <f>'SCH Summary'!E224/24</f>
        <v>0</v>
      </c>
      <c r="D222" s="2">
        <f>'SCH Summary'!D224/900</f>
        <v>5334.303333333333</v>
      </c>
      <c r="E222" s="2">
        <f t="shared" si="11"/>
        <v>5334.303333333333</v>
      </c>
      <c r="F222" s="2"/>
      <c r="G222" s="2"/>
      <c r="H222" s="2"/>
      <c r="I222" s="2"/>
    </row>
    <row r="223" spans="1:9" ht="12.75">
      <c r="A223" s="2" t="s">
        <v>992</v>
      </c>
      <c r="B223" s="2">
        <f>'SCH Summary'!C225/30</f>
        <v>2.3</v>
      </c>
      <c r="C223" s="2">
        <f>'SCH Summary'!E225/24</f>
        <v>129.91666666666666</v>
      </c>
      <c r="D223" s="2"/>
      <c r="E223" s="2">
        <f t="shared" si="11"/>
        <v>132.21666666666667</v>
      </c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>
        <f>SUM(B215:B223)</f>
        <v>132942.66666666666</v>
      </c>
      <c r="C225" s="2">
        <f>SUM(C215:C223)</f>
        <v>15373.791666666666</v>
      </c>
      <c r="D225" s="2">
        <f>SUM(D215:D223)</f>
        <v>5334.303333333333</v>
      </c>
      <c r="E225" s="2">
        <f>SUM(B225:D225)</f>
        <v>153650.76166666666</v>
      </c>
      <c r="F225" s="2"/>
      <c r="G225" s="2"/>
      <c r="H225" s="2"/>
      <c r="I225" s="2"/>
    </row>
    <row r="226" spans="1:9" ht="12.75">
      <c r="A226" s="2"/>
      <c r="B226" s="291" t="s">
        <v>977</v>
      </c>
      <c r="C226" s="291" t="s">
        <v>977</v>
      </c>
      <c r="D226" s="291" t="s">
        <v>977</v>
      </c>
      <c r="E226" s="291" t="s">
        <v>977</v>
      </c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0" t="s">
        <v>673</v>
      </c>
      <c r="B229" s="2" t="s">
        <v>1004</v>
      </c>
      <c r="C229" s="2"/>
      <c r="D229" s="2"/>
      <c r="E229" s="2"/>
      <c r="F229" s="2"/>
      <c r="G229" s="2"/>
      <c r="H229" s="2"/>
      <c r="I229" s="2"/>
    </row>
    <row r="230" spans="1:9" ht="12.75">
      <c r="A230" s="2" t="s">
        <v>62</v>
      </c>
      <c r="B230" s="291" t="s">
        <v>977</v>
      </c>
      <c r="C230" s="291" t="s">
        <v>977</v>
      </c>
      <c r="D230" s="291" t="s">
        <v>977</v>
      </c>
      <c r="E230" s="291" t="s">
        <v>977</v>
      </c>
      <c r="F230" s="2"/>
      <c r="G230" s="2"/>
      <c r="H230" s="2"/>
      <c r="I230" s="2"/>
    </row>
    <row r="231" spans="1:9" ht="12.75">
      <c r="A231" s="2"/>
      <c r="B231" s="2" t="s">
        <v>1008</v>
      </c>
      <c r="C231" s="2" t="s">
        <v>1009</v>
      </c>
      <c r="D231" s="205" t="s">
        <v>1010</v>
      </c>
      <c r="E231" s="2" t="s">
        <v>1011</v>
      </c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 t="s">
        <v>982</v>
      </c>
      <c r="B234" s="2">
        <f>'SCH Summary'!C236/30</f>
        <v>123006.93333333333</v>
      </c>
      <c r="C234" s="2">
        <f>'SCH Summary'!E236/24</f>
        <v>26850.333333333332</v>
      </c>
      <c r="D234" s="2"/>
      <c r="E234" s="2">
        <f aca="true" t="shared" si="12" ref="E234:E242">SUM(B234:D234)</f>
        <v>149857.26666666666</v>
      </c>
      <c r="F234" s="2"/>
      <c r="G234" s="2"/>
      <c r="H234" s="2"/>
      <c r="I234" s="2"/>
    </row>
    <row r="235" spans="1:9" ht="12.75">
      <c r="A235" s="2" t="s">
        <v>984</v>
      </c>
      <c r="B235" s="2">
        <f>'SCH Summary'!C237/30</f>
        <v>22765</v>
      </c>
      <c r="C235" s="2">
        <f>'SCH Summary'!E237/24</f>
        <v>8158.041666666667</v>
      </c>
      <c r="D235" s="2"/>
      <c r="E235" s="2">
        <f t="shared" si="12"/>
        <v>30923.041666666668</v>
      </c>
      <c r="F235" s="2"/>
      <c r="G235" s="2"/>
      <c r="H235" s="2"/>
      <c r="I235" s="2"/>
    </row>
    <row r="236" spans="1:9" ht="12.75">
      <c r="A236" s="2" t="s">
        <v>985</v>
      </c>
      <c r="B236" s="2">
        <f>'SCH Summary'!C238/30</f>
        <v>102435.03333333334</v>
      </c>
      <c r="C236" s="2">
        <f>'SCH Summary'!E238/24</f>
        <v>14830.708333333334</v>
      </c>
      <c r="D236" s="2"/>
      <c r="E236" s="2">
        <f t="shared" si="12"/>
        <v>117265.74166666667</v>
      </c>
      <c r="F236" s="2"/>
      <c r="G236" s="2"/>
      <c r="H236" s="2"/>
      <c r="I236" s="2"/>
    </row>
    <row r="237" spans="1:9" ht="12.75">
      <c r="A237" s="2" t="s">
        <v>986</v>
      </c>
      <c r="B237" s="2">
        <f>'SCH Summary'!C239/30</f>
        <v>28156.633333333335</v>
      </c>
      <c r="C237" s="2">
        <f>'SCH Summary'!E239/24</f>
        <v>2421.125</v>
      </c>
      <c r="D237" s="2"/>
      <c r="E237" s="2">
        <f t="shared" si="12"/>
        <v>30577.758333333335</v>
      </c>
      <c r="F237" s="2"/>
      <c r="G237" s="2"/>
      <c r="H237" s="2"/>
      <c r="I237" s="2"/>
    </row>
    <row r="238" spans="1:9" ht="12.75">
      <c r="A238" s="2" t="s">
        <v>987</v>
      </c>
      <c r="B238" s="2">
        <f>'SCH Summary'!C240/30</f>
        <v>2828.4666666666667</v>
      </c>
      <c r="C238" s="2">
        <f>'SCH Summary'!E240/24</f>
        <v>1088.25</v>
      </c>
      <c r="D238" s="2"/>
      <c r="E238" s="2">
        <f t="shared" si="12"/>
        <v>3916.7166666666667</v>
      </c>
      <c r="F238" s="2"/>
      <c r="G238" s="2"/>
      <c r="H238" s="2"/>
      <c r="I238" s="2"/>
    </row>
    <row r="239" spans="1:9" ht="12.75">
      <c r="A239" s="2" t="s">
        <v>988</v>
      </c>
      <c r="B239" s="2">
        <f>'SCH Summary'!C241/30</f>
        <v>6754.833333333333</v>
      </c>
      <c r="C239" s="2">
        <f>'SCH Summary'!E241/24</f>
        <v>0</v>
      </c>
      <c r="D239" s="2"/>
      <c r="E239" s="2">
        <f t="shared" si="12"/>
        <v>6754.833333333333</v>
      </c>
      <c r="F239" s="2"/>
      <c r="G239" s="2"/>
      <c r="H239" s="2"/>
      <c r="I239" s="2"/>
    </row>
    <row r="240" spans="1:9" ht="12.75">
      <c r="A240" s="2" t="s">
        <v>994</v>
      </c>
      <c r="B240" s="2">
        <f>'SCH Summary'!C242/30</f>
        <v>277751.5</v>
      </c>
      <c r="C240" s="2">
        <f>'SCH Summary'!E242/24</f>
        <v>0</v>
      </c>
      <c r="D240" s="2">
        <f>'SCH Summary'!D242/900</f>
        <v>19374.345555555556</v>
      </c>
      <c r="E240" s="2">
        <f t="shared" si="12"/>
        <v>297125.84555555554</v>
      </c>
      <c r="F240" s="2"/>
      <c r="G240" s="2"/>
      <c r="H240" s="2"/>
      <c r="I240" s="2"/>
    </row>
    <row r="241" spans="1:9" ht="12.75">
      <c r="A241" s="2" t="s">
        <v>991</v>
      </c>
      <c r="B241" s="2">
        <f>'SCH Summary'!C243/30</f>
        <v>0</v>
      </c>
      <c r="C241" s="2">
        <f>'SCH Summary'!E243/24</f>
        <v>0</v>
      </c>
      <c r="D241" s="2">
        <f>'SCH Summary'!D243/900</f>
        <v>0</v>
      </c>
      <c r="E241" s="2">
        <f t="shared" si="12"/>
        <v>0</v>
      </c>
      <c r="F241" s="2"/>
      <c r="G241" s="2"/>
      <c r="H241" s="2"/>
      <c r="I241" s="2"/>
    </row>
    <row r="242" spans="1:9" ht="12.75">
      <c r="A242" s="2" t="s">
        <v>992</v>
      </c>
      <c r="B242" s="2">
        <f>'SCH Summary'!C244/30</f>
        <v>114788.96666666666</v>
      </c>
      <c r="C242" s="2">
        <f>'SCH Summary'!E244/24</f>
        <v>0</v>
      </c>
      <c r="D242" s="2"/>
      <c r="E242" s="2">
        <f t="shared" si="12"/>
        <v>114788.96666666666</v>
      </c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>
        <f>SUM(B234:B242)</f>
        <v>678487.3666666667</v>
      </c>
      <c r="C244" s="2">
        <f>SUM(C234:C242)</f>
        <v>53348.458333333336</v>
      </c>
      <c r="D244" s="2">
        <f>SUM(D234:D242)</f>
        <v>19374.345555555556</v>
      </c>
      <c r="E244" s="2">
        <f>SUM(B244:D244)</f>
        <v>751210.1705555556</v>
      </c>
      <c r="F244" s="2"/>
      <c r="G244" s="2"/>
      <c r="H244" s="2"/>
      <c r="I244" s="2"/>
    </row>
    <row r="245" spans="1:9" ht="12.75">
      <c r="A245" s="2"/>
      <c r="B245" s="291" t="s">
        <v>977</v>
      </c>
      <c r="C245" s="291" t="s">
        <v>977</v>
      </c>
      <c r="D245" s="291" t="s">
        <v>977</v>
      </c>
      <c r="E245" s="291" t="s">
        <v>977</v>
      </c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0" t="s">
        <v>887</v>
      </c>
      <c r="B248" s="2" t="s">
        <v>1004</v>
      </c>
      <c r="C248" s="2"/>
      <c r="D248" s="2"/>
      <c r="E248" s="2"/>
      <c r="F248" s="2"/>
      <c r="G248" s="2"/>
      <c r="H248" s="2"/>
      <c r="I248" s="2"/>
    </row>
    <row r="249" spans="1:9" ht="12.75">
      <c r="A249" s="2" t="s">
        <v>62</v>
      </c>
      <c r="B249" s="291" t="s">
        <v>977</v>
      </c>
      <c r="C249" s="291" t="s">
        <v>977</v>
      </c>
      <c r="D249" s="291" t="s">
        <v>977</v>
      </c>
      <c r="E249" s="291" t="s">
        <v>977</v>
      </c>
      <c r="F249" s="2"/>
      <c r="G249" s="2"/>
      <c r="H249" s="2"/>
      <c r="I249" s="2"/>
    </row>
    <row r="250" spans="1:9" ht="12.75">
      <c r="A250" s="2"/>
      <c r="B250" s="2" t="s">
        <v>1008</v>
      </c>
      <c r="C250" s="2" t="s">
        <v>1009</v>
      </c>
      <c r="D250" s="205" t="s">
        <v>1010</v>
      </c>
      <c r="E250" s="2" t="s">
        <v>1011</v>
      </c>
      <c r="F250" s="2"/>
      <c r="G250" s="2"/>
      <c r="H250" s="2"/>
      <c r="I250" s="2"/>
    </row>
    <row r="251" spans="1:9" ht="12.75">
      <c r="A251" s="2"/>
      <c r="B251" s="2"/>
      <c r="C251" s="206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 t="s">
        <v>982</v>
      </c>
      <c r="B253" s="2">
        <f>'SCH Summary'!C255/30</f>
        <v>33591.36666666667</v>
      </c>
      <c r="C253" s="2">
        <f>'SCH Summary'!E255/24</f>
        <v>11704.416666666666</v>
      </c>
      <c r="D253" s="2"/>
      <c r="E253" s="2">
        <f aca="true" t="shared" si="13" ref="E253:E261">SUM(B253:D253)</f>
        <v>45295.78333333333</v>
      </c>
      <c r="F253" s="2"/>
      <c r="G253" s="2"/>
      <c r="H253" s="2"/>
      <c r="I253" s="2"/>
    </row>
    <row r="254" spans="1:9" ht="12.75">
      <c r="A254" s="2" t="s">
        <v>984</v>
      </c>
      <c r="B254" s="2">
        <f>'SCH Summary'!C256/30</f>
        <v>39379.23333333333</v>
      </c>
      <c r="C254" s="2">
        <f>'SCH Summary'!E256/24</f>
        <v>15137.833333333334</v>
      </c>
      <c r="D254" s="2"/>
      <c r="E254" s="2">
        <f t="shared" si="13"/>
        <v>54517.066666666666</v>
      </c>
      <c r="F254" s="2"/>
      <c r="G254" s="2"/>
      <c r="H254" s="2"/>
      <c r="I254" s="2"/>
    </row>
    <row r="255" spans="1:9" ht="12.75">
      <c r="A255" s="2" t="s">
        <v>985</v>
      </c>
      <c r="B255" s="2">
        <f>'SCH Summary'!C257/30</f>
        <v>18811.4</v>
      </c>
      <c r="C255" s="2">
        <f>'SCH Summary'!E257/24</f>
        <v>1409.25</v>
      </c>
      <c r="D255" s="2"/>
      <c r="E255" s="2">
        <f t="shared" si="13"/>
        <v>20220.65</v>
      </c>
      <c r="F255" s="2"/>
      <c r="G255" s="2"/>
      <c r="H255" s="2"/>
      <c r="I255" s="2"/>
    </row>
    <row r="256" spans="1:9" ht="12.75">
      <c r="A256" s="2" t="s">
        <v>986</v>
      </c>
      <c r="B256" s="2">
        <f>'SCH Summary'!C258/30</f>
        <v>9814.5</v>
      </c>
      <c r="C256" s="2">
        <f>'SCH Summary'!E258/24</f>
        <v>1083.75</v>
      </c>
      <c r="D256" s="2"/>
      <c r="E256" s="2">
        <f t="shared" si="13"/>
        <v>10898.25</v>
      </c>
      <c r="F256" s="2"/>
      <c r="G256" s="2"/>
      <c r="H256" s="2"/>
      <c r="I256" s="2"/>
    </row>
    <row r="257" spans="1:9" ht="12.75">
      <c r="A257" s="2" t="s">
        <v>987</v>
      </c>
      <c r="B257" s="2">
        <f>'SCH Summary'!C259/30</f>
        <v>3055.9</v>
      </c>
      <c r="C257" s="2">
        <f>'SCH Summary'!E259/24</f>
        <v>243.95833333333334</v>
      </c>
      <c r="D257" s="2"/>
      <c r="E257" s="2">
        <f t="shared" si="13"/>
        <v>3299.8583333333336</v>
      </c>
      <c r="F257" s="2"/>
      <c r="G257" s="2"/>
      <c r="H257" s="2"/>
      <c r="I257" s="2"/>
    </row>
    <row r="258" spans="1:9" ht="12.75">
      <c r="A258" s="2" t="s">
        <v>988</v>
      </c>
      <c r="B258" s="2">
        <f>'SCH Summary'!C260/30</f>
        <v>8034.1</v>
      </c>
      <c r="C258" s="2">
        <f>'SCH Summary'!E260/24</f>
        <v>100.875</v>
      </c>
      <c r="D258" s="2"/>
      <c r="E258" s="2">
        <f t="shared" si="13"/>
        <v>8134.975</v>
      </c>
      <c r="F258" s="2"/>
      <c r="G258" s="2"/>
      <c r="H258" s="2"/>
      <c r="I258" s="2"/>
    </row>
    <row r="259" spans="1:9" ht="12.75">
      <c r="A259" s="2" t="s">
        <v>994</v>
      </c>
      <c r="B259" s="2">
        <f>'SCH Summary'!C261/30</f>
        <v>72004.43333333333</v>
      </c>
      <c r="C259" s="2">
        <f>'SCH Summary'!E261/24</f>
        <v>0</v>
      </c>
      <c r="D259" s="2">
        <f>'SCH Summary'!D261/900</f>
        <v>0</v>
      </c>
      <c r="E259" s="2">
        <f t="shared" si="13"/>
        <v>72004.43333333333</v>
      </c>
      <c r="F259" s="2"/>
      <c r="G259" s="2"/>
      <c r="H259" s="2"/>
      <c r="I259" s="2"/>
    </row>
    <row r="260" spans="1:9" ht="12.75">
      <c r="A260" s="2" t="s">
        <v>991</v>
      </c>
      <c r="B260" s="2">
        <f>'SCH Summary'!C262/30</f>
        <v>0</v>
      </c>
      <c r="C260" s="2">
        <f>'SCH Summary'!E262/24</f>
        <v>0</v>
      </c>
      <c r="D260" s="2">
        <f>'SCH Summary'!D262/900</f>
        <v>0</v>
      </c>
      <c r="E260" s="2">
        <f t="shared" si="13"/>
        <v>0</v>
      </c>
      <c r="F260" s="2"/>
      <c r="G260" s="2"/>
      <c r="H260" s="2"/>
      <c r="I260" s="2"/>
    </row>
    <row r="261" spans="1:9" ht="12.75">
      <c r="A261" s="2" t="s">
        <v>992</v>
      </c>
      <c r="B261" s="2">
        <f>'SCH Summary'!C263/30</f>
        <v>1393.2333333333333</v>
      </c>
      <c r="C261" s="2">
        <f>'SCH Summary'!E263/24</f>
        <v>1332.4583333333333</v>
      </c>
      <c r="D261" s="2"/>
      <c r="E261" s="2">
        <f t="shared" si="13"/>
        <v>2725.6916666666666</v>
      </c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>
        <f>SUM(B253:B261)</f>
        <v>186084.1666666667</v>
      </c>
      <c r="C263" s="2">
        <f>SUM(C253:C261)</f>
        <v>31012.541666666664</v>
      </c>
      <c r="D263" s="2">
        <f>SUM(D253:D261)</f>
        <v>0</v>
      </c>
      <c r="E263" s="2">
        <f>SUM(B263:D263)</f>
        <v>217096.70833333334</v>
      </c>
      <c r="F263" s="2"/>
      <c r="G263" s="2"/>
      <c r="H263" s="2"/>
      <c r="I263" s="2"/>
    </row>
    <row r="264" spans="1:9" ht="12.75">
      <c r="A264" s="2"/>
      <c r="B264" s="291" t="s">
        <v>977</v>
      </c>
      <c r="C264" s="291" t="s">
        <v>977</v>
      </c>
      <c r="D264" s="291" t="s">
        <v>977</v>
      </c>
      <c r="E264" s="291" t="s">
        <v>977</v>
      </c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0" t="s">
        <v>905</v>
      </c>
      <c r="B267" s="2" t="s">
        <v>1004</v>
      </c>
      <c r="C267" s="2"/>
      <c r="D267" s="2"/>
      <c r="E267" s="2"/>
      <c r="F267" s="2"/>
      <c r="G267" s="2"/>
      <c r="H267" s="2"/>
      <c r="I267" s="2"/>
    </row>
    <row r="268" spans="1:9" ht="12.75">
      <c r="A268" s="2" t="s">
        <v>62</v>
      </c>
      <c r="B268" s="291" t="s">
        <v>977</v>
      </c>
      <c r="C268" s="291" t="s">
        <v>977</v>
      </c>
      <c r="D268" s="291" t="s">
        <v>977</v>
      </c>
      <c r="E268" s="291" t="s">
        <v>977</v>
      </c>
      <c r="F268" s="2"/>
      <c r="G268" s="2"/>
      <c r="H268" s="2"/>
      <c r="I268" s="2"/>
    </row>
    <row r="269" spans="1:9" ht="12.75">
      <c r="A269" s="2"/>
      <c r="B269" s="2" t="s">
        <v>1008</v>
      </c>
      <c r="C269" s="2" t="s">
        <v>1009</v>
      </c>
      <c r="D269" s="205" t="s">
        <v>1010</v>
      </c>
      <c r="E269" s="2" t="s">
        <v>1011</v>
      </c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 t="s">
        <v>982</v>
      </c>
      <c r="B272" s="2">
        <f>'SCH Summary'!C274/30</f>
        <v>14303.3</v>
      </c>
      <c r="C272" s="2">
        <f>'SCH Summary'!E274/24</f>
        <v>4460.208333333333</v>
      </c>
      <c r="D272" s="2"/>
      <c r="E272" s="2">
        <f aca="true" t="shared" si="14" ref="E272:E280">SUM(B272:D272)</f>
        <v>18763.50833333333</v>
      </c>
      <c r="F272" s="2"/>
      <c r="G272" s="2"/>
      <c r="H272" s="2"/>
      <c r="I272" s="2"/>
    </row>
    <row r="273" spans="1:9" ht="12.75">
      <c r="A273" s="2" t="s">
        <v>984</v>
      </c>
      <c r="B273" s="2">
        <f>'SCH Summary'!C275/30</f>
        <v>0</v>
      </c>
      <c r="C273" s="2">
        <f>'SCH Summary'!E275/24</f>
        <v>0</v>
      </c>
      <c r="D273" s="2"/>
      <c r="E273" s="2">
        <f t="shared" si="14"/>
        <v>0</v>
      </c>
      <c r="F273" s="2"/>
      <c r="G273" s="2"/>
      <c r="H273" s="2"/>
      <c r="I273" s="2"/>
    </row>
    <row r="274" spans="1:9" ht="12.75">
      <c r="A274" s="2" t="s">
        <v>985</v>
      </c>
      <c r="B274" s="2">
        <f>'SCH Summary'!C276/30</f>
        <v>8681.466666666667</v>
      </c>
      <c r="C274" s="2">
        <f>'SCH Summary'!E276/24</f>
        <v>1183.5833333333333</v>
      </c>
      <c r="D274" s="2"/>
      <c r="E274" s="2">
        <f t="shared" si="14"/>
        <v>9865.050000000001</v>
      </c>
      <c r="F274" s="2"/>
      <c r="G274" s="2"/>
      <c r="H274" s="2"/>
      <c r="I274" s="2"/>
    </row>
    <row r="275" spans="1:9" ht="12.75">
      <c r="A275" s="2" t="s">
        <v>986</v>
      </c>
      <c r="B275" s="2">
        <f>'SCH Summary'!C277/30</f>
        <v>0</v>
      </c>
      <c r="C275" s="2">
        <f>'SCH Summary'!E277/24</f>
        <v>0</v>
      </c>
      <c r="D275" s="2"/>
      <c r="E275" s="2">
        <f t="shared" si="14"/>
        <v>0</v>
      </c>
      <c r="F275" s="2"/>
      <c r="G275" s="2"/>
      <c r="H275" s="2"/>
      <c r="I275" s="2"/>
    </row>
    <row r="276" spans="1:9" ht="12.75">
      <c r="A276" s="2" t="s">
        <v>987</v>
      </c>
      <c r="B276" s="2">
        <f>'SCH Summary'!C278/30</f>
        <v>0</v>
      </c>
      <c r="C276" s="2">
        <f>'SCH Summary'!E278/24</f>
        <v>0</v>
      </c>
      <c r="D276" s="2"/>
      <c r="E276" s="2">
        <f t="shared" si="14"/>
        <v>0</v>
      </c>
      <c r="F276" s="2"/>
      <c r="G276" s="2"/>
      <c r="H276" s="2"/>
      <c r="I276" s="2"/>
    </row>
    <row r="277" spans="1:9" ht="12.75">
      <c r="A277" s="2" t="s">
        <v>988</v>
      </c>
      <c r="B277" s="2">
        <f>'SCH Summary'!C279/30</f>
        <v>22028.866666666665</v>
      </c>
      <c r="C277" s="2">
        <f>'SCH Summary'!E279/24</f>
        <v>24.791666666666668</v>
      </c>
      <c r="D277" s="2"/>
      <c r="E277" s="2">
        <f t="shared" si="14"/>
        <v>22053.658333333333</v>
      </c>
      <c r="F277" s="2"/>
      <c r="G277" s="2"/>
      <c r="H277" s="2"/>
      <c r="I277" s="2"/>
    </row>
    <row r="278" spans="1:9" ht="12.75">
      <c r="A278" s="2" t="s">
        <v>994</v>
      </c>
      <c r="B278" s="2">
        <f>'SCH Summary'!C280/30</f>
        <v>6984.4</v>
      </c>
      <c r="C278" s="2">
        <f>'SCH Summary'!E280/24</f>
        <v>0</v>
      </c>
      <c r="D278" s="2">
        <f>'SCH Summary'!D280/900</f>
        <v>0</v>
      </c>
      <c r="E278" s="2">
        <f t="shared" si="14"/>
        <v>6984.4</v>
      </c>
      <c r="F278" s="2"/>
      <c r="G278" s="2"/>
      <c r="H278" s="2"/>
      <c r="I278" s="2"/>
    </row>
    <row r="279" spans="1:9" ht="12.75">
      <c r="A279" s="2" t="s">
        <v>991</v>
      </c>
      <c r="B279" s="2">
        <f>'SCH Summary'!C281/30</f>
        <v>0</v>
      </c>
      <c r="C279" s="2">
        <f>'SCH Summary'!E281/24</f>
        <v>0</v>
      </c>
      <c r="D279" s="2">
        <f>'SCH Summary'!D281/900</f>
        <v>0</v>
      </c>
      <c r="E279" s="2">
        <f t="shared" si="14"/>
        <v>0</v>
      </c>
      <c r="F279" s="2"/>
      <c r="G279" s="2"/>
      <c r="H279" s="2"/>
      <c r="I279" s="2"/>
    </row>
    <row r="280" spans="1:9" ht="12.75">
      <c r="A280" s="2" t="s">
        <v>992</v>
      </c>
      <c r="B280" s="2">
        <f>'SCH Summary'!C282/30</f>
        <v>0</v>
      </c>
      <c r="C280" s="2">
        <f>'SCH Summary'!E282/24</f>
        <v>1332.4583333333333</v>
      </c>
      <c r="D280" s="2"/>
      <c r="E280" s="2">
        <f t="shared" si="14"/>
        <v>1332.4583333333333</v>
      </c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>
        <f>SUM(B272:B280)</f>
        <v>51998.03333333333</v>
      </c>
      <c r="C282" s="2">
        <f>SUM(C272:C280)</f>
        <v>7001.041666666666</v>
      </c>
      <c r="D282" s="2">
        <f>SUM(D272:D280)</f>
        <v>0</v>
      </c>
      <c r="E282" s="2">
        <f>SUM(B282:D282)</f>
        <v>58999.075</v>
      </c>
      <c r="F282" s="2"/>
      <c r="G282" s="2"/>
      <c r="H282" s="2"/>
      <c r="I282" s="2"/>
    </row>
    <row r="283" spans="1:9" ht="12.75">
      <c r="A283" s="2"/>
      <c r="B283" s="291" t="s">
        <v>977</v>
      </c>
      <c r="C283" s="291" t="s">
        <v>977</v>
      </c>
      <c r="D283" s="291" t="s">
        <v>977</v>
      </c>
      <c r="E283" s="291" t="s">
        <v>977</v>
      </c>
      <c r="F283" s="2"/>
      <c r="G283" s="2"/>
      <c r="H283" s="2"/>
      <c r="I283" s="2"/>
    </row>
    <row r="284" spans="1:9" ht="12.75">
      <c r="A284" s="2"/>
      <c r="B284" s="291" t="s">
        <v>996</v>
      </c>
      <c r="C284" s="291" t="s">
        <v>996</v>
      </c>
      <c r="D284" s="291" t="s">
        <v>996</v>
      </c>
      <c r="E284" s="291" t="s">
        <v>996</v>
      </c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4" manualBreakCount="4">
    <brk id="39" max="255" man="1"/>
    <brk id="40" max="255" man="1"/>
    <brk id="80" max="255" man="1"/>
    <brk id="120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C285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sheetData>
    <row r="1" spans="1:2" ht="12.75">
      <c r="A1" s="20" t="s">
        <v>61</v>
      </c>
      <c r="B1" s="2" t="s">
        <v>927</v>
      </c>
    </row>
    <row r="2" spans="1:2" ht="12.75">
      <c r="A2" s="2"/>
      <c r="B2" s="2" t="s">
        <v>1014</v>
      </c>
    </row>
    <row r="3" spans="1:2" ht="12.75">
      <c r="A3" s="2"/>
      <c r="B3" s="2"/>
    </row>
    <row r="4" spans="1:2" ht="12.75">
      <c r="A4" s="2"/>
      <c r="B4" s="2"/>
    </row>
    <row r="5" spans="1:2" ht="12.75">
      <c r="A5" s="2" t="s">
        <v>1015</v>
      </c>
      <c r="B5" s="2">
        <f>IF('FTE Calc'!E6&gt;0,(('Apprp. Summary'!C7+'Apprp. Summary'!G7)/'FTE Calc'!E6),0)</f>
        <v>5096.434524385484</v>
      </c>
    </row>
    <row r="6" spans="1:2" ht="12.75">
      <c r="A6" s="2" t="s">
        <v>1016</v>
      </c>
      <c r="B6" s="2">
        <f>IF('FTE Calc'!E7&gt;0,(('Apprp. Summary'!C8+'Apprp. Summary'!G8)/'FTE Calc'!E7),0)</f>
        <v>3540.2814414469744</v>
      </c>
    </row>
    <row r="7" spans="1:2" ht="12.75">
      <c r="A7" s="2" t="s">
        <v>1017</v>
      </c>
      <c r="B7" s="2">
        <f>IF('FTE Calc'!E8&gt;0,(('Apprp. Summary'!C9+'Apprp. Summary'!G9)/'FTE Calc'!E8),0)</f>
        <v>4055.6328254151263</v>
      </c>
    </row>
    <row r="8" spans="1:2" ht="12.75">
      <c r="A8" s="2" t="s">
        <v>1018</v>
      </c>
      <c r="B8" s="2">
        <f>IF('FTE Calc'!E9&gt;0,(('Apprp. Summary'!C10+'Apprp. Summary'!G10)/'FTE Calc'!E9),0)</f>
        <v>3128.064393557082</v>
      </c>
    </row>
    <row r="9" spans="1:2" ht="12.75">
      <c r="A9" s="2" t="s">
        <v>1019</v>
      </c>
      <c r="B9" s="2">
        <f>IF('FTE Calc'!E10&gt;0,(('Apprp. Summary'!C11+'Apprp. Summary'!G11)/'FTE Calc'!E10),0)</f>
        <v>3888.238189204875</v>
      </c>
    </row>
    <row r="10" spans="1:2" ht="12.75">
      <c r="A10" s="2" t="s">
        <v>1020</v>
      </c>
      <c r="B10" s="2">
        <f>IF('FTE Calc'!E11&gt;0,(('Apprp. Summary'!C12+'Apprp. Summary'!G12)/'FTE Calc'!E11),0)</f>
        <v>2694.729634527679</v>
      </c>
    </row>
    <row r="11" spans="1:2" ht="12.75">
      <c r="A11" s="2" t="s">
        <v>1021</v>
      </c>
      <c r="B11" s="2">
        <f>IF('FTE Calc'!E12&gt;0,(('Apprp. Summary'!C13+'Apprp. Summary'!G13)/'FTE Calc'!E12),0)</f>
        <v>2586.4026829062827</v>
      </c>
    </row>
    <row r="12" spans="1:2" ht="12.75">
      <c r="A12" s="2" t="s">
        <v>1022</v>
      </c>
      <c r="B12" s="2">
        <f>IF('FTE Calc'!E13&gt;0,(('Apprp. Summary'!C14+'Apprp. Summary'!G14)/'FTE Calc'!E13),0)</f>
        <v>4603.6255035836875</v>
      </c>
    </row>
    <row r="13" spans="1:2" ht="12.75">
      <c r="A13" s="2" t="s">
        <v>1023</v>
      </c>
      <c r="B13" s="2">
        <f>IF('FTE Calc'!E14&gt;0,(('Apprp. Summary'!C15+'Apprp. Summary'!G15)/'FTE Calc'!E14),0)</f>
        <v>0</v>
      </c>
    </row>
    <row r="14" spans="1:2" ht="12.75">
      <c r="A14" s="2"/>
      <c r="B14" s="2"/>
    </row>
    <row r="15" spans="1:2" ht="12.75">
      <c r="A15" s="2"/>
      <c r="B15" s="2">
        <f>IF('FTE Calc'!E16&gt;0,(('Apprp. Summary'!C17+'Apprp. Summary'!G17)/'FTE Calc'!E16),0)</f>
        <v>3647.4562366296645</v>
      </c>
    </row>
    <row r="16" spans="1:2" ht="12.75">
      <c r="A16" s="2"/>
      <c r="B16" s="291" t="s">
        <v>977</v>
      </c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0" t="s">
        <v>111</v>
      </c>
      <c r="B20" s="2" t="s">
        <v>927</v>
      </c>
    </row>
    <row r="21" spans="1:2" ht="12.75">
      <c r="A21" s="2"/>
      <c r="B21" s="2" t="s">
        <v>1014</v>
      </c>
    </row>
    <row r="22" spans="1:2" ht="12.75">
      <c r="A22" s="2"/>
      <c r="B22" s="2"/>
    </row>
    <row r="23" spans="1:2" ht="12.75">
      <c r="A23" s="2"/>
      <c r="B23" s="2"/>
    </row>
    <row r="24" spans="1:2" ht="12.75">
      <c r="A24" s="2" t="s">
        <v>1015</v>
      </c>
      <c r="B24" s="2">
        <f>IF('FTE Calc'!E25&gt;0,(('Apprp. Summary'!C26+'Apprp. Summary'!G26)/'FTE Calc'!E25),0)</f>
        <v>5949.789881210931</v>
      </c>
    </row>
    <row r="25" spans="1:2" ht="12.75">
      <c r="A25" s="2" t="s">
        <v>1016</v>
      </c>
      <c r="B25" s="2">
        <f>IF('FTE Calc'!E26&gt;0,(('Apprp. Summary'!C27+'Apprp. Summary'!G27)/'FTE Calc'!E26),0)</f>
        <v>0</v>
      </c>
    </row>
    <row r="26" spans="1:2" ht="12.75">
      <c r="A26" s="2" t="s">
        <v>1017</v>
      </c>
      <c r="B26" s="2">
        <f>IF('FTE Calc'!E27&gt;0,(('Apprp. Summary'!C28+'Apprp. Summary'!G28)/'FTE Calc'!E27),0)</f>
        <v>4582.603974906645</v>
      </c>
    </row>
    <row r="27" spans="1:2" ht="12.75">
      <c r="A27" s="2" t="s">
        <v>1018</v>
      </c>
      <c r="B27" s="2">
        <f>IF('FTE Calc'!E28&gt;0,(('Apprp. Summary'!C29+'Apprp. Summary'!G29)/'FTE Calc'!E28),0)</f>
        <v>0</v>
      </c>
    </row>
    <row r="28" spans="1:2" ht="12.75">
      <c r="A28" s="2" t="s">
        <v>1019</v>
      </c>
      <c r="B28" s="2">
        <f>IF('FTE Calc'!E29&gt;0,(('Apprp. Summary'!C30+'Apprp. Summary'!G30)/'FTE Calc'!E29),0)</f>
        <v>4057.0146877182287</v>
      </c>
    </row>
    <row r="29" spans="1:2" ht="12.75">
      <c r="A29" s="2" t="s">
        <v>1020</v>
      </c>
      <c r="B29" s="2">
        <f>IF('FTE Calc'!E30&gt;0,(('Apprp. Summary'!C31+'Apprp. Summary'!G31)/'FTE Calc'!E30),0)</f>
        <v>4754.911314189953</v>
      </c>
    </row>
    <row r="30" spans="1:2" ht="12.75">
      <c r="A30" s="2" t="s">
        <v>1021</v>
      </c>
      <c r="B30" s="2">
        <f>IF('FTE Calc'!E31&gt;0,(('Apprp. Summary'!C32+'Apprp. Summary'!G32)/'FTE Calc'!E31),0)</f>
        <v>4102.799004873027</v>
      </c>
    </row>
    <row r="31" spans="1:2" ht="12.75">
      <c r="A31" s="2" t="s">
        <v>1022</v>
      </c>
      <c r="B31" s="2">
        <f>IF('FTE Calc'!E32&gt;0,(('Apprp. Summary'!C33+'Apprp. Summary'!G33)/'FTE Calc'!E32),0)</f>
        <v>0</v>
      </c>
    </row>
    <row r="32" spans="1:2" ht="12.75">
      <c r="A32" s="2" t="s">
        <v>1023</v>
      </c>
      <c r="B32" s="2">
        <f>IF('FTE Calc'!E33&gt;0,(('Apprp. Summary'!C34+'Apprp. Summary'!G34)/'FTE Calc'!E33),0)</f>
        <v>0</v>
      </c>
    </row>
    <row r="33" spans="1:2" ht="12.75">
      <c r="A33" s="2"/>
      <c r="B33" s="2"/>
    </row>
    <row r="34" spans="1:2" ht="12.75">
      <c r="A34" s="2"/>
      <c r="B34" s="2">
        <f>IF('FTE Calc'!E35&gt;0,(('Apprp. Summary'!C36+'Apprp. Summary'!G36)/'FTE Calc'!E35),0)</f>
        <v>4602.57928126991</v>
      </c>
    </row>
    <row r="35" spans="1:2" ht="12.75">
      <c r="A35" s="2"/>
      <c r="B35" s="291" t="s">
        <v>977</v>
      </c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0" t="s">
        <v>144</v>
      </c>
      <c r="B39" s="2" t="s">
        <v>927</v>
      </c>
    </row>
    <row r="40" spans="1:2" ht="12.75">
      <c r="A40" s="2"/>
      <c r="B40" s="2" t="s">
        <v>1014</v>
      </c>
    </row>
    <row r="41" spans="1:2" ht="12.75">
      <c r="A41" s="2"/>
      <c r="B41" s="2"/>
    </row>
    <row r="42" spans="1:2" ht="12.75">
      <c r="A42" s="2"/>
      <c r="B42" s="2"/>
    </row>
    <row r="43" spans="1:2" ht="12.75">
      <c r="A43" s="2" t="s">
        <v>1015</v>
      </c>
      <c r="B43" s="2">
        <f>IF('FTE Calc'!E44&gt;0,(('Apprp. Summary'!C45+'Apprp. Summary'!G45)/'FTE Calc'!E44),0)</f>
        <v>6807.14215772243</v>
      </c>
    </row>
    <row r="44" spans="1:2" ht="12.75">
      <c r="A44" s="2" t="s">
        <v>1016</v>
      </c>
      <c r="B44" s="2">
        <f>IF('FTE Calc'!E45&gt;0,(('Apprp. Summary'!C46+'Apprp. Summary'!G46)/'FTE Calc'!E45),0)</f>
        <v>5629.267907199591</v>
      </c>
    </row>
    <row r="45" spans="1:2" ht="12.75">
      <c r="A45" s="2" t="s">
        <v>1017</v>
      </c>
      <c r="B45" s="2">
        <f>IF('FTE Calc'!E46&gt;0,(('Apprp. Summary'!C47+'Apprp. Summary'!G47)/'FTE Calc'!E46),0)</f>
        <v>5976.48414996026</v>
      </c>
    </row>
    <row r="46" spans="1:2" ht="12.75">
      <c r="A46" s="2" t="s">
        <v>1018</v>
      </c>
      <c r="B46" s="2">
        <f>IF('FTE Calc'!E47&gt;0,(('Apprp. Summary'!C48+'Apprp. Summary'!G48)/'FTE Calc'!E47),0)</f>
        <v>6152.526921605676</v>
      </c>
    </row>
    <row r="47" spans="1:2" ht="12.75">
      <c r="A47" s="2" t="s">
        <v>1019</v>
      </c>
      <c r="B47" s="2">
        <f>IF('FTE Calc'!E48&gt;0,(('Apprp. Summary'!C49+'Apprp. Summary'!G49)/'FTE Calc'!E48),0)</f>
        <v>0</v>
      </c>
    </row>
    <row r="48" spans="1:2" ht="12.75">
      <c r="A48" s="2" t="s">
        <v>1020</v>
      </c>
      <c r="B48" s="2">
        <f>IF('FTE Calc'!E49&gt;0,(('Apprp. Summary'!C50+'Apprp. Summary'!G50)/'FTE Calc'!E49),0)</f>
        <v>0</v>
      </c>
    </row>
    <row r="49" spans="1:3" ht="12.75">
      <c r="A49" s="2" t="s">
        <v>1021</v>
      </c>
      <c r="B49" s="2">
        <f>IF('FTE Calc'!E50&gt;0,(('Apprp. Summary'!C51+'Apprp. Summary'!G51)/'FTE Calc'!E50),0)</f>
        <v>2875.708016624543</v>
      </c>
      <c r="C49" s="2" t="s">
        <v>1024</v>
      </c>
    </row>
    <row r="50" spans="1:3" ht="12.75">
      <c r="A50" s="2" t="s">
        <v>1022</v>
      </c>
      <c r="B50" s="2">
        <f>IF('FTE Calc'!E51&gt;0,(('Apprp. Summary'!C52+'Apprp. Summary'!G52)/'FTE Calc'!E51),0)</f>
        <v>0</v>
      </c>
      <c r="C50" s="2"/>
    </row>
    <row r="51" spans="1:3" ht="12.75">
      <c r="A51" s="2" t="s">
        <v>1023</v>
      </c>
      <c r="B51" s="2">
        <f>IF('FTE Calc'!E52&gt;0,(('Apprp. Summary'!C53+'Apprp. Summary'!G53)/'FTE Calc'!E52),0)</f>
        <v>0</v>
      </c>
      <c r="C51" s="2"/>
    </row>
    <row r="52" spans="1:3" ht="12.75">
      <c r="A52" s="2"/>
      <c r="B52" s="2"/>
      <c r="C52" s="2"/>
    </row>
    <row r="53" spans="1:3" ht="12.75">
      <c r="A53" s="2"/>
      <c r="B53" s="2">
        <f>IF('FTE Calc'!E54&gt;0,(('Apprp. Summary'!C55+'Apprp. Summary'!G55)/'FTE Calc'!E54),0)</f>
        <v>4303.395721958146</v>
      </c>
      <c r="C53" s="2"/>
    </row>
    <row r="54" spans="1:3" ht="12.75">
      <c r="A54" s="2"/>
      <c r="B54" s="291" t="s">
        <v>977</v>
      </c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0" t="s">
        <v>195</v>
      </c>
      <c r="B58" s="2" t="s">
        <v>927</v>
      </c>
      <c r="C58" s="2"/>
    </row>
    <row r="59" spans="1:3" ht="12.75">
      <c r="A59" s="2"/>
      <c r="B59" s="2" t="s">
        <v>1014</v>
      </c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 t="s">
        <v>1015</v>
      </c>
      <c r="B62" s="2">
        <f>IF('FTE Calc'!E63&gt;0,(('Apprp. Summary'!C64+'Apprp. Summary'!G64)/'FTE Calc'!E63),0)</f>
        <v>7732.126052507995</v>
      </c>
      <c r="C62" s="2"/>
    </row>
    <row r="63" spans="1:3" ht="12.75">
      <c r="A63" s="2" t="s">
        <v>1016</v>
      </c>
      <c r="B63" s="2">
        <f>IF('FTE Calc'!E64&gt;0,(('Apprp. Summary'!C65+'Apprp. Summary'!G65)/'FTE Calc'!E64),0)</f>
        <v>8819.056224698035</v>
      </c>
      <c r="C63" s="2"/>
    </row>
    <row r="64" spans="1:3" ht="12.75">
      <c r="A64" s="2" t="s">
        <v>1017</v>
      </c>
      <c r="B64" s="2">
        <f>IF('FTE Calc'!E65&gt;0,(('Apprp. Summary'!C66+'Apprp. Summary'!G66)/'FTE Calc'!E65),0)</f>
        <v>4050.5477305835584</v>
      </c>
      <c r="C64" s="2"/>
    </row>
    <row r="65" spans="1:2" ht="12.75">
      <c r="A65" s="2" t="s">
        <v>1018</v>
      </c>
      <c r="B65" s="2">
        <f>IF('FTE Calc'!E66&gt;0,(('Apprp. Summary'!C67+'Apprp. Summary'!G67)/'FTE Calc'!E66),0)</f>
        <v>4051.818894095668</v>
      </c>
    </row>
    <row r="66" spans="1:2" ht="12.75">
      <c r="A66" s="2" t="s">
        <v>1019</v>
      </c>
      <c r="B66" s="2">
        <f>IF('FTE Calc'!E67&gt;0,(('Apprp. Summary'!C68+'Apprp. Summary'!G68)/'FTE Calc'!E67),0)</f>
        <v>4105.216335502329</v>
      </c>
    </row>
    <row r="67" spans="1:2" ht="12.75">
      <c r="A67" s="2" t="s">
        <v>1020</v>
      </c>
      <c r="B67" s="2">
        <f>IF('FTE Calc'!E68&gt;0,(('Apprp. Summary'!C69+'Apprp. Summary'!G69)/'FTE Calc'!E68),0)</f>
        <v>4419.099177944867</v>
      </c>
    </row>
    <row r="68" spans="1:2" ht="12.75">
      <c r="A68" s="2" t="s">
        <v>1021</v>
      </c>
      <c r="B68" s="2">
        <f>IF('FTE Calc'!E69&gt;0,(('Apprp. Summary'!C70+'Apprp. Summary'!G70)/'FTE Calc'!E69),0)</f>
        <v>4016.9312936658794</v>
      </c>
    </row>
    <row r="69" spans="1:2" ht="12.75">
      <c r="A69" s="2" t="s">
        <v>1022</v>
      </c>
      <c r="B69" s="2">
        <f>IF('FTE Calc'!E70&gt;0,(('Apprp. Summary'!C71+'Apprp. Summary'!G71)/'FTE Calc'!E70),0)</f>
        <v>4241.944316396926</v>
      </c>
    </row>
    <row r="70" spans="1:2" ht="12.75">
      <c r="A70" s="2" t="s">
        <v>1023</v>
      </c>
      <c r="B70" s="2">
        <f>IF('FTE Calc'!E71&gt;0,(('Apprp. Summary'!C72+'Apprp. Summary'!G72)/'FTE Calc'!E71),0)</f>
        <v>4253.483264007146</v>
      </c>
    </row>
    <row r="71" spans="1:2" ht="12.75">
      <c r="A71" s="2"/>
      <c r="B71" s="2"/>
    </row>
    <row r="72" spans="1:2" ht="12.75">
      <c r="A72" s="2"/>
      <c r="B72" s="2">
        <f>IF('FTE Calc'!E73&gt;0,(('Apprp. Summary'!C74+'Apprp. Summary'!G74)/'FTE Calc'!E73),0)</f>
        <v>5263.012725126697</v>
      </c>
    </row>
    <row r="73" spans="1:2" ht="12.75">
      <c r="A73" s="2"/>
      <c r="B73" s="291" t="s">
        <v>977</v>
      </c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0" t="s">
        <v>305</v>
      </c>
      <c r="B77" s="2" t="s">
        <v>927</v>
      </c>
    </row>
    <row r="78" spans="1:2" ht="12.75">
      <c r="A78" s="2"/>
      <c r="B78" s="2" t="s">
        <v>1014</v>
      </c>
    </row>
    <row r="79" spans="1:2" ht="12.75">
      <c r="A79" s="2"/>
      <c r="B79" s="2"/>
    </row>
    <row r="80" spans="1:2" ht="12.75">
      <c r="A80" s="2"/>
      <c r="B80" s="2"/>
    </row>
    <row r="81" spans="1:2" ht="12.75">
      <c r="A81" s="2" t="s">
        <v>1015</v>
      </c>
      <c r="B81" s="2">
        <f>IF('FTE Calc'!E82&gt;0,(('Apprp. Summary'!C83+'Apprp. Summary'!G83)/'FTE Calc'!E82),0)</f>
        <v>4703.08951829199</v>
      </c>
    </row>
    <row r="82" spans="1:2" ht="12.75">
      <c r="A82" s="2" t="s">
        <v>1016</v>
      </c>
      <c r="B82" s="2">
        <f>IF('FTE Calc'!E83&gt;0,(('Apprp. Summary'!C84+'Apprp. Summary'!G84)/'FTE Calc'!E83),0)</f>
        <v>4832.386109095637</v>
      </c>
    </row>
    <row r="83" spans="1:2" ht="12.75">
      <c r="A83" s="2" t="s">
        <v>1017</v>
      </c>
      <c r="B83" s="2">
        <f>IF('FTE Calc'!E84&gt;0,(('Apprp. Summary'!C85+'Apprp. Summary'!G85)/'FTE Calc'!E84),0)</f>
        <v>4207.770200790034</v>
      </c>
    </row>
    <row r="84" spans="1:2" ht="12.75">
      <c r="A84" s="2" t="s">
        <v>1018</v>
      </c>
      <c r="B84" s="2">
        <f>IF('FTE Calc'!E85&gt;0,(('Apprp. Summary'!C86+'Apprp. Summary'!G86)/'FTE Calc'!E85),0)</f>
        <v>4120.980105607103</v>
      </c>
    </row>
    <row r="85" spans="1:2" ht="12.75">
      <c r="A85" s="2" t="s">
        <v>1019</v>
      </c>
      <c r="B85" s="2">
        <f>IF('FTE Calc'!E86&gt;0,(('Apprp. Summary'!C87+'Apprp. Summary'!G87)/'FTE Calc'!E86),0)</f>
        <v>2977.217678900361</v>
      </c>
    </row>
    <row r="86" spans="1:2" ht="12.75">
      <c r="A86" s="2" t="s">
        <v>1020</v>
      </c>
      <c r="B86" s="2">
        <f>IF('FTE Calc'!E87&gt;0,(('Apprp. Summary'!C88+'Apprp. Summary'!G88)/'FTE Calc'!E87),0)</f>
        <v>7549.866746448211</v>
      </c>
    </row>
    <row r="87" spans="1:2" ht="12.75">
      <c r="A87" s="2" t="s">
        <v>1021</v>
      </c>
      <c r="B87" s="2">
        <f>IF('FTE Calc'!E88&gt;0,(('Apprp. Summary'!C89+'Apprp. Summary'!G89)/'FTE Calc'!E88),0)</f>
        <v>2556.673867798718</v>
      </c>
    </row>
    <row r="88" spans="1:2" ht="12.75">
      <c r="A88" s="2" t="s">
        <v>1022</v>
      </c>
      <c r="B88" s="2">
        <f>IF('FTE Calc'!E89&gt;0,(('Apprp. Summary'!C90+'Apprp. Summary'!G90)/'FTE Calc'!E89),0)</f>
        <v>0</v>
      </c>
    </row>
    <row r="89" spans="1:2" ht="12.75">
      <c r="A89" s="2" t="s">
        <v>1023</v>
      </c>
      <c r="B89" s="2">
        <f>IF('FTE Calc'!E90&gt;0,(('Apprp. Summary'!C91+'Apprp. Summary'!G91)/'FTE Calc'!E90),0)</f>
        <v>0</v>
      </c>
    </row>
    <row r="90" spans="1:2" ht="12.75">
      <c r="A90" s="2"/>
      <c r="B90" s="2"/>
    </row>
    <row r="91" spans="1:2" ht="12.75">
      <c r="A91" s="2"/>
      <c r="B91" s="2">
        <f>IF('FTE Calc'!E92&gt;0,(('Apprp. Summary'!C93+'Apprp. Summary'!G93)/'FTE Calc'!E92),0)</f>
        <v>3918.0636598060723</v>
      </c>
    </row>
    <row r="92" spans="1:2" ht="12.75">
      <c r="A92" s="2"/>
      <c r="B92" s="291" t="s">
        <v>977</v>
      </c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0" t="s">
        <v>315</v>
      </c>
      <c r="B96" s="2" t="s">
        <v>927</v>
      </c>
    </row>
    <row r="97" spans="1:2" ht="12.75">
      <c r="A97" s="2"/>
      <c r="B97" s="2" t="s">
        <v>1014</v>
      </c>
    </row>
    <row r="98" spans="1:2" ht="12.75">
      <c r="A98" s="2"/>
      <c r="B98" s="2"/>
    </row>
    <row r="99" spans="1:2" ht="12.75">
      <c r="A99" s="2"/>
      <c r="B99" s="2"/>
    </row>
    <row r="100" spans="1:2" ht="12.75">
      <c r="A100" s="2" t="s">
        <v>1015</v>
      </c>
      <c r="B100" s="2">
        <f>IF('FTE Calc'!E101&gt;0,(('Apprp. Summary'!C102+'Apprp. Summary'!G102)/'FTE Calc'!E101),0)</f>
        <v>4992.762268476418</v>
      </c>
    </row>
    <row r="101" spans="1:2" ht="12.75">
      <c r="A101" s="2" t="s">
        <v>1016</v>
      </c>
      <c r="B101" s="2">
        <f>IF('FTE Calc'!E102&gt;0,(('Apprp. Summary'!C103+'Apprp. Summary'!G103)/'FTE Calc'!E102),0)</f>
        <v>3269.0961166521056</v>
      </c>
    </row>
    <row r="102" spans="1:2" ht="12.75">
      <c r="A102" s="2" t="s">
        <v>1017</v>
      </c>
      <c r="B102" s="2">
        <f>IF('FTE Calc'!E103&gt;0,(('Apprp. Summary'!C104+'Apprp. Summary'!G104)/'FTE Calc'!E103),0)</f>
        <v>3514.3610923060282</v>
      </c>
    </row>
    <row r="103" spans="1:2" ht="12.75">
      <c r="A103" s="2" t="s">
        <v>1018</v>
      </c>
      <c r="B103" s="2">
        <f>IF('FTE Calc'!E104&gt;0,(('Apprp. Summary'!C105+'Apprp. Summary'!G105)/'FTE Calc'!E104),0)</f>
        <v>2631.959740380597</v>
      </c>
    </row>
    <row r="104" spans="1:2" ht="12.75">
      <c r="A104" s="2" t="s">
        <v>1019</v>
      </c>
      <c r="B104" s="2">
        <f>IF('FTE Calc'!E105&gt;0,(('Apprp. Summary'!C106+'Apprp. Summary'!G106)/'FTE Calc'!E105),0)</f>
        <v>2984.685362825936</v>
      </c>
    </row>
    <row r="105" spans="1:2" ht="12.75">
      <c r="A105" s="2" t="s">
        <v>1020</v>
      </c>
      <c r="B105" s="2">
        <f>IF('FTE Calc'!E106&gt;0,(('Apprp. Summary'!C107+'Apprp. Summary'!G107)/'FTE Calc'!E106),0)</f>
        <v>0</v>
      </c>
    </row>
    <row r="106" spans="1:2" ht="12.75">
      <c r="A106" s="2" t="s">
        <v>1021</v>
      </c>
      <c r="B106" s="2">
        <f>IF('FTE Calc'!E107&gt;0,(('Apprp. Summary'!C108+'Apprp. Summary'!G108)/'FTE Calc'!E107),0)</f>
        <v>2524.383352334582</v>
      </c>
    </row>
    <row r="107" spans="1:2" ht="12.75">
      <c r="A107" s="2" t="s">
        <v>1022</v>
      </c>
      <c r="B107" s="2">
        <f>IF('FTE Calc'!E108&gt;0,(('Apprp. Summary'!C109+'Apprp. Summary'!G109)/'FTE Calc'!E108),0)</f>
        <v>4501.922650675518</v>
      </c>
    </row>
    <row r="108" spans="1:2" ht="12.75">
      <c r="A108" s="2" t="s">
        <v>1023</v>
      </c>
      <c r="B108" s="2">
        <f>IF('FTE Calc'!E109&gt;0,(('Apprp. Summary'!C110+'Apprp. Summary'!G110)/'FTE Calc'!E109),0)</f>
        <v>92401.35949558638</v>
      </c>
    </row>
    <row r="109" spans="1:2" ht="12.75">
      <c r="A109" s="2"/>
      <c r="B109" s="2"/>
    </row>
    <row r="110" spans="1:2" ht="12.75">
      <c r="A110" s="2"/>
      <c r="B110" s="2">
        <f>IF('FTE Calc'!E111&gt;0,(('Apprp. Summary'!C112+'Apprp. Summary'!G112)/'FTE Calc'!E111),0)</f>
        <v>3939.390032412988</v>
      </c>
    </row>
    <row r="111" spans="1:2" ht="12.75">
      <c r="A111" s="2"/>
      <c r="B111" s="291" t="s">
        <v>977</v>
      </c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0" t="s">
        <v>402</v>
      </c>
      <c r="B115" s="2" t="s">
        <v>927</v>
      </c>
    </row>
    <row r="116" spans="1:2" ht="12.75">
      <c r="A116" s="2"/>
      <c r="B116" s="2" t="s">
        <v>1014</v>
      </c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 t="s">
        <v>1015</v>
      </c>
      <c r="B119" s="2">
        <f>IF('FTE Calc'!E120&gt;0,(('Apprp. Summary'!C121+'Apprp. Summary'!G121)/'FTE Calc'!E120),0)</f>
        <v>9097.384429716585</v>
      </c>
    </row>
    <row r="120" spans="1:2" ht="12.75">
      <c r="A120" s="2" t="s">
        <v>1016</v>
      </c>
      <c r="B120" s="2">
        <f>IF('FTE Calc'!E121&gt;0,(('Apprp. Summary'!C122+'Apprp. Summary'!G122)/'FTE Calc'!E121),0)</f>
        <v>5530.708317424963</v>
      </c>
    </row>
    <row r="121" spans="1:2" ht="12.75">
      <c r="A121" s="2" t="s">
        <v>1017</v>
      </c>
      <c r="B121" s="2">
        <f>IF('FTE Calc'!E122&gt;0,(('Apprp. Summary'!C123+'Apprp. Summary'!G123)/'FTE Calc'!E122),0)</f>
        <v>0</v>
      </c>
    </row>
    <row r="122" spans="1:2" ht="12.75">
      <c r="A122" s="2" t="s">
        <v>1018</v>
      </c>
      <c r="B122" s="2">
        <f>IF('FTE Calc'!E123&gt;0,(('Apprp. Summary'!C124+'Apprp. Summary'!G124)/'FTE Calc'!E123),0)</f>
        <v>4542.385612389059</v>
      </c>
    </row>
    <row r="123" spans="1:2" ht="12.75">
      <c r="A123" s="2" t="s">
        <v>1019</v>
      </c>
      <c r="B123" s="2">
        <f>IF('FTE Calc'!E124&gt;0,(('Apprp. Summary'!C125+'Apprp. Summary'!G125)/'FTE Calc'!E124),0)</f>
        <v>5198.891628425273</v>
      </c>
    </row>
    <row r="124" spans="1:2" ht="12.75">
      <c r="A124" s="2" t="s">
        <v>1020</v>
      </c>
      <c r="B124" s="2">
        <f>IF('FTE Calc'!E125&gt;0,(('Apprp. Summary'!C126+'Apprp. Summary'!G126)/'FTE Calc'!E125),0)</f>
        <v>7238.654993541509</v>
      </c>
    </row>
    <row r="125" spans="1:2" ht="12.75">
      <c r="A125" s="2" t="s">
        <v>1021</v>
      </c>
      <c r="B125" s="2">
        <f>IF('FTE Calc'!E126&gt;0,(('Apprp. Summary'!C127+'Apprp. Summary'!F127)/'FTE Calc'!E126),0)</f>
        <v>4369.779954084089</v>
      </c>
    </row>
    <row r="126" spans="1:2" ht="12.75">
      <c r="A126" s="2" t="s">
        <v>1022</v>
      </c>
      <c r="B126" s="2">
        <f>IF('FTE Calc'!E127&gt;0,(('Apprp. Summary'!C128+'Apprp. Summary'!G128)/'FTE Calc'!E127),0)</f>
        <v>0</v>
      </c>
    </row>
    <row r="127" spans="1:2" ht="12.75">
      <c r="A127" s="2" t="s">
        <v>1023</v>
      </c>
      <c r="B127" s="2">
        <f>IF('FTE Calc'!E128&gt;0,(('Apprp. Summary'!C129+'Apprp. Summary'!G129)/'FTE Calc'!E128),0)</f>
        <v>604.8615847686516</v>
      </c>
    </row>
    <row r="128" spans="1:2" ht="12.75">
      <c r="A128" s="2"/>
      <c r="B128" s="2"/>
    </row>
    <row r="129" spans="1:2" ht="12.75">
      <c r="A129" s="2"/>
      <c r="B129" s="2">
        <f>IF('FTE Calc'!E130&gt;0,(('Apprp. Summary'!C131+'Apprp. Summary'!G131)/'FTE Calc'!E130),0)</f>
        <v>5262.61238142092</v>
      </c>
    </row>
    <row r="130" spans="1:2" ht="12.75">
      <c r="A130" s="2"/>
      <c r="B130" s="291" t="s">
        <v>977</v>
      </c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0" t="s">
        <v>435</v>
      </c>
      <c r="B134" s="2" t="s">
        <v>927</v>
      </c>
    </row>
    <row r="135" spans="1:2" ht="12.75">
      <c r="A135" s="2"/>
      <c r="B135" s="2" t="s">
        <v>1014</v>
      </c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 t="s">
        <v>1015</v>
      </c>
      <c r="B138" s="2">
        <f>IF('FTE Calc'!E139&gt;0,(('Apprp. Summary'!C140+'Apprp. Summary'!G140)/'FTE Calc'!E139),0)</f>
        <v>4750.696247028758</v>
      </c>
    </row>
    <row r="139" spans="1:2" ht="12.75">
      <c r="A139" s="2" t="s">
        <v>1016</v>
      </c>
      <c r="B139" s="2">
        <f>IF('FTE Calc'!E140&gt;0,(('Apprp. Summary'!C141+'Apprp. Summary'!G141)/'FTE Calc'!E140),0)</f>
        <v>4607.630123462359</v>
      </c>
    </row>
    <row r="140" spans="1:2" ht="12.75">
      <c r="A140" s="2" t="s">
        <v>1017</v>
      </c>
      <c r="B140" s="2">
        <f>IF('FTE Calc'!E141&gt;0,(('Apprp. Summary'!C142+'Apprp. Summary'!G142)/'FTE Calc'!E141),0)</f>
        <v>4756.21330674463</v>
      </c>
    </row>
    <row r="141" spans="1:2" ht="12.75">
      <c r="A141" s="2" t="s">
        <v>1018</v>
      </c>
      <c r="B141" s="2">
        <f>IF('FTE Calc'!E142&gt;0,(('Apprp. Summary'!C143+'Apprp. Summary'!G143)/'FTE Calc'!E142),0)</f>
        <v>0</v>
      </c>
    </row>
    <row r="142" spans="1:2" ht="12.75">
      <c r="A142" s="2" t="s">
        <v>1019</v>
      </c>
      <c r="B142" s="2">
        <f>IF('FTE Calc'!E143&gt;0,(('Apprp. Summary'!C144+'Apprp. Summary'!G144)/'FTE Calc'!E143),0)</f>
        <v>4493.063290531909</v>
      </c>
    </row>
    <row r="143" spans="1:2" ht="12.75">
      <c r="A143" s="2" t="s">
        <v>1020</v>
      </c>
      <c r="B143" s="2">
        <f>IF('FTE Calc'!E144&gt;0,(('Apprp. Summary'!C145+'Apprp. Summary'!G145)/'FTE Calc'!E144),0)</f>
        <v>4615.660396338397</v>
      </c>
    </row>
    <row r="144" spans="1:2" ht="12.75">
      <c r="A144" s="2" t="s">
        <v>1021</v>
      </c>
      <c r="B144" s="2">
        <f>IF('FTE Calc'!E145&gt;0,(('Apprp. Summary'!C146+'Apprp. Summary'!G146)/'FTE Calc'!E145),0)</f>
        <v>3959.167474444836</v>
      </c>
    </row>
    <row r="145" spans="1:2" ht="12.75">
      <c r="A145" s="2" t="s">
        <v>1022</v>
      </c>
      <c r="B145" s="2">
        <f>IF('FTE Calc'!E146&gt;0,(('Apprp. Summary'!C147+'Apprp. Summary'!G147)/'FTE Calc'!E146),0)</f>
        <v>0</v>
      </c>
    </row>
    <row r="146" spans="1:2" ht="12.75">
      <c r="A146" s="2" t="s">
        <v>1023</v>
      </c>
      <c r="B146" s="2">
        <f>IF('FTE Calc'!E147&gt;0,(('Apprp. Summary'!E148+'Apprp. Summary'!G148)/'FTE Calc'!E147),0)</f>
        <v>156510.65641717674</v>
      </c>
    </row>
    <row r="147" spans="1:2" ht="12.75">
      <c r="A147" s="2"/>
      <c r="B147" s="2"/>
    </row>
    <row r="148" spans="1:2" ht="12.75">
      <c r="A148" s="2"/>
      <c r="B148" s="2">
        <f>IF('FTE Calc'!E149&gt;0,(('Apprp. Summary'!C150+'Apprp. Summary'!G150)/'FTE Calc'!E149),0)</f>
        <v>4322.870467567084</v>
      </c>
    </row>
    <row r="149" spans="1:2" ht="12.75">
      <c r="A149" s="2"/>
      <c r="B149" s="291" t="s">
        <v>977</v>
      </c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0" t="s">
        <v>461</v>
      </c>
      <c r="B153" s="2" t="s">
        <v>927</v>
      </c>
    </row>
    <row r="154" spans="1:2" ht="12.75">
      <c r="A154" s="2"/>
      <c r="B154" s="2" t="s">
        <v>1014</v>
      </c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 t="s">
        <v>1015</v>
      </c>
      <c r="B157" s="2">
        <f>IF('FTE Calc'!E158&gt;0,(('Apprp. Summary'!C159+'Apprp. Summary'!G159)/'FTE Calc'!E158),0)</f>
        <v>8368.016132378407</v>
      </c>
    </row>
    <row r="158" spans="1:2" ht="12.75">
      <c r="A158" s="2" t="s">
        <v>1016</v>
      </c>
      <c r="B158" s="2">
        <f>IF('FTE Calc'!E159&gt;0,(('Apprp. Summary'!C160+'Apprp. Summary'!G160)/'FTE Calc'!E159),0)</f>
        <v>5908.210134990455</v>
      </c>
    </row>
    <row r="159" spans="1:2" ht="12.75">
      <c r="A159" s="2" t="s">
        <v>1017</v>
      </c>
      <c r="B159" s="2">
        <f>IF('FTE Calc'!E160&gt;0,(('Apprp. Summary'!C161+'Apprp. Summary'!G161)/'FTE Calc'!E160),0)</f>
        <v>5660.467228458055</v>
      </c>
    </row>
    <row r="160" spans="1:2" ht="12.75">
      <c r="A160" s="2" t="s">
        <v>1018</v>
      </c>
      <c r="B160" s="2">
        <f>IF('FTE Calc'!E161&gt;0,(('Apprp. Summary'!C162+'Apprp. Summary'!G162)/'FTE Calc'!E161),0)</f>
        <v>5079.50408134352</v>
      </c>
    </row>
    <row r="161" spans="1:2" ht="12.75">
      <c r="A161" s="2" t="s">
        <v>1019</v>
      </c>
      <c r="B161" s="2">
        <f>IF('FTE Calc'!E162&gt;0,(('Apprp. Summary'!C163+'Apprp. Summary'!G163)/'FTE Calc'!E162),0)</f>
        <v>7101.403174623263</v>
      </c>
    </row>
    <row r="162" spans="1:2" ht="12.75">
      <c r="A162" s="2" t="s">
        <v>1020</v>
      </c>
      <c r="B162" s="2">
        <f>IF('FTE Calc'!E163&gt;0,(('Apprp. Summary'!C164+'Apprp. Summary'!G164)/'FTE Calc'!E163),0)</f>
        <v>7867.987991907589</v>
      </c>
    </row>
    <row r="163" spans="1:2" ht="12.75">
      <c r="A163" s="2" t="s">
        <v>1021</v>
      </c>
      <c r="B163" s="2">
        <f>IF('FTE Calc'!E164&gt;0,(('Apprp. Summary'!C165+'Apprp. Summary'!G165)/'FTE Calc'!E164),0)</f>
        <v>4885.184759401476</v>
      </c>
    </row>
    <row r="164" spans="1:2" ht="12.75">
      <c r="A164" s="2" t="s">
        <v>1022</v>
      </c>
      <c r="B164" s="2">
        <f>IF('FTE Calc'!E165&gt;0,(('Apprp. Summary'!C166+'Apprp. Summary'!G166)/'FTE Calc'!E165),0)</f>
        <v>0</v>
      </c>
    </row>
    <row r="165" spans="1:2" ht="12.75">
      <c r="A165" s="2" t="s">
        <v>1023</v>
      </c>
      <c r="B165" s="2">
        <f>IF('FTE Calc'!E166&gt;0,(('Apprp. Summary'!C167+'Apprp. Summary'!G167)/'FTE Calc'!E166),0)</f>
        <v>9043.699088824402</v>
      </c>
    </row>
    <row r="166" spans="1:2" ht="12.75">
      <c r="A166" s="2"/>
      <c r="B166" s="2"/>
    </row>
    <row r="167" spans="1:2" ht="12.75">
      <c r="A167" s="2"/>
      <c r="B167" s="2">
        <f>IF('FTE Calc'!E168&gt;0,(('Apprp. Summary'!C169+'Apprp. Summary'!G169)/'FTE Calc'!E168),0)</f>
        <v>5885.535965674728</v>
      </c>
    </row>
    <row r="168" spans="1:2" ht="12.75">
      <c r="A168" s="2"/>
      <c r="B168" s="291" t="s">
        <v>977</v>
      </c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0" t="s">
        <v>552</v>
      </c>
      <c r="B172" s="2" t="s">
        <v>927</v>
      </c>
    </row>
    <row r="173" spans="1:2" ht="12.75">
      <c r="A173" s="2"/>
      <c r="B173" s="2" t="s">
        <v>1014</v>
      </c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 t="s">
        <v>1015</v>
      </c>
      <c r="B176" s="2">
        <f>IF('FTE Calc'!E177&gt;0,(('Apprp. Summary'!C178+'Apprp. Summary'!G178)/'FTE Calc'!E177),0)</f>
        <v>5594.355061063147</v>
      </c>
    </row>
    <row r="177" spans="1:2" ht="12.75">
      <c r="A177" s="2" t="s">
        <v>1016</v>
      </c>
      <c r="B177" s="2">
        <f>IF('FTE Calc'!E178&gt;0,(('Apprp. Summary'!C179+'Apprp. Summary'!G179)/'FTE Calc'!E178),0)</f>
        <v>0</v>
      </c>
    </row>
    <row r="178" spans="1:2" ht="12.75">
      <c r="A178" s="2" t="s">
        <v>1017</v>
      </c>
      <c r="B178" s="2">
        <f>IF('FTE Calc'!E179&gt;0,(('Apprp. Summary'!C180+'Apprp. Summary'!G180)/'FTE Calc'!E179),0)</f>
        <v>2977.331874647401</v>
      </c>
    </row>
    <row r="179" spans="1:2" ht="12.75">
      <c r="A179" s="2" t="s">
        <v>1018</v>
      </c>
      <c r="B179" s="2">
        <f>IF('FTE Calc'!E180&gt;0,(('Apprp. Summary'!C181+'Apprp. Summary'!G181)/'FTE Calc'!E180),0)</f>
        <v>3662.571150137134</v>
      </c>
    </row>
    <row r="180" spans="1:2" ht="12.75">
      <c r="A180" s="2" t="s">
        <v>1019</v>
      </c>
      <c r="B180" s="2">
        <f>IF('FTE Calc'!E181&gt;0,(('Apprp. Summary'!C182+'Apprp. Summary'!G182)/'FTE Calc'!E181),0)</f>
        <v>3762.555113841706</v>
      </c>
    </row>
    <row r="181" spans="1:2" ht="12.75">
      <c r="A181" s="2" t="s">
        <v>1020</v>
      </c>
      <c r="B181" s="2">
        <f>IF('FTE Calc'!E182&gt;0,(('Apprp. Summary'!C183+'Apprp. Summary'!G183)/'FTE Calc'!E182),0)</f>
        <v>3668.6274306657256</v>
      </c>
    </row>
    <row r="182" spans="1:2" ht="12.75">
      <c r="A182" s="2" t="s">
        <v>1021</v>
      </c>
      <c r="B182" s="2">
        <f>IF('FTE Calc'!E183&gt;0,(('Apprp. Summary'!C184+'Apprp. Summary'!G184)/'FTE Calc'!E183),0)</f>
        <v>3213.082904332904</v>
      </c>
    </row>
    <row r="183" spans="1:2" ht="12.75">
      <c r="A183" s="2" t="s">
        <v>1022</v>
      </c>
      <c r="B183" s="2">
        <f>IF('FTE Calc'!E184&gt;0,(('Apprp. Summary'!C185+'Apprp. Summary'!G185)/'FTE Calc'!E184),0)</f>
        <v>0</v>
      </c>
    </row>
    <row r="184" spans="1:2" ht="12.75">
      <c r="A184" s="2" t="s">
        <v>1023</v>
      </c>
      <c r="B184" s="2">
        <f>IF('FTE Calc'!E185&gt;0,(('Apprp. Summary'!C186+'Apprp. Summary'!G186)/'FTE Calc'!E185),0)</f>
        <v>736.191698936719</v>
      </c>
    </row>
    <row r="185" spans="1:2" ht="12.75">
      <c r="A185" s="2"/>
      <c r="B185" s="2"/>
    </row>
    <row r="186" spans="1:2" ht="12.75">
      <c r="A186" s="2"/>
      <c r="B186" s="2">
        <f>IF('FTE Calc'!E187&gt;0,(('Apprp. Summary'!C188+'Apprp. Summary'!G188)/'FTE Calc'!E187),0)</f>
        <v>3699.9661477534255</v>
      </c>
    </row>
    <row r="187" spans="1:2" ht="12.75">
      <c r="A187" s="2"/>
      <c r="B187" s="291" t="s">
        <v>977</v>
      </c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0" t="s">
        <v>584</v>
      </c>
      <c r="B191" s="2" t="s">
        <v>927</v>
      </c>
    </row>
    <row r="192" spans="1:2" ht="12.75">
      <c r="A192" s="2"/>
      <c r="B192" s="2" t="s">
        <v>1014</v>
      </c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 t="s">
        <v>1015</v>
      </c>
      <c r="B195" s="2">
        <f>IF('FTE Calc'!E196&gt;0,(('Apprp. Summary'!C197+'Apprp. Summary'!G197)/'FTE Calc'!E196),0)</f>
        <v>5542.444070260244</v>
      </c>
    </row>
    <row r="196" spans="1:2" ht="12.75">
      <c r="A196" s="2" t="s">
        <v>1016</v>
      </c>
      <c r="B196" s="2">
        <f>IF('FTE Calc'!E197&gt;0,(('Apprp. Summary'!C198+'Apprp. Summary'!G198)/'FTE Calc'!E197),0)</f>
        <v>5646.168244255313</v>
      </c>
    </row>
    <row r="197" spans="1:2" ht="12.75">
      <c r="A197" s="2" t="s">
        <v>1017</v>
      </c>
      <c r="B197" s="2">
        <f>IF('FTE Calc'!E198&gt;0,(('Apprp. Summary'!C199+'Apprp. Summary'!G199)/'FTE Calc'!E198),0)</f>
        <v>4312.539846971775</v>
      </c>
    </row>
    <row r="198" spans="1:2" ht="12.75">
      <c r="A198" s="2" t="s">
        <v>1018</v>
      </c>
      <c r="B198" s="2">
        <f>IF('FTE Calc'!E199&gt;0,(('Apprp. Summary'!C200+'Apprp. Summary'!G200)/'FTE Calc'!E199),0)</f>
        <v>3068.0433028937605</v>
      </c>
    </row>
    <row r="199" spans="1:2" ht="12.75">
      <c r="A199" s="2" t="s">
        <v>1019</v>
      </c>
      <c r="B199" s="2">
        <f>IF('FTE Calc'!E200&gt;0,(('Apprp. Summary'!C201+'Apprp. Summary'!G201)/'FTE Calc'!E200),0)</f>
        <v>4260.988814009381</v>
      </c>
    </row>
    <row r="200" spans="1:2" ht="12.75">
      <c r="A200" s="2" t="s">
        <v>1020</v>
      </c>
      <c r="B200" s="2">
        <f>IF('FTE Calc'!E201&gt;0,(('Apprp. Summary'!C202+'Apprp. Summary'!G202)/'FTE Calc'!E201),0)</f>
        <v>3517.667984045909</v>
      </c>
    </row>
    <row r="201" spans="1:2" ht="12.75">
      <c r="A201" s="2" t="s">
        <v>1021</v>
      </c>
      <c r="B201" s="2">
        <f>IF('FTE Calc'!E202&gt;0,(('Apprp. Summary'!C203+'Apprp. Summary'!G203)/'FTE Calc'!E202),0)</f>
        <v>3761.1629556187427</v>
      </c>
    </row>
    <row r="202" spans="1:2" ht="12.75">
      <c r="A202" s="2" t="s">
        <v>1022</v>
      </c>
      <c r="B202" s="2">
        <f>IF('FTE Calc'!E203&gt;0,(('Apprp. Summary'!C204+'Apprp. Summary'!G204)/'FTE Calc'!E203),0)</f>
        <v>0</v>
      </c>
    </row>
    <row r="203" spans="1:2" ht="12.75">
      <c r="A203" s="2" t="s">
        <v>1023</v>
      </c>
      <c r="B203" s="2">
        <f>IF('FTE Calc'!E204&gt;0,(('Apprp. Summary'!C205+'Apprp. Summary'!G205)/'FTE Calc'!E204),0)</f>
        <v>5633.138582774119</v>
      </c>
    </row>
    <row r="204" spans="1:2" ht="12.75">
      <c r="A204" s="2"/>
      <c r="B204" s="2"/>
    </row>
    <row r="205" spans="1:2" ht="12.75">
      <c r="A205" s="2"/>
      <c r="B205" s="2">
        <f>IF('FTE Calc'!E206&gt;0,(('Apprp. Summary'!C207+'Apprp. Summary'!G207)/'FTE Calc'!E206),0)</f>
        <v>4299.378248782852</v>
      </c>
    </row>
    <row r="206" spans="1:2" ht="12.75">
      <c r="A206" s="2"/>
      <c r="B206" s="291" t="s">
        <v>977</v>
      </c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0" t="s">
        <v>618</v>
      </c>
      <c r="B210" s="2" t="s">
        <v>927</v>
      </c>
    </row>
    <row r="211" spans="1:2" ht="12.75">
      <c r="A211" s="2"/>
      <c r="B211" s="2" t="s">
        <v>1014</v>
      </c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 t="s">
        <v>1015</v>
      </c>
      <c r="B214" s="2">
        <f>IF('FTE Calc'!E215&gt;0,(('Apprp. Summary'!C216+'Apprp. Summary'!G216)/'FTE Calc'!E215),0)</f>
        <v>6976.935730309092</v>
      </c>
    </row>
    <row r="215" spans="1:2" ht="12.75">
      <c r="A215" s="2" t="s">
        <v>1016</v>
      </c>
      <c r="B215" s="2">
        <f>IF('FTE Calc'!E216&gt;0,(('Apprp. Summary'!C217+'Apprp. Summary'!G217)/'FTE Calc'!E216),0)</f>
        <v>5772.224986835776</v>
      </c>
    </row>
    <row r="216" spans="1:2" ht="12.75">
      <c r="A216" s="2" t="s">
        <v>1017</v>
      </c>
      <c r="B216" s="2">
        <f>IF('FTE Calc'!E217&gt;0,(('Apprp. Summary'!C218+'Apprp. Summary'!G218)/'FTE Calc'!E217),0)</f>
        <v>4436.923615798646</v>
      </c>
    </row>
    <row r="217" spans="1:2" ht="12.75">
      <c r="A217" s="2" t="s">
        <v>1018</v>
      </c>
      <c r="B217" s="2">
        <f>IF('FTE Calc'!E218&gt;0,(('Apprp. Summary'!C219+'Apprp. Summary'!G219)/'FTE Calc'!E218),0)</f>
        <v>4946.008133155906</v>
      </c>
    </row>
    <row r="218" spans="1:2" ht="12.75">
      <c r="A218" s="2" t="s">
        <v>1019</v>
      </c>
      <c r="B218" s="2">
        <f>IF('FTE Calc'!E219&gt;0,(('Apprp. Summary'!C220+'Apprp. Summary'!G220)/'FTE Calc'!E219),0)</f>
        <v>4673.239238507907</v>
      </c>
    </row>
    <row r="219" spans="1:2" ht="12.75">
      <c r="A219" s="2" t="s">
        <v>1020</v>
      </c>
      <c r="B219" s="2">
        <f>IF('FTE Calc'!E220&gt;0,(('Apprp. Summary'!C221+'Apprp. Summary'!G221)/'FTE Calc'!E220),0)</f>
        <v>0</v>
      </c>
    </row>
    <row r="220" spans="1:2" ht="12.75">
      <c r="A220" s="2" t="s">
        <v>1021</v>
      </c>
      <c r="B220" s="2">
        <f>IF('FTE Calc'!E221&gt;0,(('Apprp. Summary'!C222+'Apprp. Summary'!G222)/'FTE Calc'!E221),0)</f>
        <v>3386.7921954717676</v>
      </c>
    </row>
    <row r="221" spans="1:2" ht="12.75">
      <c r="A221" s="2" t="s">
        <v>1022</v>
      </c>
      <c r="B221" s="2">
        <f>IF('FTE Calc'!E222&gt;0,(('Apprp. Summary'!C223+'Apprp. Summary'!G223)/'FTE Calc'!E222),0)</f>
        <v>5900.613638394517</v>
      </c>
    </row>
    <row r="222" spans="1:2" ht="12.75">
      <c r="A222" s="2" t="s">
        <v>1023</v>
      </c>
      <c r="B222" s="2">
        <f>IF('FTE Calc'!E223&gt;0,(('Apprp. Summary'!C224+'Apprp. Summary'!G224)/'FTE Calc'!E223),0)</f>
        <v>56807.0439934451</v>
      </c>
    </row>
    <row r="223" spans="1:2" ht="12.75">
      <c r="A223" s="2"/>
      <c r="B223" s="2"/>
    </row>
    <row r="224" spans="1:2" ht="12.75">
      <c r="A224" s="2"/>
      <c r="B224" s="2">
        <f>IF('FTE Calc'!E225&gt;0,(('Apprp. Summary'!C226+'Apprp. Summary'!G226)/'FTE Calc'!E225),0)</f>
        <v>4796.909327458916</v>
      </c>
    </row>
    <row r="225" spans="1:2" ht="12.75">
      <c r="A225" s="2"/>
      <c r="B225" s="291" t="s">
        <v>977</v>
      </c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0" t="s">
        <v>673</v>
      </c>
      <c r="B229" s="2" t="s">
        <v>927</v>
      </c>
    </row>
    <row r="230" spans="1:2" ht="12.75">
      <c r="A230" s="2"/>
      <c r="B230" s="2" t="s">
        <v>1014</v>
      </c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 t="s">
        <v>1015</v>
      </c>
      <c r="B233" s="2">
        <f>IF('FTE Calc'!E234&gt;0,(('Apprp. Summary'!C235+'Apprp. Summary'!G235)/'FTE Calc'!E234),0)</f>
        <v>6193.525296737918</v>
      </c>
    </row>
    <row r="234" spans="1:2" ht="12.75">
      <c r="A234" s="2" t="s">
        <v>1016</v>
      </c>
      <c r="B234" s="2">
        <f>IF('FTE Calc'!E235&gt;0,(('Apprp. Summary'!C236+'Apprp. Summary'!G236)/'FTE Calc'!E235),0)</f>
        <v>5493.833072156281</v>
      </c>
    </row>
    <row r="235" spans="1:2" ht="12.75">
      <c r="A235" s="2" t="s">
        <v>1017</v>
      </c>
      <c r="B235" s="2">
        <f>IF('FTE Calc'!E236&gt;0,(('Apprp. Summary'!C237+'Apprp. Summary'!G237)/'FTE Calc'!E236),0)</f>
        <v>4259.663495071628</v>
      </c>
    </row>
    <row r="236" spans="1:2" ht="12.75">
      <c r="A236" s="2" t="s">
        <v>1018</v>
      </c>
      <c r="B236" s="2">
        <f>IF('FTE Calc'!E237&gt;0,(('Apprp. Summary'!C238+'Apprp. Summary'!G238)/'FTE Calc'!E237),0)</f>
        <v>4161.261646877864</v>
      </c>
    </row>
    <row r="237" spans="1:2" ht="12.75">
      <c r="A237" s="2" t="s">
        <v>1019</v>
      </c>
      <c r="B237" s="2">
        <f>IF('FTE Calc'!E238&gt;0,(('Apprp. Summary'!C239+'Apprp. Summary'!G239)/'FTE Calc'!E238),0)</f>
        <v>7174.799555750352</v>
      </c>
    </row>
    <row r="238" spans="1:2" ht="12.75">
      <c r="A238" s="2" t="s">
        <v>1020</v>
      </c>
      <c r="B238" s="2">
        <f>IF('FTE Calc'!E239&gt;0,(('Apprp. Summary'!C240+'Apprp. Summary'!G240)/'FTE Calc'!E239),0)</f>
        <v>3747.6021614152833</v>
      </c>
    </row>
    <row r="239" spans="1:2" ht="12.75">
      <c r="A239" s="2" t="s">
        <v>1021</v>
      </c>
      <c r="B239" s="2">
        <f>IF('FTE Calc'!E240&gt;0,(('Apprp. Summary'!C241+'Apprp. Summary'!G241)/'FTE Calc'!E240),0)</f>
        <v>3591.7673940635277</v>
      </c>
    </row>
    <row r="240" spans="1:2" ht="12.75">
      <c r="A240" s="2" t="s">
        <v>1022</v>
      </c>
      <c r="B240" s="2">
        <f>IF('FTE Calc'!E241&gt;0,(('Apprp. Summary'!C242+'Apprp. Summary'!G242)/'FTE Calc'!E241),0)</f>
        <v>0</v>
      </c>
    </row>
    <row r="241" spans="1:2" ht="12.75">
      <c r="A241" s="2" t="s">
        <v>1023</v>
      </c>
      <c r="B241" s="2">
        <f>IF('FTE Calc'!E242&gt;0,(('Apprp. Summary'!C243+'Apprp. Summary'!G243)/'FTE Calc'!E242),0)</f>
        <v>0</v>
      </c>
    </row>
    <row r="242" spans="1:2" ht="12.75">
      <c r="A242" s="2"/>
      <c r="B242" s="2"/>
    </row>
    <row r="243" spans="1:2" ht="12.75">
      <c r="A243" s="2"/>
      <c r="B243" s="2">
        <f>IF('FTE Calc'!E244&gt;0,(('Apprp. Summary'!C245+'Apprp. Summary'!G245)/'FTE Calc'!E244),0)</f>
        <v>3787.7661585647666</v>
      </c>
    </row>
    <row r="244" spans="1:2" ht="12.75">
      <c r="A244" s="2"/>
      <c r="B244" s="291" t="s">
        <v>977</v>
      </c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0" t="s">
        <v>887</v>
      </c>
      <c r="B248" s="2" t="s">
        <v>927</v>
      </c>
    </row>
    <row r="249" spans="1:2" ht="12.75">
      <c r="A249" s="2"/>
      <c r="B249" s="2" t="s">
        <v>1014</v>
      </c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 t="s">
        <v>1015</v>
      </c>
      <c r="B252" s="2">
        <f>IF('FTE Calc'!E253&gt;0,(('Apprp. Summary'!C254+'Apprp. Summary'!G254)/'FTE Calc'!E253),0)</f>
        <v>4793.219324683277</v>
      </c>
    </row>
    <row r="253" spans="1:2" ht="12.75">
      <c r="A253" s="2" t="s">
        <v>1016</v>
      </c>
      <c r="B253" s="2">
        <f>IF('FTE Calc'!E254&gt;0,(('Apprp. Summary'!C255+'Apprp. Summary'!G255)/'FTE Calc'!E254),0)</f>
        <v>4417.301860212582</v>
      </c>
    </row>
    <row r="254" spans="1:2" ht="12.75">
      <c r="A254" s="2" t="s">
        <v>1017</v>
      </c>
      <c r="B254" s="2">
        <f>IF('FTE Calc'!E255&gt;0,(('Apprp. Summary'!C256+'Apprp. Summary'!G256)/'FTE Calc'!E255),0)</f>
        <v>3240.3879697240195</v>
      </c>
    </row>
    <row r="255" spans="1:2" ht="12.75">
      <c r="A255" s="2" t="s">
        <v>1018</v>
      </c>
      <c r="B255" s="2">
        <f>IF('FTE Calc'!E256&gt;0,(('Apprp. Summary'!C257+'Apprp. Summary'!G257)/'FTE Calc'!E256),0)</f>
        <v>3608.8366480857017</v>
      </c>
    </row>
    <row r="256" spans="1:2" ht="12.75">
      <c r="A256" s="2" t="s">
        <v>1019</v>
      </c>
      <c r="B256" s="2">
        <f>IF('FTE Calc'!E257&gt;0,(('Apprp. Summary'!C258+'Apprp. Summary'!G258)/'FTE Calc'!E257),0)</f>
        <v>3545.1779495584406</v>
      </c>
    </row>
    <row r="257" spans="1:2" ht="12.75">
      <c r="A257" s="2" t="s">
        <v>1020</v>
      </c>
      <c r="B257" s="2">
        <f>IF('FTE Calc'!E258&gt;0,(('Apprp. Summary'!C259+'Apprp. Summary'!G259)/'FTE Calc'!E258),0)</f>
        <v>3730.4634617807674</v>
      </c>
    </row>
    <row r="258" spans="1:2" ht="12.75">
      <c r="A258" s="2" t="s">
        <v>1021</v>
      </c>
      <c r="B258" s="2">
        <f>IF('FTE Calc'!E259&gt;0,(('Apprp. Summary'!C260+'Apprp. Summary'!G260)/'FTE Calc'!E259),0)</f>
        <v>2868.23443278724</v>
      </c>
    </row>
    <row r="259" spans="1:2" ht="12.75">
      <c r="A259" s="2" t="s">
        <v>1022</v>
      </c>
      <c r="B259" s="2">
        <f>IF('FTE Calc'!E260&gt;0,(('Apprp. Summary'!C261+'Apprp. Summary'!G261)/'FTE Calc'!E260),0)</f>
        <v>0</v>
      </c>
    </row>
    <row r="260" spans="1:2" ht="12.75">
      <c r="A260" s="2" t="s">
        <v>1023</v>
      </c>
      <c r="B260" s="2">
        <f>IF('FTE Calc'!E261&gt;0,(('Apprp. Summary'!C262+'Apprp. Summary'!G262)/'FTE Calc'!E261),0)</f>
        <v>4079.6899869452095</v>
      </c>
    </row>
    <row r="261" spans="1:2" ht="12.75">
      <c r="A261" s="2"/>
      <c r="B261" s="2"/>
    </row>
    <row r="262" spans="1:2" ht="12.75">
      <c r="A262" s="2"/>
      <c r="B262" s="2">
        <f>IF('FTE Calc'!E263&gt;0,(('Apprp. Summary'!C264+'Apprp. Summary'!G264)/'FTE Calc'!E263),0)</f>
        <v>3788.5194543675907</v>
      </c>
    </row>
    <row r="263" spans="1:2" ht="12.75">
      <c r="A263" s="2"/>
      <c r="B263" s="291" t="s">
        <v>977</v>
      </c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0" t="s">
        <v>905</v>
      </c>
      <c r="B267" s="2" t="s">
        <v>927</v>
      </c>
    </row>
    <row r="268" spans="1:2" ht="12.75">
      <c r="A268" s="2"/>
      <c r="B268" s="2" t="s">
        <v>1014</v>
      </c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 t="s">
        <v>1015</v>
      </c>
      <c r="B271" s="2">
        <f>IF('FTE Calc'!E272&gt;0,(('Apprp. Summary'!C273+'Apprp. Summary'!G273)/'FTE Calc'!E272),0)</f>
        <v>4349.047766031673</v>
      </c>
    </row>
    <row r="272" spans="1:2" ht="12.75">
      <c r="A272" s="2" t="s">
        <v>1016</v>
      </c>
      <c r="B272" s="2">
        <f>IF('FTE Calc'!E273&gt;0,(('Apprp. Summary'!C274+'Apprp. Summary'!G274)/'FTE Calc'!E273),0)</f>
        <v>0</v>
      </c>
    </row>
    <row r="273" spans="1:2" ht="12.75">
      <c r="A273" s="2" t="s">
        <v>1017</v>
      </c>
      <c r="B273" s="2">
        <f>IF('FTE Calc'!E274&gt;0,(('Apprp. Summary'!C275+'Apprp. Summary'!G275)/'FTE Calc'!E274),0)</f>
        <v>3456.6874977825755</v>
      </c>
    </row>
    <row r="274" spans="1:2" ht="12.75">
      <c r="A274" s="2" t="s">
        <v>1018</v>
      </c>
      <c r="B274" s="2">
        <f>IF('FTE Calc'!E275&gt;0,(('Apprp. Summary'!C276+'Apprp. Summary'!G276)/'FTE Calc'!E275),0)</f>
        <v>0</v>
      </c>
    </row>
    <row r="275" spans="1:2" ht="12.75">
      <c r="A275" s="2" t="s">
        <v>1019</v>
      </c>
      <c r="B275" s="2">
        <f>IF('FTE Calc'!E276&gt;0,(('Apprp. Summary'!C277+'Apprp. Summary'!G277)/'FTE Calc'!E276),0)</f>
        <v>0</v>
      </c>
    </row>
    <row r="276" spans="1:2" ht="12.75">
      <c r="A276" s="2" t="s">
        <v>1020</v>
      </c>
      <c r="B276" s="2">
        <f>IF('FTE Calc'!E277&gt;0,(('Apprp. Summary'!C278+'Apprp. Summary'!G278)/'FTE Calc'!E277),0)</f>
        <v>3475.9340532693177</v>
      </c>
    </row>
    <row r="277" spans="1:2" ht="12.75">
      <c r="A277" s="2" t="s">
        <v>1021</v>
      </c>
      <c r="B277" s="2">
        <f>IF('FTE Calc'!E278&gt;0,(('Apprp. Summary'!C279+'Apprp. Summary'!G279)/'FTE Calc'!E278),0)</f>
        <v>2940.2746119924404</v>
      </c>
    </row>
    <row r="278" spans="1:2" ht="12.75">
      <c r="A278" s="2" t="s">
        <v>1022</v>
      </c>
      <c r="B278" s="2">
        <f>IF('FTE Calc'!E279&gt;0,(('Apprp. Summary'!C280+'Apprp. Summary'!G280)/'FTE Calc'!E279),0)</f>
        <v>0</v>
      </c>
    </row>
    <row r="279" spans="1:2" ht="12.75">
      <c r="A279" s="2" t="s">
        <v>1023</v>
      </c>
      <c r="B279" s="2">
        <f>IF('FTE Calc'!E280&gt;0,(('Apprp. Summary'!C281+'Apprp. Summary'!G281)/'FTE Calc'!E280),0)</f>
        <v>4945.0972200506585</v>
      </c>
    </row>
    <row r="280" spans="1:2" ht="12.75">
      <c r="A280" s="2"/>
      <c r="B280" s="2"/>
    </row>
    <row r="281" spans="1:2" ht="12.75">
      <c r="A281" s="2"/>
      <c r="B281" s="2">
        <f>IF('FTE Calc'!E282&gt;0,(('Apprp. Summary'!C283+'Apprp. Summary'!G283)/'FTE Calc'!E282),0)</f>
        <v>3608.4786922506837</v>
      </c>
    </row>
    <row r="282" spans="1:2" ht="12.75">
      <c r="A282" s="2"/>
      <c r="B282" s="291" t="s">
        <v>977</v>
      </c>
    </row>
    <row r="283" spans="1:2" ht="12.75">
      <c r="A283" s="2"/>
      <c r="B283" s="291" t="s">
        <v>996</v>
      </c>
    </row>
    <row r="284" spans="1:2" ht="12.75">
      <c r="A284" s="2"/>
      <c r="B284" s="2"/>
    </row>
    <row r="285" spans="1:2" ht="12.75">
      <c r="A285" s="291" t="s">
        <v>996</v>
      </c>
      <c r="B285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6" manualBreakCount="6">
    <brk id="39" max="255" man="1"/>
    <brk id="40" max="255" man="1"/>
    <brk id="80" max="255" man="1"/>
    <brk id="120" max="255" man="1"/>
    <brk id="160" max="255" man="1"/>
    <brk id="200" max="255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34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cols>
    <col min="2" max="7" width="6.66015625" style="0" customWidth="1"/>
    <col min="8" max="8" width="7.66015625" style="0" customWidth="1"/>
    <col min="9" max="9" width="6.66015625" style="0" customWidth="1"/>
    <col min="10" max="10" width="8.66015625" style="0" customWidth="1"/>
  </cols>
  <sheetData>
    <row r="1" spans="1:10" ht="10.5" customHeight="1">
      <c r="A1" s="207" t="s">
        <v>1025</v>
      </c>
      <c r="B1" s="132"/>
      <c r="C1" s="132"/>
      <c r="D1" s="132"/>
      <c r="E1" s="132"/>
      <c r="F1" s="132"/>
      <c r="G1" s="208"/>
      <c r="H1" s="132"/>
      <c r="I1" s="208"/>
      <c r="J1" s="132"/>
    </row>
    <row r="2" spans="1:10" ht="10.5" customHeight="1">
      <c r="A2" s="209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0.5" customHeight="1">
      <c r="A3" s="207" t="s">
        <v>1026</v>
      </c>
      <c r="B3" s="132"/>
      <c r="C3" s="132"/>
      <c r="D3" s="132"/>
      <c r="E3" s="132"/>
      <c r="F3" s="132"/>
      <c r="G3" s="208"/>
      <c r="H3" s="132"/>
      <c r="I3" s="208"/>
      <c r="J3" s="132"/>
    </row>
    <row r="4" spans="1:10" ht="10.5" customHeight="1">
      <c r="A4" s="207" t="s">
        <v>1027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0.5" customHeight="1">
      <c r="A5" s="207" t="s">
        <v>930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3.7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7.5" customHeight="1">
      <c r="A7" s="210"/>
      <c r="B7" s="141" t="s">
        <v>1028</v>
      </c>
      <c r="C7" s="141"/>
      <c r="D7" s="141"/>
      <c r="E7" s="141"/>
      <c r="F7" s="141"/>
      <c r="G7" s="142"/>
      <c r="H7" s="129" t="s">
        <v>1029</v>
      </c>
      <c r="I7" s="127"/>
      <c r="J7" s="125"/>
    </row>
    <row r="8" spans="1:10" ht="7.5" customHeight="1">
      <c r="A8" s="145"/>
      <c r="B8" s="128" t="s">
        <v>1030</v>
      </c>
      <c r="C8" s="128" t="s">
        <v>1031</v>
      </c>
      <c r="D8" s="128" t="s">
        <v>1032</v>
      </c>
      <c r="E8" s="128" t="s">
        <v>1033</v>
      </c>
      <c r="F8" s="128" t="s">
        <v>1034</v>
      </c>
      <c r="G8" s="138" t="s">
        <v>1035</v>
      </c>
      <c r="H8" s="128" t="s">
        <v>1036</v>
      </c>
      <c r="I8" s="211" t="s">
        <v>1037</v>
      </c>
      <c r="J8" s="137" t="s">
        <v>60</v>
      </c>
    </row>
    <row r="9" spans="1:10" ht="9.75">
      <c r="A9" s="210" t="s">
        <v>1038</v>
      </c>
      <c r="B9" s="212">
        <f aca="true" t="shared" si="0" ref="B9:J9">SUM(B11:B29)</f>
        <v>483926</v>
      </c>
      <c r="C9" s="212">
        <f t="shared" si="0"/>
        <v>207404</v>
      </c>
      <c r="D9" s="212">
        <f t="shared" si="0"/>
        <v>374373</v>
      </c>
      <c r="E9" s="212">
        <f t="shared" si="0"/>
        <v>203037</v>
      </c>
      <c r="F9" s="212">
        <f t="shared" si="0"/>
        <v>110135</v>
      </c>
      <c r="G9" s="213">
        <f t="shared" si="0"/>
        <v>89360</v>
      </c>
      <c r="H9" s="212">
        <f t="shared" si="0"/>
        <v>1036052</v>
      </c>
      <c r="I9" s="213">
        <f t="shared" si="0"/>
        <v>43256</v>
      </c>
      <c r="J9" s="212">
        <f t="shared" si="0"/>
        <v>2547543</v>
      </c>
    </row>
    <row r="10" spans="1:10" ht="3.75" customHeight="1">
      <c r="A10" s="35"/>
      <c r="B10" s="143"/>
      <c r="C10" s="143"/>
      <c r="D10" s="143"/>
      <c r="E10" s="143"/>
      <c r="F10" s="143"/>
      <c r="G10" s="144"/>
      <c r="H10" s="143"/>
      <c r="I10" s="144"/>
      <c r="J10" s="143"/>
    </row>
    <row r="11" spans="1:10" ht="9.75">
      <c r="A11" s="35" t="s">
        <v>1039</v>
      </c>
      <c r="B11" s="143">
        <f>ROUND(+'FTE Calc'!B6,0)</f>
        <v>33066</v>
      </c>
      <c r="C11" s="143">
        <f>ROUND(+'FTE Calc'!B7,0)</f>
        <v>9152</v>
      </c>
      <c r="D11" s="143">
        <f>ROUND(+'FTE Calc'!B8,0)</f>
        <v>22310</v>
      </c>
      <c r="E11" s="143">
        <f>ROUND(+'FTE Calc'!B9,0)</f>
        <v>14342</v>
      </c>
      <c r="F11" s="143">
        <f>ROUND(+'FTE Calc'!B10,0)</f>
        <v>12853</v>
      </c>
      <c r="G11" s="144">
        <f>ROUND(+'FTE Calc'!B11,0)</f>
        <v>2697</v>
      </c>
      <c r="H11" s="143">
        <f>ROUND(+'FTE Calc'!B12,0)</f>
        <v>61426</v>
      </c>
      <c r="I11" s="144">
        <f>ROUND(+'FTE Calc'!B13,0)</f>
        <v>7732</v>
      </c>
      <c r="J11" s="143">
        <f>SUM(B11:I11)</f>
        <v>163578</v>
      </c>
    </row>
    <row r="12" spans="1:10" ht="9.75">
      <c r="A12" s="35" t="s">
        <v>1040</v>
      </c>
      <c r="B12" s="143">
        <f>ROUND(+'FTE Calc'!B25,0)</f>
        <v>11041</v>
      </c>
      <c r="C12" s="143">
        <f>(ROUND(+'FTE Calc'!B26,0))</f>
        <v>0</v>
      </c>
      <c r="D12" s="143">
        <f>ROUND(+'FTE Calc'!B27,0)</f>
        <v>22016</v>
      </c>
      <c r="E12" s="143">
        <f>ROUND(+'FTE Calc'!B28,0)</f>
        <v>0</v>
      </c>
      <c r="F12" s="143">
        <f>ROUND(+'FTE Calc'!B29,0)</f>
        <v>7033</v>
      </c>
      <c r="G12" s="144">
        <f>ROUND(+'FTE Calc'!B30,0)</f>
        <v>7233</v>
      </c>
      <c r="H12" s="143">
        <f>ROUND(+'FTE Calc'!B31,0)</f>
        <v>19817</v>
      </c>
      <c r="I12" s="144">
        <f>ROUND(+'FTE Calc'!B32,0)</f>
        <v>0</v>
      </c>
      <c r="J12" s="143">
        <f>SUM(B12:I12)</f>
        <v>67140</v>
      </c>
    </row>
    <row r="13" spans="1:10" ht="9.75">
      <c r="A13" s="35" t="s">
        <v>1041</v>
      </c>
      <c r="B13" s="143">
        <f>ROUND(+'FTE Calc'!B44,0)</f>
        <v>69169</v>
      </c>
      <c r="C13" s="143">
        <f>ROUND(+'FTE Calc'!B45,0)</f>
        <v>30125</v>
      </c>
      <c r="D13" s="143">
        <f>ROUND(+'FTE Calc'!B46,0)</f>
        <v>23231</v>
      </c>
      <c r="E13" s="143">
        <f>ROUND(+'FTE Calc'!B47,0)</f>
        <v>15542</v>
      </c>
      <c r="F13" s="143">
        <f>ROUND(+'FTE Calc'!B48,0)</f>
        <v>0</v>
      </c>
      <c r="G13" s="144">
        <f>ROUND(+'FTE Calc'!B49,0)</f>
        <v>0</v>
      </c>
      <c r="H13" s="143">
        <f>ROUND(+'FTE Calc'!B50,0)</f>
        <v>180682</v>
      </c>
      <c r="I13" s="144">
        <f>ROUND(+'FTE Calc'!B51,0)</f>
        <v>0</v>
      </c>
      <c r="J13" s="143">
        <f>SUM(B13:I13)</f>
        <v>318749</v>
      </c>
    </row>
    <row r="14" spans="1:10" ht="3.75" customHeight="1">
      <c r="A14" s="35"/>
      <c r="B14" s="143"/>
      <c r="C14" s="143"/>
      <c r="D14" s="143"/>
      <c r="E14" s="143"/>
      <c r="F14" s="143"/>
      <c r="G14" s="144"/>
      <c r="H14" s="143"/>
      <c r="I14" s="144"/>
      <c r="J14" s="143"/>
    </row>
    <row r="15" spans="1:10" ht="9.75">
      <c r="A15" s="35" t="s">
        <v>1042</v>
      </c>
      <c r="B15" s="143">
        <f>ROUND(+'FTE Calc'!B63,0)</f>
        <v>36856</v>
      </c>
      <c r="C15" s="143">
        <f>ROUND(+'FTE Calc'!B64,0)</f>
        <v>10053</v>
      </c>
      <c r="D15" s="143">
        <f>ROUND(+'FTE Calc'!B65,0)</f>
        <v>12882</v>
      </c>
      <c r="E15" s="143">
        <f>ROUND(+'FTE Calc'!B66,0)</f>
        <v>21558</v>
      </c>
      <c r="F15" s="143">
        <f>ROUND(+'FTE Calc'!B67,0)</f>
        <v>25814</v>
      </c>
      <c r="G15" s="144">
        <f>ROUND(+'FTE Calc'!B68,0)</f>
        <v>10933</v>
      </c>
      <c r="H15" s="143">
        <f>ROUND(+'FTE Calc'!B69,0)</f>
        <v>34606</v>
      </c>
      <c r="I15" s="144">
        <f>ROUND(+'FTE Calc'!B70,0)</f>
        <v>35524</v>
      </c>
      <c r="J15" s="143">
        <f>SUM(B15:I15)</f>
        <v>188226</v>
      </c>
    </row>
    <row r="16" spans="1:10" ht="9.75">
      <c r="A16" s="35" t="s">
        <v>1043</v>
      </c>
      <c r="B16" s="143">
        <f>ROUND(+'FTE Calc'!B82,0)</f>
        <v>15278</v>
      </c>
      <c r="C16" s="143">
        <f>ROUND(+'FTE Calc'!B83,0)</f>
        <v>11205</v>
      </c>
      <c r="D16" s="143">
        <f>ROUND(+'FTE Calc'!B84,0)</f>
        <v>29293</v>
      </c>
      <c r="E16" s="143">
        <f>ROUND(+'FTE Calc'!B85,0)</f>
        <v>6325</v>
      </c>
      <c r="F16" s="143">
        <f>ROUND(+'FTE Calc'!B86,0)</f>
        <v>8023</v>
      </c>
      <c r="G16" s="144">
        <f>ROUND(+'FTE Calc'!B87,0)</f>
        <v>2065</v>
      </c>
      <c r="H16" s="143">
        <f>ROUND(+'FTE Calc'!B88,0)</f>
        <v>27820</v>
      </c>
      <c r="I16" s="144">
        <f>ROUND(+'FTE Calc'!B89,0)</f>
        <v>0</v>
      </c>
      <c r="J16" s="143">
        <f>SUM(B16:I16)</f>
        <v>100009</v>
      </c>
    </row>
    <row r="17" spans="1:10" ht="9.75">
      <c r="A17" s="35" t="s">
        <v>1044</v>
      </c>
      <c r="B17" s="143">
        <f>ROUND(+'FTE Calc'!B101,0)</f>
        <v>20062</v>
      </c>
      <c r="C17" s="143">
        <f>ROUND(+'FTE Calc'!B102,0)</f>
        <v>23005</v>
      </c>
      <c r="D17" s="143">
        <f>ROUND(+'FTE Calc'!B103,0)</f>
        <v>33780</v>
      </c>
      <c r="E17" s="143">
        <f>ROUND(+'FTE Calc'!B104,0)</f>
        <v>26743</v>
      </c>
      <c r="F17" s="143">
        <f>ROUND(+'FTE Calc'!B105,0)</f>
        <v>12302</v>
      </c>
      <c r="G17" s="144">
        <f>ROUND(+'FTE Calc'!B106,0)</f>
        <v>0</v>
      </c>
      <c r="H17" s="143">
        <f>ROUND(+'FTE Calc'!B107,0)</f>
        <v>15555</v>
      </c>
      <c r="I17" s="144">
        <f>ROUND(+'FTE Calc'!B108,0)</f>
        <v>0</v>
      </c>
      <c r="J17" s="143">
        <f>SUM(B17:I17)</f>
        <v>131447</v>
      </c>
    </row>
    <row r="18" spans="1:10" ht="3.75" customHeight="1">
      <c r="A18" s="35"/>
      <c r="B18" s="143"/>
      <c r="C18" s="143"/>
      <c r="D18" s="143"/>
      <c r="E18" s="143"/>
      <c r="F18" s="143"/>
      <c r="G18" s="144"/>
      <c r="H18" s="143"/>
      <c r="I18" s="144"/>
      <c r="J18" s="143"/>
    </row>
    <row r="19" spans="1:10" ht="9.75">
      <c r="A19" s="35" t="s">
        <v>1045</v>
      </c>
      <c r="B19" s="143">
        <f>ROUND(+'FTE Calc'!B120,0)</f>
        <v>22903</v>
      </c>
      <c r="C19" s="143">
        <f>ROUND(+'FTE Calc'!B121,0)</f>
        <v>7451</v>
      </c>
      <c r="D19" s="143">
        <f>ROUND(+'FTE Calc'!B122,0)</f>
        <v>0</v>
      </c>
      <c r="E19" s="143">
        <f>ROUND(+'FTE Calc'!B123,0)</f>
        <v>28974</v>
      </c>
      <c r="F19" s="143">
        <f>ROUND(+'FTE Calc'!B124,0)</f>
        <v>5136</v>
      </c>
      <c r="G19" s="144">
        <f>ROUND(+'FTE Calc'!B125,0)</f>
        <v>1626</v>
      </c>
      <c r="H19" s="143">
        <f>ROUND(+'FTE Calc'!B126,0)</f>
        <v>61729</v>
      </c>
      <c r="I19" s="144">
        <f>ROUND(+'FTE Calc'!B127,0)</f>
        <v>0</v>
      </c>
      <c r="J19" s="143">
        <f>SUM(B19:I19)</f>
        <v>127819</v>
      </c>
    </row>
    <row r="20" spans="1:10" ht="9.75">
      <c r="A20" s="35" t="s">
        <v>1046</v>
      </c>
      <c r="B20" s="143">
        <f>ROUND(+'FTE Calc'!B139,0)</f>
        <v>11359</v>
      </c>
      <c r="C20" s="143">
        <f>ROUND(+'FTE Calc'!B140,0)</f>
        <v>19352</v>
      </c>
      <c r="D20" s="143">
        <f>ROUND(+'FTE Calc'!B141,0)</f>
        <v>5233</v>
      </c>
      <c r="E20" s="143">
        <f>ROUND(+'FTE Calc'!B142,0)</f>
        <v>0</v>
      </c>
      <c r="F20" s="143">
        <f>ROUND(+'FTE Calc'!B143,0)</f>
        <v>6276</v>
      </c>
      <c r="G20" s="144">
        <f>ROUND(+'FTE Calc'!B144,0)</f>
        <v>4627</v>
      </c>
      <c r="H20" s="143">
        <f>ROUND(+'FTE Calc'!B145,0)</f>
        <v>40853</v>
      </c>
      <c r="I20" s="144">
        <f>ROUND(+'FTE Calc'!B146,0)</f>
        <v>0</v>
      </c>
      <c r="J20" s="143">
        <f>SUM(B20:I20)</f>
        <v>87700</v>
      </c>
    </row>
    <row r="21" spans="1:10" ht="9.75">
      <c r="A21" s="35" t="s">
        <v>1047</v>
      </c>
      <c r="B21" s="143">
        <f>ROUND(+'FTE Calc'!B158,0)</f>
        <v>34332</v>
      </c>
      <c r="C21" s="143">
        <f>ROUND(+'FTE Calc'!B159,0)</f>
        <v>8933</v>
      </c>
      <c r="D21" s="143">
        <f>ROUND(+'FTE Calc'!B160,0)</f>
        <v>53208</v>
      </c>
      <c r="E21" s="143">
        <f>ROUND(+'FTE Calc'!B161,0)</f>
        <v>11536</v>
      </c>
      <c r="F21" s="143">
        <f>ROUND(+'FTE Calc'!B162,0)</f>
        <v>2471</v>
      </c>
      <c r="G21" s="144">
        <f>ROUND(+'FTE Calc'!B163,0)</f>
        <v>7130</v>
      </c>
      <c r="H21" s="143">
        <f>ROUND(+'FTE Calc'!B164,0)</f>
        <v>100710</v>
      </c>
      <c r="I21" s="144">
        <f>ROUND(+'FTE Calc'!B165,0)</f>
        <v>0</v>
      </c>
      <c r="J21" s="143">
        <f>SUM(B21:I21)</f>
        <v>218320</v>
      </c>
    </row>
    <row r="22" spans="1:10" ht="3.75" customHeight="1">
      <c r="A22" s="35"/>
      <c r="B22" s="143"/>
      <c r="C22" s="143"/>
      <c r="D22" s="143"/>
      <c r="E22" s="143"/>
      <c r="F22" s="143"/>
      <c r="G22" s="144"/>
      <c r="H22" s="143"/>
      <c r="I22" s="144"/>
      <c r="J22" s="143"/>
    </row>
    <row r="23" spans="1:10" ht="9.75">
      <c r="A23" s="35" t="s">
        <v>1048</v>
      </c>
      <c r="B23" s="143">
        <f>ROUND(+'FTE Calc'!B177,0)</f>
        <v>27288</v>
      </c>
      <c r="C23" s="143">
        <f>ROUND(+'FTE Calc'!B178,0)</f>
        <v>0</v>
      </c>
      <c r="D23" s="143">
        <f>ROUND(+'FTE Calc'!B179,0)</f>
        <v>9378</v>
      </c>
      <c r="E23" s="143">
        <f>ROUND(+'FTE Calc'!B180,0)</f>
        <v>9999</v>
      </c>
      <c r="F23" s="143">
        <f>ROUND(+'FTE Calc'!B181,0)</f>
        <v>11703</v>
      </c>
      <c r="G23" s="144">
        <f>ROUND(+'FTE Calc'!B182,0)</f>
        <v>5148</v>
      </c>
      <c r="H23" s="143">
        <f>ROUND(+'FTE Calc'!B183,0)</f>
        <v>42890</v>
      </c>
      <c r="I23" s="144">
        <f>ROUND(+'FTE Calc'!B184,0)</f>
        <v>0</v>
      </c>
      <c r="J23" s="143">
        <f>SUM(B23:I23)</f>
        <v>106406</v>
      </c>
    </row>
    <row r="24" spans="1:10" ht="9.75">
      <c r="A24" s="35" t="s">
        <v>1049</v>
      </c>
      <c r="B24" s="143">
        <f>ROUND(+'FTE Calc'!B196,0)</f>
        <v>14498</v>
      </c>
      <c r="C24" s="143">
        <f>ROUND(+'FTE Calc'!B197,0)</f>
        <v>13041</v>
      </c>
      <c r="D24" s="143">
        <f>ROUND(+'FTE Calc'!B198,0)</f>
        <v>3847</v>
      </c>
      <c r="E24" s="143">
        <f>ROUND(+'FTE Calc'!B199,0)</f>
        <v>10819</v>
      </c>
      <c r="F24" s="143">
        <f>ROUND(+'FTE Calc'!B200,0)</f>
        <v>7256</v>
      </c>
      <c r="G24" s="144">
        <f>ROUND(+'FTE Calc'!B201,0)</f>
        <v>11083</v>
      </c>
      <c r="H24" s="143">
        <f>ROUND(+'FTE Calc'!B202,0)</f>
        <v>44278</v>
      </c>
      <c r="I24" s="144">
        <f>ROUND(+'FTE Calc'!B203,0)</f>
        <v>0</v>
      </c>
      <c r="J24" s="143">
        <f>SUM(B24:I24)</f>
        <v>104822</v>
      </c>
    </row>
    <row r="25" spans="1:10" ht="9.75">
      <c r="A25" s="35" t="s">
        <v>1050</v>
      </c>
      <c r="B25" s="143">
        <f>ROUND(+'FTE Calc'!B215,0)</f>
        <v>17173</v>
      </c>
      <c r="C25" s="143">
        <f>ROUND(+'FTE Calc'!B216,0)</f>
        <v>12943</v>
      </c>
      <c r="D25" s="143">
        <f>ROUND(+'FTE Calc'!B217,0)</f>
        <v>29268</v>
      </c>
      <c r="E25" s="143">
        <f>ROUND(+'FTE Calc'!B218,0)</f>
        <v>19227</v>
      </c>
      <c r="F25" s="143">
        <f>ROUND(+'FTE Calc'!B219,0)</f>
        <v>5384</v>
      </c>
      <c r="G25" s="144">
        <f>ROUND(+'FTE Calc'!B220,0)</f>
        <v>0</v>
      </c>
      <c r="H25" s="143">
        <f>ROUND(+'FTE Calc'!B221,0)</f>
        <v>48946</v>
      </c>
      <c r="I25" s="144">
        <f>ROUND(+'FTE Calc'!B222,0)</f>
        <v>0</v>
      </c>
      <c r="J25" s="143">
        <f>SUM(B25:I25)</f>
        <v>132941</v>
      </c>
    </row>
    <row r="26" spans="1:10" ht="3.75" customHeight="1">
      <c r="A26" s="35"/>
      <c r="B26" s="143"/>
      <c r="C26" s="143"/>
      <c r="D26" s="143"/>
      <c r="E26" s="143"/>
      <c r="F26" s="143"/>
      <c r="G26" s="144"/>
      <c r="H26" s="143"/>
      <c r="I26" s="144"/>
      <c r="J26" s="143"/>
    </row>
    <row r="27" spans="1:10" ht="9.75">
      <c r="A27" s="35" t="s">
        <v>1051</v>
      </c>
      <c r="B27" s="143">
        <f>ROUND(+'FTE Calc'!B234,0)</f>
        <v>123007</v>
      </c>
      <c r="C27" s="143">
        <f>ROUND(+'FTE Calc'!B235,0)</f>
        <v>22765</v>
      </c>
      <c r="D27" s="143">
        <f>ROUND(+'FTE Calc'!B236,0)</f>
        <v>102435</v>
      </c>
      <c r="E27" s="143">
        <f>ROUND(+'FTE Calc'!B237,0)</f>
        <v>28157</v>
      </c>
      <c r="F27" s="143">
        <f>ROUND(+'FTE Calc'!B238,0)</f>
        <v>2828</v>
      </c>
      <c r="G27" s="144">
        <f>ROUND(+'FTE Calc'!B239,0)</f>
        <v>6755</v>
      </c>
      <c r="H27" s="143">
        <f>ROUND(+'FTE Calc'!B240,0)</f>
        <v>277752</v>
      </c>
      <c r="I27" s="144">
        <f>ROUND(+'FTE Calc'!B241,0)</f>
        <v>0</v>
      </c>
      <c r="J27" s="143">
        <f>SUM(B27:I27)</f>
        <v>563699</v>
      </c>
    </row>
    <row r="28" spans="1:10" ht="9.75">
      <c r="A28" s="35" t="s">
        <v>1052</v>
      </c>
      <c r="B28" s="143">
        <f>ROUND(+'FTE Calc'!B253,0)</f>
        <v>33591</v>
      </c>
      <c r="C28" s="143">
        <f>ROUND(+'FTE Calc'!B254,0)</f>
        <v>39379</v>
      </c>
      <c r="D28" s="143">
        <f>ROUND(+'FTE Calc'!B255,0)</f>
        <v>18811</v>
      </c>
      <c r="E28" s="143">
        <f>ROUND(+'FTE Calc'!B256,0)</f>
        <v>9815</v>
      </c>
      <c r="F28" s="143">
        <f>ROUND(+'FTE Calc'!B257,0)</f>
        <v>3056</v>
      </c>
      <c r="G28" s="144">
        <f>ROUND(+'FTE Calc'!B258,0)</f>
        <v>8034</v>
      </c>
      <c r="H28" s="143">
        <f>ROUND(+'FTE Calc'!B259,0)</f>
        <v>72004</v>
      </c>
      <c r="I28" s="144">
        <f>ROUND(+'FTE Calc'!B260,0)</f>
        <v>0</v>
      </c>
      <c r="J28" s="143">
        <f>SUM(B28:I28)</f>
        <v>184690</v>
      </c>
    </row>
    <row r="29" spans="1:10" ht="9.75">
      <c r="A29" s="214" t="s">
        <v>1053</v>
      </c>
      <c r="B29" s="215">
        <f>ROUND(+'FTE Calc'!B272,0)</f>
        <v>14303</v>
      </c>
      <c r="C29" s="215">
        <f>ROUND(+'FTE Calc'!B273,0)</f>
        <v>0</v>
      </c>
      <c r="D29" s="215">
        <f>ROUND(+'FTE Calc'!B274,0)</f>
        <v>8681</v>
      </c>
      <c r="E29" s="215">
        <f>ROUND(+'FTE Calc'!B275,0)</f>
        <v>0</v>
      </c>
      <c r="F29" s="215">
        <f>ROUND(+'FTE Calc'!B276,0)</f>
        <v>0</v>
      </c>
      <c r="G29" s="216">
        <f>ROUND(+'FTE Calc'!B277,0)</f>
        <v>22029</v>
      </c>
      <c r="H29" s="215">
        <f>ROUND(+'FTE Calc'!B278,0)</f>
        <v>6984</v>
      </c>
      <c r="I29" s="216">
        <f>ROUND(+'FTE Calc'!B279,0)</f>
        <v>0</v>
      </c>
      <c r="J29" s="215">
        <f>SUM(B29:I29)</f>
        <v>51997</v>
      </c>
    </row>
    <row r="30" spans="1:10" ht="3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7.5" customHeight="1">
      <c r="A31" s="217" t="s">
        <v>1054</v>
      </c>
      <c r="B31" s="218"/>
      <c r="C31" s="218"/>
      <c r="D31" s="218"/>
      <c r="E31" s="218"/>
      <c r="F31" s="218"/>
      <c r="G31" s="218"/>
      <c r="H31" s="218"/>
      <c r="I31" s="218"/>
      <c r="J31" s="218"/>
    </row>
    <row r="32" spans="1:10" ht="7.5" customHeight="1">
      <c r="A32" s="217" t="s">
        <v>1055</v>
      </c>
      <c r="B32" s="35"/>
      <c r="C32" s="218"/>
      <c r="D32" s="218"/>
      <c r="E32" s="218"/>
      <c r="F32" s="218"/>
      <c r="G32" s="218"/>
      <c r="H32" s="218"/>
      <c r="I32" s="218"/>
      <c r="J32" s="218"/>
    </row>
    <row r="33" spans="1:10" ht="7.5" customHeight="1">
      <c r="A33" s="217" t="s">
        <v>1056</v>
      </c>
      <c r="B33" s="35"/>
      <c r="C33" s="218"/>
      <c r="D33" s="218"/>
      <c r="E33" s="218"/>
      <c r="F33" s="218"/>
      <c r="G33" s="218"/>
      <c r="H33" s="218"/>
      <c r="I33" s="218"/>
      <c r="J33" s="218"/>
    </row>
    <row r="34" spans="1:10" ht="7.5" customHeight="1">
      <c r="A34" s="217" t="s">
        <v>1057</v>
      </c>
      <c r="B34" s="35"/>
      <c r="C34" s="35"/>
      <c r="D34" s="35"/>
      <c r="E34" s="35"/>
      <c r="F34" s="35"/>
      <c r="G34" s="35"/>
      <c r="H34" s="35"/>
      <c r="I34" s="35"/>
      <c r="J34" s="35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2" manualBreakCount="2">
    <brk id="55" max="255" man="1"/>
    <brk id="58" max="255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cols>
    <col min="1" max="1" width="1.66796875" style="0" customWidth="1"/>
    <col min="2" max="2" width="8.66015625" style="0" customWidth="1"/>
    <col min="3" max="9" width="6.66015625" style="0" customWidth="1"/>
  </cols>
  <sheetData>
    <row r="1" spans="1:9" ht="10.5" customHeight="1">
      <c r="A1" s="219" t="s">
        <v>1058</v>
      </c>
      <c r="B1" s="219"/>
      <c r="C1" s="220"/>
      <c r="D1" s="221"/>
      <c r="E1" s="221"/>
      <c r="F1" s="221"/>
      <c r="G1" s="221"/>
      <c r="H1" s="221"/>
      <c r="I1" s="221"/>
    </row>
    <row r="2" spans="1:9" ht="10.5" customHeight="1">
      <c r="A2" s="219"/>
      <c r="B2" s="219"/>
      <c r="C2" s="220"/>
      <c r="D2" s="221"/>
      <c r="E2" s="221"/>
      <c r="F2" s="221"/>
      <c r="G2" s="221"/>
      <c r="H2" s="221"/>
      <c r="I2" s="221"/>
    </row>
    <row r="3" spans="1:9" ht="10.5" customHeight="1">
      <c r="A3" s="219" t="s">
        <v>1059</v>
      </c>
      <c r="B3" s="219"/>
      <c r="C3" s="220"/>
      <c r="D3" s="221"/>
      <c r="E3" s="221"/>
      <c r="F3" s="221"/>
      <c r="G3" s="221"/>
      <c r="H3" s="221"/>
      <c r="I3" s="221"/>
    </row>
    <row r="4" spans="1:9" ht="10.5" customHeight="1">
      <c r="A4" s="219" t="s">
        <v>1027</v>
      </c>
      <c r="B4" s="219"/>
      <c r="C4" s="220"/>
      <c r="D4" s="221"/>
      <c r="E4" s="221"/>
      <c r="F4" s="221"/>
      <c r="G4" s="221"/>
      <c r="H4" s="221"/>
      <c r="I4" s="221"/>
    </row>
    <row r="5" spans="1:9" ht="10.5" customHeight="1">
      <c r="A5" s="219" t="s">
        <v>930</v>
      </c>
      <c r="B5" s="219"/>
      <c r="C5" s="220"/>
      <c r="D5" s="221"/>
      <c r="E5" s="221"/>
      <c r="F5" s="221"/>
      <c r="G5" s="221"/>
      <c r="H5" s="221"/>
      <c r="I5" s="221"/>
    </row>
    <row r="6" spans="1:9" ht="3.75" customHeight="1">
      <c r="A6" s="2"/>
      <c r="B6" s="122"/>
      <c r="C6" s="122"/>
      <c r="D6" s="122"/>
      <c r="E6" s="122"/>
      <c r="F6" s="122"/>
      <c r="G6" s="122"/>
      <c r="H6" s="122"/>
      <c r="I6" s="122"/>
    </row>
    <row r="7" spans="1:9" ht="7.5" customHeight="1">
      <c r="A7" s="2"/>
      <c r="B7" s="3"/>
      <c r="C7" s="222" t="s">
        <v>1028</v>
      </c>
      <c r="D7" s="222"/>
      <c r="E7" s="222"/>
      <c r="F7" s="222"/>
      <c r="G7" s="222"/>
      <c r="H7" s="222"/>
      <c r="I7" s="223"/>
    </row>
    <row r="8" spans="1:9" ht="7.5" customHeight="1">
      <c r="A8" s="2"/>
      <c r="B8" s="2"/>
      <c r="C8" s="224" t="s">
        <v>1030</v>
      </c>
      <c r="D8" s="224" t="s">
        <v>1031</v>
      </c>
      <c r="E8" s="224" t="s">
        <v>1032</v>
      </c>
      <c r="F8" s="224" t="s">
        <v>1033</v>
      </c>
      <c r="G8" s="224" t="s">
        <v>1034</v>
      </c>
      <c r="H8" s="225" t="s">
        <v>1035</v>
      </c>
      <c r="I8" s="224" t="s">
        <v>60</v>
      </c>
    </row>
    <row r="9" spans="1:9" ht="9" customHeight="1">
      <c r="A9" s="2"/>
      <c r="B9" s="3" t="s">
        <v>1038</v>
      </c>
      <c r="C9" s="226">
        <f aca="true" t="shared" si="0" ref="C9:I9">SUM(C11:C29)</f>
        <v>118705</v>
      </c>
      <c r="D9" s="226">
        <f t="shared" si="0"/>
        <v>55157</v>
      </c>
      <c r="E9" s="226">
        <f t="shared" si="0"/>
        <v>50886</v>
      </c>
      <c r="F9" s="226">
        <f t="shared" si="0"/>
        <v>25445</v>
      </c>
      <c r="G9" s="226">
        <f t="shared" si="0"/>
        <v>11647</v>
      </c>
      <c r="H9" s="227">
        <f t="shared" si="0"/>
        <v>1279</v>
      </c>
      <c r="I9" s="212">
        <f t="shared" si="0"/>
        <v>263119</v>
      </c>
    </row>
    <row r="10" spans="1:9" ht="3.75" customHeight="1">
      <c r="A10" s="2"/>
      <c r="B10" s="2"/>
      <c r="C10" s="122"/>
      <c r="D10" s="122"/>
      <c r="E10" s="122"/>
      <c r="F10" s="122"/>
      <c r="G10" s="122"/>
      <c r="H10" s="228"/>
      <c r="I10" s="122"/>
    </row>
    <row r="11" spans="1:9" ht="9" customHeight="1">
      <c r="A11" s="2"/>
      <c r="B11" s="2" t="s">
        <v>1039</v>
      </c>
      <c r="C11" s="122">
        <f>ROUND(+'FTE Calc'!C6,0)</f>
        <v>5775</v>
      </c>
      <c r="D11" s="122">
        <f>ROUND(+'FTE Calc'!C7,0)</f>
        <v>1703</v>
      </c>
      <c r="E11" s="122">
        <f>ROUND(+'FTE Calc'!C8,0)</f>
        <v>3480</v>
      </c>
      <c r="F11" s="122">
        <f>ROUND(+'FTE Calc'!C9,0)</f>
        <v>2502</v>
      </c>
      <c r="G11" s="122">
        <f>ROUND(+'FTE Calc'!C10,0)</f>
        <v>1505</v>
      </c>
      <c r="H11" s="228">
        <f>ROUND(+'FTE Calc'!C11,0)</f>
        <v>0</v>
      </c>
      <c r="I11" s="122">
        <f>SUM(C11:H11)</f>
        <v>14965</v>
      </c>
    </row>
    <row r="12" spans="1:9" ht="9" customHeight="1">
      <c r="A12" s="2"/>
      <c r="B12" s="2" t="s">
        <v>1040</v>
      </c>
      <c r="C12" s="122">
        <f>ROUND(+'FTE Calc'!C25,0)</f>
        <v>2196</v>
      </c>
      <c r="D12" s="122">
        <f>ROUND(+'FTE Calc'!C26,0)</f>
        <v>0</v>
      </c>
      <c r="E12" s="122">
        <f>ROUND(+'FTE Calc'!C27,0)</f>
        <v>2941</v>
      </c>
      <c r="F12" s="122">
        <f>ROUND(+'FTE Calc'!C28,0)</f>
        <v>0</v>
      </c>
      <c r="G12" s="122">
        <f>ROUND(+'FTE Calc'!C29,0)</f>
        <v>294</v>
      </c>
      <c r="H12" s="228">
        <f>ROUND(+'FTE Calc'!C30,0)</f>
        <v>206</v>
      </c>
      <c r="I12" s="122">
        <f>SUM(C12:H12)</f>
        <v>5637</v>
      </c>
    </row>
    <row r="13" spans="1:9" ht="9" customHeight="1">
      <c r="A13" s="2"/>
      <c r="B13" s="2" t="s">
        <v>1041</v>
      </c>
      <c r="C13" s="122">
        <f>ROUND(+'FTE Calc'!C44,0)</f>
        <v>15868</v>
      </c>
      <c r="D13" s="122">
        <f>ROUND(+'FTE Calc'!C45,0)</f>
        <v>4695</v>
      </c>
      <c r="E13" s="122">
        <f>ROUND(+'FTE Calc'!C46,0)</f>
        <v>4386</v>
      </c>
      <c r="F13" s="122">
        <f>ROUND(+'FTE Calc'!C47,0)</f>
        <v>1711</v>
      </c>
      <c r="G13" s="122">
        <f>ROUND(+'FTE Calc'!C48,0)</f>
        <v>0</v>
      </c>
      <c r="H13" s="228">
        <f>ROUND(+'FTE Calc'!C49,0)</f>
        <v>0</v>
      </c>
      <c r="I13" s="122">
        <f>SUM(C13:H13)</f>
        <v>26660</v>
      </c>
    </row>
    <row r="14" spans="1:9" ht="3.75" customHeight="1">
      <c r="A14" s="2"/>
      <c r="B14" s="2"/>
      <c r="C14" s="122"/>
      <c r="D14" s="122"/>
      <c r="E14" s="122"/>
      <c r="F14" s="122"/>
      <c r="G14" s="122"/>
      <c r="H14" s="228"/>
      <c r="I14" s="122"/>
    </row>
    <row r="15" spans="1:9" ht="9" customHeight="1">
      <c r="A15" s="2"/>
      <c r="B15" s="2" t="s">
        <v>1042</v>
      </c>
      <c r="C15" s="122">
        <f>ROUND(+'FTE Calc'!C63,0)</f>
        <v>13031</v>
      </c>
      <c r="D15" s="122">
        <f>ROUND(+'FTE Calc'!C64,0)</f>
        <v>4338</v>
      </c>
      <c r="E15" s="122">
        <f>ROUND(+'FTE Calc'!C65,0)</f>
        <v>1263</v>
      </c>
      <c r="F15" s="122">
        <f>ROUND(+'FTE Calc'!C66,0)</f>
        <v>4117</v>
      </c>
      <c r="G15" s="122">
        <f>ROUND(+'FTE Calc'!C67,0)</f>
        <v>2847</v>
      </c>
      <c r="H15" s="228">
        <f>ROUND(+'FTE Calc'!C68,0)</f>
        <v>328</v>
      </c>
      <c r="I15" s="122">
        <f>SUM(C15:H15)</f>
        <v>25924</v>
      </c>
    </row>
    <row r="16" spans="1:9" ht="9" customHeight="1">
      <c r="A16" s="2"/>
      <c r="B16" s="2" t="s">
        <v>1043</v>
      </c>
      <c r="C16" s="122">
        <f>ROUND(+'FTE Calc'!C82,0)</f>
        <v>3203</v>
      </c>
      <c r="D16" s="122">
        <f>ROUND(+'FTE Calc'!C83,0)</f>
        <v>3025</v>
      </c>
      <c r="E16" s="122">
        <f>ROUND(+'FTE Calc'!C84,0)</f>
        <v>3569</v>
      </c>
      <c r="F16" s="122">
        <f>ROUND(+'FTE Calc'!C85,0)</f>
        <v>929</v>
      </c>
      <c r="G16" s="122">
        <f>ROUND(+'FTE Calc'!C86,0)</f>
        <v>826</v>
      </c>
      <c r="H16" s="228">
        <f>ROUND(+'FTE Calc'!C87,0)</f>
        <v>52</v>
      </c>
      <c r="I16" s="122">
        <f>SUM(C16:H16)</f>
        <v>11604</v>
      </c>
    </row>
    <row r="17" spans="1:9" ht="9" customHeight="1">
      <c r="A17" s="2"/>
      <c r="B17" s="2" t="s">
        <v>1044</v>
      </c>
      <c r="C17" s="122">
        <f>ROUND(+'FTE Calc'!C101,0)</f>
        <v>4176</v>
      </c>
      <c r="D17" s="122">
        <f>ROUND(+'FTE Calc'!C102,0)</f>
        <v>3588</v>
      </c>
      <c r="E17" s="122">
        <f>ROUND(+'FTE Calc'!C103,0)</f>
        <v>3665</v>
      </c>
      <c r="F17" s="122">
        <f>ROUND(+'FTE Calc'!C104,0)</f>
        <v>2092</v>
      </c>
      <c r="G17" s="122">
        <f>ROUND(+'FTE Calc'!C105,0)</f>
        <v>1171</v>
      </c>
      <c r="H17" s="228">
        <f>ROUND(+'FTE Calc'!C106,0)</f>
        <v>0</v>
      </c>
      <c r="I17" s="122">
        <f>SUM(C17:H17)</f>
        <v>14692</v>
      </c>
    </row>
    <row r="18" spans="1:9" ht="3.75" customHeight="1">
      <c r="A18" s="2"/>
      <c r="B18" s="2"/>
      <c r="C18" s="122"/>
      <c r="D18" s="122"/>
      <c r="E18" s="122"/>
      <c r="F18" s="122"/>
      <c r="G18" s="122"/>
      <c r="H18" s="228"/>
      <c r="I18" s="122"/>
    </row>
    <row r="19" spans="1:9" ht="9" customHeight="1">
      <c r="A19" s="2"/>
      <c r="B19" s="2" t="s">
        <v>1045</v>
      </c>
      <c r="C19" s="122">
        <f>ROUND(+'FTE Calc'!C120,0)</f>
        <v>3924</v>
      </c>
      <c r="D19" s="122">
        <f>ROUND(+'FTE Calc'!C121,0)</f>
        <v>690</v>
      </c>
      <c r="E19" s="122">
        <f>ROUND(+'FTE Calc'!C122,0)</f>
        <v>0</v>
      </c>
      <c r="F19" s="122">
        <f>ROUND(+'FTE Calc'!C123,0)</f>
        <v>4884</v>
      </c>
      <c r="G19" s="122">
        <f>ROUND(+'FTE Calc'!C124,0)</f>
        <v>562</v>
      </c>
      <c r="H19" s="228">
        <f>ROUND(+'FTE Calc'!C125,0)</f>
        <v>0</v>
      </c>
      <c r="I19" s="122">
        <f>SUM(C19:H19)</f>
        <v>10060</v>
      </c>
    </row>
    <row r="20" spans="1:9" ht="9" customHeight="1">
      <c r="A20" s="2"/>
      <c r="B20" s="2" t="s">
        <v>1046</v>
      </c>
      <c r="C20" s="122">
        <f>ROUND(+'FTE Calc'!C139,0)</f>
        <v>2082</v>
      </c>
      <c r="D20" s="122">
        <f>ROUND(+'FTE Calc'!C140,0)</f>
        <v>5034</v>
      </c>
      <c r="E20" s="122">
        <f>ROUND(+'FTE Calc'!C141,0)</f>
        <v>685</v>
      </c>
      <c r="F20" s="122">
        <f>ROUND(+'FTE Calc'!C142,0)</f>
        <v>0</v>
      </c>
      <c r="G20" s="122">
        <f>ROUND(+'FTE Calc'!C143,0)</f>
        <v>672</v>
      </c>
      <c r="H20" s="228">
        <f>ROUND(+'FTE Calc'!C144,0)</f>
        <v>178</v>
      </c>
      <c r="I20" s="122">
        <f>SUM(C20:H20)</f>
        <v>8651</v>
      </c>
    </row>
    <row r="21" spans="1:9" ht="9" customHeight="1">
      <c r="A21" s="2"/>
      <c r="B21" s="2" t="s">
        <v>1047</v>
      </c>
      <c r="C21" s="122">
        <f>ROUND(+'FTE Calc'!C158,0)</f>
        <v>7001</v>
      </c>
      <c r="D21" s="122">
        <f>ROUND(+'FTE Calc'!C159,0)</f>
        <v>2042</v>
      </c>
      <c r="E21" s="122">
        <f>ROUND(+'FTE Calc'!C160,0)</f>
        <v>6861</v>
      </c>
      <c r="F21" s="122">
        <f>ROUND(+'FTE Calc'!C161,0)</f>
        <v>698</v>
      </c>
      <c r="G21" s="122">
        <f>ROUND(+'FTE Calc'!C162,0)</f>
        <v>163</v>
      </c>
      <c r="H21" s="228">
        <f>ROUND(+'FTE Calc'!C163,0)</f>
        <v>21</v>
      </c>
      <c r="I21" s="122">
        <f>SUM(C21:H21)</f>
        <v>16786</v>
      </c>
    </row>
    <row r="22" spans="1:9" ht="3.75" customHeight="1">
      <c r="A22" s="2"/>
      <c r="B22" s="2"/>
      <c r="C22" s="122"/>
      <c r="D22" s="122"/>
      <c r="E22" s="122"/>
      <c r="F22" s="122"/>
      <c r="G22" s="122"/>
      <c r="H22" s="228"/>
      <c r="I22" s="122"/>
    </row>
    <row r="23" spans="1:9" ht="9" customHeight="1">
      <c r="A23" s="2"/>
      <c r="B23" s="2" t="s">
        <v>1048</v>
      </c>
      <c r="C23" s="122">
        <f>ROUND(+'FTE Calc'!C177,0)</f>
        <v>6611</v>
      </c>
      <c r="D23" s="122">
        <f>ROUND(+'FTE Calc'!C178,0)</f>
        <v>0</v>
      </c>
      <c r="E23" s="122">
        <f>ROUND(+'FTE Calc'!C179,0)</f>
        <v>2040</v>
      </c>
      <c r="F23" s="122">
        <f>ROUND(+'FTE Calc'!C180,0)</f>
        <v>1058</v>
      </c>
      <c r="G23" s="122">
        <f>ROUND(+'FTE Calc'!C181,0)</f>
        <v>1210</v>
      </c>
      <c r="H23" s="228">
        <f>ROUND(+'FTE Calc'!C182,0)</f>
        <v>0</v>
      </c>
      <c r="I23" s="122">
        <f>SUM(C23:H23)</f>
        <v>10919</v>
      </c>
    </row>
    <row r="24" spans="1:9" ht="9" customHeight="1">
      <c r="A24" s="2"/>
      <c r="B24" s="2" t="s">
        <v>1049</v>
      </c>
      <c r="C24" s="122">
        <f>ROUND(+'FTE Calc'!C196,0)</f>
        <v>6382</v>
      </c>
      <c r="D24" s="122">
        <f>ROUND(+'FTE Calc'!C197,0)</f>
        <v>2882</v>
      </c>
      <c r="E24" s="122">
        <f>ROUND(+'FTE Calc'!C198,0)</f>
        <v>778</v>
      </c>
      <c r="F24" s="122">
        <f>ROUND(+'FTE Calc'!C199,0)</f>
        <v>2022</v>
      </c>
      <c r="G24" s="122">
        <f>ROUND(+'FTE Calc'!C200,0)</f>
        <v>848</v>
      </c>
      <c r="H24" s="228">
        <f>ROUND(+'FTE Calc'!C201,0)</f>
        <v>368</v>
      </c>
      <c r="I24" s="122">
        <f>SUM(C24:H24)</f>
        <v>13280</v>
      </c>
    </row>
    <row r="25" spans="1:9" ht="9" customHeight="1">
      <c r="A25" s="2"/>
      <c r="B25" s="2" t="s">
        <v>1050</v>
      </c>
      <c r="C25" s="122">
        <f>ROUND(+'FTE Calc'!C215,0)</f>
        <v>5442</v>
      </c>
      <c r="D25" s="122">
        <f>ROUND(+'FTE Calc'!C216,0)</f>
        <v>3864</v>
      </c>
      <c r="E25" s="122">
        <f>ROUND(+'FTE Calc'!C217,0)</f>
        <v>3794</v>
      </c>
      <c r="F25" s="122">
        <f>ROUND(+'FTE Calc'!C218,0)</f>
        <v>1927</v>
      </c>
      <c r="G25" s="122">
        <f>ROUND(+'FTE Calc'!C219,0)</f>
        <v>217</v>
      </c>
      <c r="H25" s="228">
        <f>ROUND(+'FTE Calc'!C220,0)</f>
        <v>0</v>
      </c>
      <c r="I25" s="122">
        <f>SUM(C25:H25)</f>
        <v>15244</v>
      </c>
    </row>
    <row r="26" spans="1:9" ht="3.75" customHeight="1">
      <c r="A26" s="2"/>
      <c r="B26" s="2"/>
      <c r="C26" s="122"/>
      <c r="D26" s="122"/>
      <c r="E26" s="122"/>
      <c r="F26" s="122"/>
      <c r="G26" s="122"/>
      <c r="H26" s="228"/>
      <c r="I26" s="122"/>
    </row>
    <row r="27" spans="1:9" ht="9" customHeight="1">
      <c r="A27" s="2"/>
      <c r="B27" s="2" t="s">
        <v>1051</v>
      </c>
      <c r="C27" s="122">
        <f>ROUND(+'FTE Calc'!C234,0)</f>
        <v>26850</v>
      </c>
      <c r="D27" s="122">
        <f>ROUND(+'FTE Calc'!C235,0)</f>
        <v>8158</v>
      </c>
      <c r="E27" s="122">
        <f>ROUND(+'FTE Calc'!C236,0)</f>
        <v>14831</v>
      </c>
      <c r="F27" s="122">
        <f>ROUND(+'FTE Calc'!C237,0)</f>
        <v>2421</v>
      </c>
      <c r="G27" s="122">
        <f>ROUND(+'FTE Calc'!C238,0)</f>
        <v>1088</v>
      </c>
      <c r="H27" s="228">
        <f>ROUND(+'FTE Calc'!C239,0)</f>
        <v>0</v>
      </c>
      <c r="I27" s="122">
        <f>SUM(C27:H27)</f>
        <v>53348</v>
      </c>
    </row>
    <row r="28" spans="1:9" ht="9" customHeight="1">
      <c r="A28" s="2"/>
      <c r="B28" s="2" t="s">
        <v>1052</v>
      </c>
      <c r="C28" s="122">
        <f>ROUND(+'FTE Calc'!C253,0)</f>
        <v>11704</v>
      </c>
      <c r="D28" s="122">
        <f>ROUND(+'FTE Calc'!C254,0)</f>
        <v>15138</v>
      </c>
      <c r="E28" s="122">
        <f>ROUND(+'FTE Calc'!C255,0)</f>
        <v>1409</v>
      </c>
      <c r="F28" s="122">
        <f>ROUND(+'FTE Calc'!C256,0)</f>
        <v>1084</v>
      </c>
      <c r="G28" s="122">
        <f>ROUND(+'FTE Calc'!C257,0)</f>
        <v>244</v>
      </c>
      <c r="H28" s="228">
        <f>ROUND(+'FTE Calc'!C258,0)</f>
        <v>101</v>
      </c>
      <c r="I28" s="122">
        <f>SUM(C28:H28)</f>
        <v>29680</v>
      </c>
    </row>
    <row r="29" spans="1:9" ht="9" customHeight="1">
      <c r="A29" s="2"/>
      <c r="B29" s="10" t="s">
        <v>1053</v>
      </c>
      <c r="C29" s="11">
        <f>ROUND(+'FTE Calc'!C272,0)</f>
        <v>4460</v>
      </c>
      <c r="D29" s="11">
        <f>ROUND(+'FTE Calc'!C273,0)</f>
        <v>0</v>
      </c>
      <c r="E29" s="11">
        <f>ROUND(+'FTE Calc'!C274,0)</f>
        <v>1184</v>
      </c>
      <c r="F29" s="11">
        <f>ROUND(+'FTE Calc'!C275,0)</f>
        <v>0</v>
      </c>
      <c r="G29" s="11">
        <f>ROUND(+'FTE Calc'!C276,0)</f>
        <v>0</v>
      </c>
      <c r="H29" s="229">
        <f>ROUND(+'FTE Calc'!C277,0)</f>
        <v>25</v>
      </c>
      <c r="I29" s="11">
        <f>SUM(C29:H29)</f>
        <v>5669</v>
      </c>
    </row>
    <row r="30" spans="1:9" ht="3.7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7.5" customHeight="1">
      <c r="A31" s="2"/>
      <c r="B31" s="230" t="s">
        <v>1060</v>
      </c>
      <c r="C31" s="114"/>
      <c r="D31" s="114"/>
      <c r="E31" s="114"/>
      <c r="F31" s="114"/>
      <c r="G31" s="114"/>
      <c r="H31" s="114"/>
      <c r="I31" s="114"/>
    </row>
    <row r="32" spans="1:9" ht="7.5" customHeight="1">
      <c r="A32" s="2"/>
      <c r="B32" s="230" t="s">
        <v>1061</v>
      </c>
      <c r="C32" s="231"/>
      <c r="D32" s="231"/>
      <c r="E32" s="231"/>
      <c r="F32" s="231"/>
      <c r="G32" s="231"/>
      <c r="H32" s="231"/>
      <c r="I32" s="231"/>
    </row>
    <row r="33" spans="1:9" ht="7.5" customHeight="1">
      <c r="A33" s="2"/>
      <c r="B33" s="230" t="s">
        <v>1062</v>
      </c>
      <c r="C33" s="114"/>
      <c r="D33" s="114"/>
      <c r="E33" s="114"/>
      <c r="F33" s="114"/>
      <c r="G33" s="8"/>
      <c r="H33" s="8"/>
      <c r="I33" s="8"/>
    </row>
    <row r="34" spans="1:9" ht="7.5" customHeight="1">
      <c r="A34" s="2"/>
      <c r="B34" s="230" t="s">
        <v>1063</v>
      </c>
      <c r="C34" s="114"/>
      <c r="D34" s="114"/>
      <c r="E34" s="114"/>
      <c r="F34" s="114"/>
      <c r="G34" s="8"/>
      <c r="H34" s="8"/>
      <c r="I34" s="8"/>
    </row>
    <row r="35" spans="1:9" ht="12.75">
      <c r="A35" s="2"/>
      <c r="B35" s="2"/>
      <c r="C35" s="8"/>
      <c r="D35" s="8"/>
      <c r="E35" s="8"/>
      <c r="F35" s="8"/>
      <c r="G35" s="8"/>
      <c r="H35" s="8"/>
      <c r="I35" s="8"/>
    </row>
    <row r="38" spans="1:9" ht="12.75">
      <c r="A38" s="2"/>
      <c r="B38" s="230"/>
      <c r="C38" s="2"/>
      <c r="D38" s="2"/>
      <c r="E38" s="2"/>
      <c r="F38" s="2"/>
      <c r="G38" s="2"/>
      <c r="H38" s="2"/>
      <c r="I38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1" manualBreakCount="1">
    <brk id="52" max="255" man="1"/>
  </rowBreaks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37"/>
  <sheetViews>
    <sheetView showGridLines="0" defaultGridColor="0" zoomScale="87" zoomScaleNormal="87" colorId="22" workbookViewId="0" topLeftCell="A1">
      <selection activeCell="A1" sqref="A1"/>
    </sheetView>
  </sheetViews>
  <sheetFormatPr defaultColWidth="9.66015625" defaultRowHeight="11.25"/>
  <cols>
    <col min="1" max="1" width="1.66796875" style="0" customWidth="1"/>
    <col min="3" max="3" width="12.66015625" style="0" customWidth="1"/>
    <col min="4" max="4" width="2.66015625" style="0" customWidth="1"/>
    <col min="5" max="5" width="12.66015625" style="0" customWidth="1"/>
    <col min="6" max="6" width="6.66015625" style="0" customWidth="1"/>
    <col min="8" max="8" width="6.66015625" style="0" customWidth="1"/>
  </cols>
  <sheetData>
    <row r="1" spans="1:8" ht="10.5" customHeight="1">
      <c r="A1" s="219" t="s">
        <v>1064</v>
      </c>
      <c r="B1" s="8"/>
      <c r="C1" s="232"/>
      <c r="D1" s="233"/>
      <c r="E1" s="8"/>
      <c r="F1" s="8"/>
      <c r="G1" s="8"/>
      <c r="H1" s="8"/>
    </row>
    <row r="2" spans="1:8" ht="10.5" customHeight="1">
      <c r="A2" s="219"/>
      <c r="B2" s="8"/>
      <c r="C2" s="232"/>
      <c r="D2" s="233"/>
      <c r="E2" s="8"/>
      <c r="F2" s="8"/>
      <c r="G2" s="8"/>
      <c r="H2" s="8"/>
    </row>
    <row r="3" spans="1:8" ht="10.5" customHeight="1">
      <c r="A3" s="219" t="s">
        <v>1065</v>
      </c>
      <c r="B3" s="8"/>
      <c r="C3" s="232"/>
      <c r="D3" s="233"/>
      <c r="E3" s="8"/>
      <c r="F3" s="8"/>
      <c r="G3" s="8"/>
      <c r="H3" s="8"/>
    </row>
    <row r="4" spans="1:8" ht="10.5" customHeight="1">
      <c r="A4" s="219" t="s">
        <v>1027</v>
      </c>
      <c r="B4" s="8"/>
      <c r="C4" s="232"/>
      <c r="D4" s="233"/>
      <c r="E4" s="8"/>
      <c r="F4" s="8"/>
      <c r="G4" s="8"/>
      <c r="H4" s="8"/>
    </row>
    <row r="5" spans="1:8" ht="10.5" customHeight="1">
      <c r="A5" s="219" t="s">
        <v>930</v>
      </c>
      <c r="B5" s="8"/>
      <c r="C5" s="232"/>
      <c r="D5" s="233"/>
      <c r="E5" s="8"/>
      <c r="F5" s="8"/>
      <c r="G5" s="8"/>
      <c r="H5" s="8"/>
    </row>
    <row r="6" spans="1:8" ht="3.75" customHeight="1">
      <c r="A6" s="2"/>
      <c r="B6" s="234"/>
      <c r="C6" s="2"/>
      <c r="D6" s="2"/>
      <c r="E6" s="2"/>
      <c r="F6" s="2"/>
      <c r="G6" s="2"/>
      <c r="H6" s="2"/>
    </row>
    <row r="7" spans="1:8" ht="12.75">
      <c r="A7" s="2"/>
      <c r="B7" s="235"/>
      <c r="C7" s="236" t="s">
        <v>1066</v>
      </c>
      <c r="D7" s="236"/>
      <c r="E7" s="237"/>
      <c r="F7" s="223"/>
      <c r="G7" s="223"/>
      <c r="H7" s="238"/>
    </row>
    <row r="8" spans="1:8" ht="12.75">
      <c r="A8" s="2"/>
      <c r="B8" s="195"/>
      <c r="C8" s="224" t="s">
        <v>1036</v>
      </c>
      <c r="D8" s="223"/>
      <c r="E8" s="239" t="s">
        <v>1037</v>
      </c>
      <c r="F8" s="240"/>
      <c r="G8" s="241" t="s">
        <v>1067</v>
      </c>
      <c r="H8" s="242"/>
    </row>
    <row r="9" spans="1:8" ht="12.75">
      <c r="A9" s="2"/>
      <c r="B9" s="3" t="s">
        <v>1068</v>
      </c>
      <c r="C9" s="226">
        <f>SUM(C11:C29)</f>
        <v>74869</v>
      </c>
      <c r="D9" s="226"/>
      <c r="E9" s="227">
        <f>SUM(E11:E29)</f>
        <v>19034</v>
      </c>
      <c r="F9" s="226"/>
      <c r="G9" s="226">
        <f>SUM(G11:G29)</f>
        <v>93903</v>
      </c>
      <c r="H9" s="2"/>
    </row>
    <row r="10" spans="1:8" ht="3.75" customHeight="1">
      <c r="A10" s="2"/>
      <c r="B10" s="2"/>
      <c r="C10" s="122"/>
      <c r="D10" s="122"/>
      <c r="E10" s="228"/>
      <c r="F10" s="122"/>
      <c r="G10" s="122"/>
      <c r="H10" s="2"/>
    </row>
    <row r="11" spans="1:8" ht="12.75">
      <c r="A11" s="2"/>
      <c r="B11" s="2" t="s">
        <v>1039</v>
      </c>
      <c r="C11" s="122">
        <f>ROUND(+'FTE Calc'!D48,0)</f>
        <v>0</v>
      </c>
      <c r="D11" s="122"/>
      <c r="E11" s="228">
        <f>ROUND(+'FTE Calc'!D13,0)</f>
        <v>0</v>
      </c>
      <c r="F11" s="122"/>
      <c r="G11" s="122">
        <f>SUM(C11:E11)</f>
        <v>0</v>
      </c>
      <c r="H11" s="2"/>
    </row>
    <row r="12" spans="1:8" ht="12.75">
      <c r="A12" s="2"/>
      <c r="B12" s="2" t="s">
        <v>1040</v>
      </c>
      <c r="C12" s="122">
        <f>ROUND(+'FTE Calc'!D31,0)</f>
        <v>0</v>
      </c>
      <c r="D12" s="122"/>
      <c r="E12" s="228">
        <f>ROUND(+'FTE Calc'!D32,0)</f>
        <v>0</v>
      </c>
      <c r="F12" s="122"/>
      <c r="G12" s="122">
        <f>SUM(C12:E12)</f>
        <v>0</v>
      </c>
      <c r="H12" s="2"/>
    </row>
    <row r="13" spans="1:8" ht="12.75">
      <c r="A13" s="2"/>
      <c r="B13" s="2" t="s">
        <v>1041</v>
      </c>
      <c r="C13" s="122">
        <f>ROUND(+'FTE Calc'!D50,0)</f>
        <v>55495</v>
      </c>
      <c r="D13" s="122"/>
      <c r="E13" s="228">
        <f>ROUND(+'FTE Calc'!D51,0)</f>
        <v>0</v>
      </c>
      <c r="F13" s="122"/>
      <c r="G13" s="122">
        <f>SUM(C13:E13)</f>
        <v>55495</v>
      </c>
      <c r="H13" s="2"/>
    </row>
    <row r="14" spans="1:8" ht="3.75" customHeight="1">
      <c r="A14" s="2"/>
      <c r="B14" s="2"/>
      <c r="C14" s="122"/>
      <c r="D14" s="122"/>
      <c r="E14" s="228"/>
      <c r="F14" s="122"/>
      <c r="G14" s="122"/>
      <c r="H14" s="2"/>
    </row>
    <row r="15" spans="1:8" ht="12.75">
      <c r="A15" s="2"/>
      <c r="B15" s="2" t="s">
        <v>1042</v>
      </c>
      <c r="C15" s="122">
        <f>ROUND(+'FTE Calc'!D69,0)</f>
        <v>0</v>
      </c>
      <c r="D15" s="122"/>
      <c r="E15" s="228">
        <f>ROUND(+'FTE Calc'!D70,0)</f>
        <v>0</v>
      </c>
      <c r="F15" s="122"/>
      <c r="G15" s="122">
        <f>SUM(C15:E15)</f>
        <v>0</v>
      </c>
      <c r="H15" s="2"/>
    </row>
    <row r="16" spans="1:8" ht="12.75">
      <c r="A16" s="2"/>
      <c r="B16" s="2" t="s">
        <v>1043</v>
      </c>
      <c r="C16" s="122">
        <f>ROUND(+'FTE Calc'!D88,0)</f>
        <v>0</v>
      </c>
      <c r="D16" s="122"/>
      <c r="E16" s="228">
        <f>ROUND(+'FTE Calc'!D89,0)</f>
        <v>0</v>
      </c>
      <c r="F16" s="122"/>
      <c r="G16" s="122">
        <f>SUM(C16:E16)</f>
        <v>0</v>
      </c>
      <c r="H16" s="2"/>
    </row>
    <row r="17" spans="1:8" ht="12.75">
      <c r="A17" s="2"/>
      <c r="B17" s="2" t="s">
        <v>1044</v>
      </c>
      <c r="C17" s="122">
        <f>ROUND(+'FTE Calc'!D107,0)</f>
        <v>0</v>
      </c>
      <c r="D17" s="122"/>
      <c r="E17" s="228">
        <f>ROUND(+'FTE Calc'!D108,0)</f>
        <v>13700</v>
      </c>
      <c r="F17" s="122"/>
      <c r="G17" s="122">
        <f>SUM(C17:E17)</f>
        <v>13700</v>
      </c>
      <c r="H17" s="2"/>
    </row>
    <row r="18" spans="1:8" ht="3.75" customHeight="1">
      <c r="A18" s="2"/>
      <c r="B18" s="2"/>
      <c r="C18" s="122"/>
      <c r="D18" s="122"/>
      <c r="E18" s="228"/>
      <c r="F18" s="122"/>
      <c r="G18" s="122"/>
      <c r="H18" s="2"/>
    </row>
    <row r="19" spans="1:8" ht="12.75">
      <c r="A19" s="2"/>
      <c r="B19" s="2" t="s">
        <v>1045</v>
      </c>
      <c r="C19" s="122">
        <f>ROUND(+'FTE Calc'!D126,0)</f>
        <v>0</v>
      </c>
      <c r="D19" s="122"/>
      <c r="E19" s="228">
        <f>ROUND(+'FTE Calc'!D127,0)</f>
        <v>0</v>
      </c>
      <c r="F19" s="122"/>
      <c r="G19" s="122">
        <f>SUM(C19:E19)</f>
        <v>0</v>
      </c>
      <c r="H19" s="2"/>
    </row>
    <row r="20" spans="1:8" ht="12.75">
      <c r="A20" s="2"/>
      <c r="B20" s="2" t="s">
        <v>1046</v>
      </c>
      <c r="C20" s="122">
        <f>ROUND(+'FTE Calc'!D145,0)</f>
        <v>0</v>
      </c>
      <c r="D20" s="122"/>
      <c r="E20" s="228">
        <f>ROUND(+'FTE Calc'!D146,0)</f>
        <v>0</v>
      </c>
      <c r="F20" s="122"/>
      <c r="G20" s="122">
        <f>SUM(C20:E20)</f>
        <v>0</v>
      </c>
      <c r="H20" s="2"/>
    </row>
    <row r="21" spans="1:8" ht="12.75">
      <c r="A21" s="2"/>
      <c r="B21" s="2" t="s">
        <v>1047</v>
      </c>
      <c r="C21" s="122">
        <f>ROUND(+'FTE Calc'!D164,0)</f>
        <v>0</v>
      </c>
      <c r="D21" s="122"/>
      <c r="E21" s="228">
        <f>ROUND(+'FTE Calc'!D165,0)</f>
        <v>0</v>
      </c>
      <c r="F21" s="122"/>
      <c r="G21" s="122">
        <f>SUM(C21:E21)</f>
        <v>0</v>
      </c>
      <c r="H21" s="2"/>
    </row>
    <row r="22" spans="1:8" ht="3.75" customHeight="1">
      <c r="A22" s="2"/>
      <c r="B22" s="2"/>
      <c r="C22" s="122"/>
      <c r="D22" s="122"/>
      <c r="E22" s="228"/>
      <c r="F22" s="122"/>
      <c r="G22" s="122"/>
      <c r="H22" s="2"/>
    </row>
    <row r="23" spans="1:8" ht="12.75">
      <c r="A23" s="2"/>
      <c r="B23" s="2" t="s">
        <v>1048</v>
      </c>
      <c r="C23" s="122">
        <f>ROUND(+'FTE Calc'!D183,0)</f>
        <v>0</v>
      </c>
      <c r="D23" s="122"/>
      <c r="E23" s="228">
        <f>ROUND(+'FTE Calc'!D184,0)</f>
        <v>0</v>
      </c>
      <c r="F23" s="122"/>
      <c r="G23" s="122">
        <f>SUM(C23:E23)</f>
        <v>0</v>
      </c>
      <c r="H23" s="2"/>
    </row>
    <row r="24" spans="1:8" ht="12.75">
      <c r="A24" s="2"/>
      <c r="B24" s="2" t="s">
        <v>1049</v>
      </c>
      <c r="C24" s="122">
        <f>ROUND(+'FTE Calc'!D202,0)</f>
        <v>0</v>
      </c>
      <c r="D24" s="122"/>
      <c r="E24" s="228">
        <f>ROUND(+'FTE Calc'!D203,0)</f>
        <v>0</v>
      </c>
      <c r="F24" s="122"/>
      <c r="G24" s="122">
        <f>SUM(C24:E24)</f>
        <v>0</v>
      </c>
      <c r="H24" s="2"/>
    </row>
    <row r="25" spans="1:8" ht="12.75">
      <c r="A25" s="2"/>
      <c r="B25" s="2" t="s">
        <v>1050</v>
      </c>
      <c r="C25" s="122">
        <f>ROUND(+'FTE Calc'!D221,0)</f>
        <v>0</v>
      </c>
      <c r="D25" s="122"/>
      <c r="E25" s="228">
        <f>ROUND(+'FTE Calc'!D222,0)</f>
        <v>5334</v>
      </c>
      <c r="F25" s="122"/>
      <c r="G25" s="122">
        <f>SUM(C25:E25)</f>
        <v>5334</v>
      </c>
      <c r="H25" s="2"/>
    </row>
    <row r="26" spans="1:8" ht="3.75" customHeight="1">
      <c r="A26" s="2"/>
      <c r="B26" s="2"/>
      <c r="C26" s="122"/>
      <c r="D26" s="122"/>
      <c r="E26" s="228"/>
      <c r="F26" s="122"/>
      <c r="G26" s="122"/>
      <c r="H26" s="2"/>
    </row>
    <row r="27" spans="1:8" ht="12.75">
      <c r="A27" s="2"/>
      <c r="B27" s="2" t="s">
        <v>1051</v>
      </c>
      <c r="C27" s="122">
        <f>ROUND(+'FTE Calc'!D240,0)</f>
        <v>19374</v>
      </c>
      <c r="D27" s="122"/>
      <c r="E27" s="228">
        <f>ROUND(+'FTE Calc'!D241,0)</f>
        <v>0</v>
      </c>
      <c r="F27" s="122"/>
      <c r="G27" s="122">
        <f>SUM(C27:E27)</f>
        <v>19374</v>
      </c>
      <c r="H27" s="2"/>
    </row>
    <row r="28" spans="1:8" ht="12.75">
      <c r="A28" s="2"/>
      <c r="B28" s="2" t="s">
        <v>1052</v>
      </c>
      <c r="C28" s="122">
        <f>ROUND(+'FTE Calc'!D259,0)</f>
        <v>0</v>
      </c>
      <c r="D28" s="122"/>
      <c r="E28" s="228">
        <f>ROUND(+'FTE Calc'!D260,0)</f>
        <v>0</v>
      </c>
      <c r="F28" s="122"/>
      <c r="G28" s="122">
        <f>SUM(C28:E28)</f>
        <v>0</v>
      </c>
      <c r="H28" s="2"/>
    </row>
    <row r="29" spans="1:8" ht="12.75">
      <c r="A29" s="2"/>
      <c r="B29" s="10" t="s">
        <v>1053</v>
      </c>
      <c r="C29" s="11">
        <f>ROUND(+'FTE Calc'!D278,0)</f>
        <v>0</v>
      </c>
      <c r="D29" s="11"/>
      <c r="E29" s="229">
        <f>ROUND(+'FTE Calc'!D279,0)</f>
        <v>0</v>
      </c>
      <c r="F29" s="11"/>
      <c r="G29" s="11">
        <f>SUM(C29:E29)</f>
        <v>0</v>
      </c>
      <c r="H29" s="10"/>
    </row>
    <row r="30" spans="1:8" ht="3.75" customHeight="1">
      <c r="A30" s="2"/>
      <c r="B30" s="2"/>
      <c r="C30" s="2"/>
      <c r="D30" s="2"/>
      <c r="E30" s="2"/>
      <c r="F30" s="2"/>
      <c r="G30" s="2"/>
      <c r="H30" s="2"/>
    </row>
    <row r="31" spans="1:8" ht="7.5" customHeight="1">
      <c r="A31" s="2"/>
      <c r="B31" s="230" t="s">
        <v>1069</v>
      </c>
      <c r="C31" s="231"/>
      <c r="D31" s="231"/>
      <c r="E31" s="231"/>
      <c r="F31" s="114"/>
      <c r="G31" s="114"/>
      <c r="H31" s="114"/>
    </row>
    <row r="32" spans="1:8" ht="7.5" customHeight="1">
      <c r="A32" s="2"/>
      <c r="B32" s="230" t="s">
        <v>1070</v>
      </c>
      <c r="C32" s="114"/>
      <c r="D32" s="114"/>
      <c r="E32" s="114"/>
      <c r="F32" s="114"/>
      <c r="G32" s="114"/>
      <c r="H32" s="114"/>
    </row>
    <row r="33" spans="1:8" ht="7.5" customHeight="1">
      <c r="A33" s="2"/>
      <c r="B33" s="230" t="s">
        <v>1071</v>
      </c>
      <c r="C33" s="114"/>
      <c r="D33" s="114"/>
      <c r="E33" s="114"/>
      <c r="F33" s="114"/>
      <c r="G33" s="114"/>
      <c r="H33" s="114"/>
    </row>
    <row r="34" spans="1:8" ht="12.75">
      <c r="A34" s="2"/>
      <c r="B34" s="2"/>
      <c r="C34" s="114"/>
      <c r="D34" s="114"/>
      <c r="E34" s="114"/>
      <c r="F34" s="114"/>
      <c r="G34" s="114"/>
      <c r="H34" s="114"/>
    </row>
    <row r="37" spans="1:8" ht="12.75">
      <c r="A37" s="2"/>
      <c r="B37" s="230"/>
      <c r="C37" s="2"/>
      <c r="D37" s="2"/>
      <c r="E37" s="2"/>
      <c r="F37" s="2"/>
      <c r="G37" s="2"/>
      <c r="H37" s="2"/>
    </row>
  </sheetData>
  <printOptions/>
  <pageMargins left="0.25" right="0.25" top="0.75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1" manualBreakCount="1">
    <brk id="47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